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2. Febrero\"/>
    </mc:Choice>
  </mc:AlternateContent>
  <xr:revisionPtr revIDLastSave="0" documentId="13_ncr:1_{33478EAB-E693-4909-B4B7-5944654B65C3}" xr6:coauthVersionLast="47" xr6:coauthVersionMax="47" xr10:uidLastSave="{00000000-0000-0000-0000-000000000000}"/>
  <bookViews>
    <workbookView xWindow="-108" yWindow="-108" windowWidth="23256" windowHeight="12576" tabRatio="99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29.ANEXO III-5" sheetId="88" r:id="rId31"/>
    <sheet name="30.ANEXO III-6" sheetId="89" r:id="rId32"/>
    <sheet name="31.ANEXO III-7" sheetId="90" r:id="rId33"/>
    <sheet name="32.ANEXO III-8" sheetId="91" r:id="rId34"/>
    <sheet name="Contraportada" sheetId="59" r:id="rId35"/>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generación'!$A$1:$J$64</definedName>
    <definedName name="_xlnm.Print_Area" localSheetId="21">'20. ANEXOI-3'!$A$1:$G$72</definedName>
    <definedName name="_xlnm.Print_Area" localSheetId="22">'21. ANEXOII-1'!$A$1:$F$91</definedName>
    <definedName name="_xlnm.Print_Area" localSheetId="24">'23. ANEXOII-3'!$A$1:$F$65</definedName>
    <definedName name="_xlnm.Print_Area" localSheetId="26">'25.ANEXO III -1'!$A$1:$F$11</definedName>
    <definedName name="_xlnm.Print_Area" localSheetId="27">'26.ANEXO III-2'!$A$1:$F$9</definedName>
    <definedName name="_xlnm.Print_Area" localSheetId="28">'27.ANEXO III-3'!$A$1:$F$11</definedName>
    <definedName name="_xlnm.Print_Area" localSheetId="29">'28.ANEXO III-4'!$A$1:$F$12</definedName>
    <definedName name="_xlnm.Print_Area" localSheetId="30">'29.ANEXO III-5'!$A$1:$F$12</definedName>
    <definedName name="_xlnm.Print_Area" localSheetId="31">'30.ANEXO III-6'!$A$1:$F$12</definedName>
    <definedName name="_xlnm.Print_Area" localSheetId="32">'31.ANEXO III-7'!$A$1:$F$10</definedName>
    <definedName name="_xlnm.Print_Area" localSheetId="33">'32.ANEXO III-8'!$A$1:$F$7</definedName>
    <definedName name="_xlnm.Print_Area" localSheetId="6">'5. RER'!$A$1:$K$63</definedName>
    <definedName name="_xlnm.Print_Area" localSheetId="7">'6. FP RER'!$A$1:$L$67</definedName>
    <definedName name="_xlnm.Print_Area" localSheetId="8">'7. Generacion empresa'!$A$1:$K$76</definedName>
    <definedName name="_xlnm.Print_Area" localSheetId="9">'8. Max Potencia'!$A$1:$K$61</definedName>
    <definedName name="_xlnm.Print_Area" localSheetId="10">'9. Pot. Empresa'!$A$1:$K$77</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2" i="4" l="1"/>
  <c r="F25" i="38"/>
  <c r="F26" i="38"/>
  <c r="C26" i="38"/>
  <c r="F59" i="23"/>
  <c r="D59" i="23"/>
  <c r="C59" i="23"/>
  <c r="H47" i="4" l="1"/>
  <c r="B75" i="13" l="1"/>
  <c r="D15" i="12"/>
  <c r="B17" i="8"/>
  <c r="C17" i="8"/>
  <c r="D17" i="8"/>
  <c r="E17" i="8"/>
  <c r="H9" i="6"/>
  <c r="C15" i="12"/>
  <c r="E15" i="12"/>
  <c r="B15" i="12"/>
  <c r="C75" i="13" l="1"/>
  <c r="C49" i="46" l="1"/>
  <c r="D49" i="46"/>
  <c r="E49" i="46"/>
  <c r="F5" i="46"/>
  <c r="F6" i="46"/>
  <c r="F7" i="46"/>
  <c r="F8" i="46"/>
  <c r="F9" i="46"/>
  <c r="F12" i="46"/>
  <c r="F13" i="46"/>
  <c r="F14" i="46"/>
  <c r="F15" i="46"/>
  <c r="F16" i="46"/>
  <c r="F17" i="46"/>
  <c r="F37" i="46"/>
  <c r="I8" i="22"/>
  <c r="I9" i="22"/>
  <c r="I10" i="22"/>
  <c r="I11" i="22"/>
  <c r="I12" i="22"/>
  <c r="I13" i="22"/>
  <c r="I14" i="22"/>
  <c r="I15" i="22"/>
  <c r="G8" i="21"/>
  <c r="H8" i="21"/>
  <c r="G11" i="21"/>
  <c r="H11" i="21"/>
  <c r="G13" i="21"/>
  <c r="D16" i="21"/>
  <c r="F49" i="46" l="1"/>
  <c r="B21" i="6"/>
  <c r="N29" i="18"/>
  <c r="N28" i="18"/>
  <c r="N27" i="18"/>
  <c r="N26" i="18"/>
  <c r="Q26" i="18" s="1"/>
  <c r="N25" i="18"/>
  <c r="N24" i="18"/>
  <c r="Q24" i="18" s="1"/>
  <c r="N23" i="18"/>
  <c r="N20" i="18"/>
  <c r="Q20" i="18" s="1"/>
  <c r="N19" i="18"/>
  <c r="N18" i="18"/>
  <c r="N17" i="18"/>
  <c r="N16" i="18"/>
  <c r="N15" i="18"/>
  <c r="N14" i="18"/>
  <c r="N12" i="18"/>
  <c r="N11" i="18"/>
  <c r="N10" i="18"/>
  <c r="N9" i="18"/>
  <c r="N8" i="18"/>
  <c r="P9" i="18"/>
  <c r="P10" i="18"/>
  <c r="P11" i="18"/>
  <c r="P12" i="18"/>
  <c r="P14" i="18"/>
  <c r="P15" i="18"/>
  <c r="P16" i="18"/>
  <c r="P17" i="18"/>
  <c r="P18" i="18"/>
  <c r="P19" i="18"/>
  <c r="P20" i="18"/>
  <c r="P23" i="18"/>
  <c r="P24" i="18"/>
  <c r="P25" i="18"/>
  <c r="P26" i="18"/>
  <c r="P27" i="18"/>
  <c r="P28" i="18"/>
  <c r="P29" i="18"/>
  <c r="P8" i="18"/>
  <c r="O24" i="18"/>
  <c r="O25" i="18"/>
  <c r="O26" i="18"/>
  <c r="O27" i="18"/>
  <c r="O28" i="18"/>
  <c r="O29" i="18"/>
  <c r="Q29" i="18" s="1"/>
  <c r="O23" i="18"/>
  <c r="O15" i="18"/>
  <c r="O16" i="18"/>
  <c r="O17" i="18"/>
  <c r="Q17" i="18" s="1"/>
  <c r="O18" i="18"/>
  <c r="O19" i="18"/>
  <c r="O20" i="18"/>
  <c r="O14" i="18"/>
  <c r="O9" i="18"/>
  <c r="Q9" i="18" s="1"/>
  <c r="O10" i="18"/>
  <c r="O11" i="18"/>
  <c r="O12" i="18"/>
  <c r="Q12" i="18" s="1"/>
  <c r="O8" i="18"/>
  <c r="Q25" i="18" l="1"/>
  <c r="Q27" i="18"/>
  <c r="Q23" i="18"/>
  <c r="Q28" i="18"/>
  <c r="Q14" i="18"/>
  <c r="Q18" i="18"/>
  <c r="Q15" i="18"/>
  <c r="Q16" i="18"/>
  <c r="Q19" i="18"/>
  <c r="Q8" i="18"/>
  <c r="Q10" i="18"/>
  <c r="Q11" i="18"/>
  <c r="D74" i="13"/>
  <c r="C74" i="11"/>
  <c r="B74" i="11"/>
  <c r="D73" i="11"/>
  <c r="F58" i="45" l="1"/>
  <c r="F57" i="45"/>
  <c r="D73" i="13" l="1"/>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4" i="11" l="1"/>
  <c r="F55" i="46"/>
  <c r="F54" i="46"/>
  <c r="D71" i="11" l="1"/>
  <c r="E16" i="21" l="1"/>
  <c r="F16" i="21"/>
  <c r="B11" i="9"/>
  <c r="C11" i="9"/>
  <c r="D11" i="9"/>
  <c r="E11" i="9"/>
  <c r="F54" i="38" l="1"/>
  <c r="G54" i="38"/>
  <c r="F55" i="38"/>
  <c r="G55" i="38"/>
  <c r="K8" i="7" l="1"/>
  <c r="N45" i="9" l="1"/>
  <c r="E58" i="46" l="1"/>
  <c r="E57" i="46"/>
  <c r="E59" i="46" s="1"/>
  <c r="D57" i="46"/>
  <c r="D59" i="46" s="1"/>
  <c r="E20" i="6" l="1"/>
  <c r="D12" i="7" l="1"/>
  <c r="G16" i="7" l="1"/>
  <c r="H16" i="7"/>
  <c r="F14" i="7"/>
  <c r="I14" i="7"/>
  <c r="F15" i="7"/>
  <c r="D20" i="6" l="1"/>
  <c r="C3" i="4"/>
  <c r="H12" i="7" l="1"/>
  <c r="D7" i="13" l="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15"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16" i="22" l="1"/>
  <c r="I7" i="22"/>
  <c r="C58" i="46" l="1"/>
  <c r="F14" i="12" l="1"/>
  <c r="F13" i="12"/>
  <c r="F9" i="8" l="1"/>
  <c r="J17" i="8" l="1"/>
  <c r="H17" i="8"/>
  <c r="G17" i="8"/>
  <c r="D12" i="9"/>
  <c r="K10" i="12" l="1"/>
  <c r="K11" i="12"/>
  <c r="K12" i="12"/>
  <c r="K13" i="12"/>
  <c r="J12" i="7" l="1"/>
  <c r="G12" i="7"/>
  <c r="E12" i="7"/>
  <c r="C12" i="7"/>
  <c r="B12" i="7"/>
  <c r="C16" i="22" l="1"/>
  <c r="D16" i="22"/>
  <c r="E16" i="22"/>
  <c r="F16" i="22"/>
  <c r="G16" i="22"/>
  <c r="H16" i="22"/>
  <c r="I16" i="22" l="1"/>
  <c r="C2" i="23" l="1"/>
  <c r="B16" i="22" l="1"/>
  <c r="F77" i="13" l="1"/>
  <c r="A77" i="13"/>
  <c r="A57" i="7"/>
  <c r="J15" i="12" l="1"/>
  <c r="D6" i="13" l="1"/>
  <c r="A44" i="10" l="1"/>
  <c r="A65" i="10" l="1"/>
  <c r="D16" i="7" l="1"/>
  <c r="A59" i="12" l="1"/>
  <c r="B16" i="7" l="1"/>
  <c r="C16" i="7"/>
  <c r="E16" i="7"/>
  <c r="F56" i="46" l="1"/>
  <c r="D5" i="11"/>
  <c r="D2" i="46" l="1"/>
  <c r="C2" i="46"/>
  <c r="D2" i="45"/>
  <c r="C2" i="45"/>
  <c r="C57" i="46" l="1"/>
  <c r="C59" i="46" s="1"/>
  <c r="E3" i="46" l="1"/>
  <c r="E3" i="45"/>
  <c r="J16" i="7" l="1"/>
  <c r="F59" i="46" l="1"/>
  <c r="E4" i="45" l="1"/>
  <c r="E4" i="46" s="1"/>
  <c r="F12" i="8" l="1"/>
  <c r="J11" i="9" l="1"/>
  <c r="H11" i="9"/>
  <c r="G11" i="9"/>
  <c r="A40" i="22" l="1"/>
  <c r="A76" i="11" l="1"/>
  <c r="F20" i="8" l="1"/>
  <c r="E12" i="9"/>
  <c r="F17" i="8" l="1"/>
  <c r="F19" i="12"/>
  <c r="F15" i="12" l="1"/>
  <c r="I15" i="12"/>
  <c r="K15" i="12"/>
  <c r="K14" i="7" l="1"/>
  <c r="I15" i="7"/>
  <c r="K15" i="7"/>
  <c r="F10" i="7" l="1"/>
  <c r="F12" i="7"/>
  <c r="B47" i="4" l="1"/>
  <c r="A9" i="4"/>
  <c r="A52" i="21" l="1"/>
  <c r="A63" i="9" l="1"/>
  <c r="A35" i="9"/>
  <c r="A61" i="8"/>
  <c r="B49" i="4" l="1"/>
  <c r="F2" i="38" l="1"/>
  <c r="A55" i="22" l="1"/>
  <c r="B58" i="18"/>
  <c r="B40" i="18"/>
  <c r="B21" i="18"/>
  <c r="B19" i="12" l="1"/>
  <c r="B21" i="12" s="1"/>
  <c r="C19" i="12"/>
  <c r="D19" i="12"/>
  <c r="D21" i="12" s="1"/>
  <c r="E19" i="12"/>
  <c r="E21" i="12" s="1"/>
  <c r="G19" i="12"/>
  <c r="G21" i="12" s="1"/>
  <c r="H19" i="12"/>
  <c r="H21" i="12" s="1"/>
  <c r="J21" i="12"/>
  <c r="F17" i="6" l="1"/>
  <c r="F19" i="6"/>
  <c r="F18" i="6" l="1"/>
  <c r="F16" i="6"/>
  <c r="E15" i="6" l="1"/>
  <c r="E76" i="11" l="1"/>
  <c r="C46" i="10"/>
  <c r="D3" i="36" l="1"/>
  <c r="C3" i="36"/>
  <c r="F2" i="37"/>
  <c r="F3" i="23"/>
  <c r="C1" i="37"/>
  <c r="C1" i="38" s="1"/>
  <c r="E20" i="22"/>
  <c r="A20" i="22"/>
  <c r="A17" i="22"/>
  <c r="A17" i="21"/>
  <c r="F6" i="21"/>
  <c r="E6" i="21"/>
  <c r="D6" i="21"/>
  <c r="B47" i="18"/>
  <c r="B28" i="18"/>
  <c r="B10" i="18"/>
  <c r="B2" i="13"/>
  <c r="B4" i="11"/>
  <c r="C4" i="11" s="1"/>
  <c r="B3" i="11"/>
  <c r="G6" i="7"/>
  <c r="G4" i="8" s="1"/>
  <c r="G4" i="9" s="1"/>
  <c r="D7" i="7"/>
  <c r="E7" i="7" s="1"/>
  <c r="A64" i="6"/>
  <c r="D5" i="8" l="1"/>
  <c r="C7" i="7"/>
  <c r="B7" i="7" s="1"/>
  <c r="B5" i="8" s="1"/>
  <c r="D4" i="46"/>
  <c r="C4" i="46"/>
  <c r="D4" i="45"/>
  <c r="C4" i="45"/>
  <c r="D3" i="45" l="1"/>
  <c r="D3" i="46"/>
  <c r="C3" i="46"/>
  <c r="C3" i="45"/>
  <c r="C5" i="13"/>
  <c r="B5" i="13"/>
  <c r="C4" i="13"/>
  <c r="B4" i="13"/>
  <c r="C5" i="8" l="1"/>
  <c r="D5" i="9"/>
  <c r="B5" i="9"/>
  <c r="J21" i="8"/>
  <c r="E21" i="8"/>
  <c r="D21" i="8"/>
  <c r="C21" i="8"/>
  <c r="B21" i="8"/>
  <c r="K20" i="8"/>
  <c r="K19" i="8"/>
  <c r="I19" i="8"/>
  <c r="F19" i="8"/>
  <c r="F8" i="8"/>
  <c r="A2" i="8"/>
  <c r="A4" i="7"/>
  <c r="C5" i="9" l="1"/>
  <c r="F40" i="9"/>
  <c r="F20" i="6"/>
  <c r="B12" i="9"/>
  <c r="G21" i="8"/>
  <c r="H21" i="8"/>
  <c r="I20" i="8"/>
  <c r="I20" i="4" l="1"/>
  <c r="C20" i="4"/>
  <c r="I13" i="12"/>
  <c r="I12" i="12"/>
  <c r="F12" i="12"/>
  <c r="I11" i="12"/>
  <c r="F11" i="12"/>
  <c r="I10" i="12"/>
  <c r="C21" i="12"/>
  <c r="K10" i="9"/>
  <c r="I10" i="9"/>
  <c r="F10" i="9"/>
  <c r="K9" i="9"/>
  <c r="I9" i="9"/>
  <c r="F9" i="9"/>
  <c r="K8" i="9"/>
  <c r="I8" i="9"/>
  <c r="F8" i="9"/>
  <c r="I7" i="9"/>
  <c r="F7" i="9"/>
  <c r="K6" i="9"/>
  <c r="F6" i="9"/>
  <c r="K16" i="8"/>
  <c r="I16" i="8"/>
  <c r="F16" i="8"/>
  <c r="K15" i="8"/>
  <c r="I15" i="8"/>
  <c r="F15" i="8"/>
  <c r="K14" i="8"/>
  <c r="I14" i="8"/>
  <c r="F14" i="8"/>
  <c r="K13" i="8"/>
  <c r="I13" i="8"/>
  <c r="F13" i="8"/>
  <c r="K12" i="8"/>
  <c r="I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7" i="8" l="1"/>
  <c r="E5" i="9"/>
  <c r="I21" i="12"/>
  <c r="K21" i="12"/>
  <c r="F41" i="9"/>
  <c r="M40" i="9" s="1"/>
  <c r="F21" i="12"/>
  <c r="K17" i="8"/>
  <c r="J12" i="9"/>
  <c r="G12" i="9"/>
  <c r="K12" i="7"/>
  <c r="I11" i="9"/>
  <c r="H12" i="9"/>
  <c r="F11" i="9"/>
  <c r="K11" i="9"/>
  <c r="D75" i="13" l="1"/>
</calcChain>
</file>

<file path=xl/sharedStrings.xml><?xml version="1.0" encoding="utf-8"?>
<sst xmlns="http://schemas.openxmlformats.org/spreadsheetml/2006/main" count="2414" uniqueCount="1024">
  <si>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</si>
  <si>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</si>
  <si>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</si>
  <si>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</si>
  <si>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</si>
  <si>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</si>
  <si>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</si>
  <si>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</si>
  <si>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</si>
  <si>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</si>
  <si>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</si>
  <si>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</si>
  <si>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</si>
  <si>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</si>
  <si>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</si>
  <si>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</si>
  <si>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</si>
  <si>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</si>
  <si>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</si>
  <si>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</si>
  <si>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</si>
  <si>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</si>
  <si>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</si>
  <si>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</si>
  <si>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</si>
  <si>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</si>
  <si>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</si>
  <si>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</si>
  <si>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</si>
  <si>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</si>
  <si>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</si>
  <si>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</si>
  <si>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</si>
  <si>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</si>
  <si>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</si>
  <si>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</si>
  <si>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</si>
  <si>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</si>
  <si>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</si>
  <si>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</si>
  <si>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</si>
  <si>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</si>
  <si>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</si>
  <si>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</si>
  <si>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</si>
  <si>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</si>
  <si>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</si>
  <si>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</si>
  <si>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</si>
  <si>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</si>
  <si>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</si>
  <si>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</si>
  <si>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</si>
  <si>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</si>
  <si>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</si>
  <si>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</si>
  <si>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</si>
  <si>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</si>
  <si>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</si>
  <si>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</si>
  <si>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</si>
  <si>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</si>
  <si>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</si>
  <si>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</si>
  <si>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</si>
  <si>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</si>
  <si>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</si>
  <si>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</si>
  <si>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</si>
  <si>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</si>
  <si>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</si>
  <si>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</si>
  <si>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</si>
  <si>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</si>
  <si>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</si>
  <si>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</si>
  <si>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</si>
  <si>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</si>
  <si>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</si>
  <si>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</si>
  <si>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</si>
  <si>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</si>
  <si>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</si>
  <si>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</si>
  <si>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</si>
  <si>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</si>
  <si>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</si>
  <si>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</si>
  <si>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</si>
  <si>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</si>
  <si>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</si>
  <si>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</si>
  <si>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</si>
  <si>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</si>
  <si>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</si>
  <si>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</si>
  <si>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</si>
  <si>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</si>
  <si>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</si>
  <si>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</si>
  <si>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</si>
  <si>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</si>
  <si>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</si>
  <si>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</si>
  <si>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</si>
  <si>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</si>
  <si>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</si>
  <si>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</si>
  <si>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</si>
  <si>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</si>
  <si>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</si>
  <si>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</si>
  <si>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</si>
  <si>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</si>
  <si>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</si>
  <si>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</si>
  <si>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</si>
  <si>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</si>
  <si>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</si>
  <si>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</si>
  <si>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</si>
  <si>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</si>
  <si>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</si>
  <si>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</si>
  <si>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</si>
  <si>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</si>
  <si>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</si>
  <si>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</si>
  <si>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</si>
  <si>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</si>
  <si>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</si>
  <si>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</si>
  <si>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</si>
  <si>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</si>
  <si>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</si>
  <si>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</si>
  <si>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</si>
  <si>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</si>
  <si>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</si>
  <si>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</si>
  <si>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</si>
  <si>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</si>
  <si>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</si>
  <si>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</si>
  <si>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</si>
  <si>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</si>
  <si>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</si>
  <si>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</si>
  <si>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</si>
  <si>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</si>
  <si>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</si>
  <si>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</si>
  <si>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</si>
  <si>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</si>
  <si>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</si>
  <si>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</si>
  <si>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</si>
  <si>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</si>
  <si>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</si>
  <si>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</si>
  <si>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</si>
  <si>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</si>
  <si>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</si>
  <si>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</si>
  <si>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</si>
  <si>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</si>
  <si>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</si>
  <si>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</si>
  <si>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</si>
  <si>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</si>
  <si>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</si>
  <si>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</si>
  <si>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</si>
  <si>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</si>
  <si>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</si>
  <si>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</si>
  <si>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</si>
  <si>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</si>
  <si>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</si>
  <si>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</si>
  <si>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</si>
  <si>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</si>
  <si>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</si>
  <si>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</si>
  <si>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</si>
  <si>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</si>
  <si>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</si>
  <si>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</si>
  <si>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</si>
  <si>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</si>
  <si>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</si>
  <si>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</si>
  <si>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</si>
  <si>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</si>
  <si>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</si>
  <si>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</si>
  <si>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</si>
  <si>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</si>
  <si>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</si>
  <si>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</si>
  <si>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</si>
  <si>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</si>
  <si>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</si>
  <si>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</si>
  <si>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</si>
  <si>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</si>
  <si>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</si>
  <si>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</si>
  <si>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</si>
  <si>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</si>
  <si>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</si>
  <si>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</si>
  <si>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</si>
  <si>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</si>
  <si>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</si>
  <si>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</si>
  <si>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</si>
  <si>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</si>
  <si>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</si>
  <si>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</si>
  <si>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</si>
  <si>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</si>
  <si>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</si>
  <si>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</si>
  <si>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</si>
  <si>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</si>
  <si>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</si>
  <si>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</si>
  <si>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</si>
  <si>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</si>
  <si>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</si>
  <si>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</si>
  <si>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</si>
  <si>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</si>
  <si>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</si>
  <si>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</si>
  <si>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</si>
  <si>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</si>
  <si>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</si>
  <si>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</si>
  <si>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</si>
  <si>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</si>
  <si>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</si>
  <si>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</si>
  <si>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</si>
  <si>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</si>
  <si>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</si>
  <si>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</si>
  <si>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</si>
  <si>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</si>
  <si>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</si>
  <si>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</si>
  <si>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</si>
  <si>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</si>
  <si>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</si>
  <si>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</si>
  <si>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</si>
  <si>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</si>
  <si>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</si>
  <si>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</si>
  <si>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</si>
  <si>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</si>
  <si>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</si>
  <si>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</si>
  <si>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</si>
  <si>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</si>
  <si>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</si>
  <si>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</si>
  <si>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</si>
  <si>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</si>
  <si>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</si>
  <si>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</si>
  <si>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</si>
  <si>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</si>
  <si>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</si>
  <si>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</si>
  <si>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</si>
  <si>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</si>
  <si>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</si>
  <si>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</si>
  <si>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</si>
  <si>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</si>
  <si>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</si>
  <si>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</si>
  <si>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</si>
  <si>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</si>
  <si>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</si>
  <si>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</si>
  <si>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</si>
  <si>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</si>
  <si>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</si>
  <si>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</si>
  <si>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</si>
  <si>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</si>
  <si>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</si>
  <si>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</si>
  <si>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</si>
  <si>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</si>
  <si>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</si>
  <si>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</si>
  <si>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</si>
  <si>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</si>
  <si>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</si>
  <si>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</si>
  <si>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</si>
  <si>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</si>
  <si>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</si>
  <si>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</si>
  <si>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</si>
  <si>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</si>
  <si>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</si>
  <si>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</si>
  <si>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</si>
  <si>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</si>
  <si>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</si>
  <si>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</si>
  <si>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</si>
  <si>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</si>
  <si>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</si>
  <si>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</si>
  <si>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</si>
  <si>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</si>
  <si>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</si>
  <si>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</si>
  <si>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</si>
  <si>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</si>
  <si>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</si>
  <si>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</si>
  <si>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</si>
  <si>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</si>
  <si>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</si>
  <si>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</si>
  <si>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</si>
  <si>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</si>
  <si>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</si>
  <si>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</si>
  <si>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</si>
  <si>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</si>
  <si>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</si>
  <si>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</si>
  <si>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</si>
  <si>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</si>
  <si>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</si>
  <si>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</si>
  <si>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</si>
  <si>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</si>
  <si>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</si>
  <si>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</si>
  <si>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</si>
  <si>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</si>
  <si>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</si>
  <si>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</si>
  <si>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</si>
  <si>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</si>
  <si>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</si>
  <si>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</si>
  <si>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</si>
  <si>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</si>
  <si>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</si>
  <si>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</si>
  <si>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</si>
  <si>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</si>
  <si>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</si>
  <si>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</si>
  <si>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</si>
  <si>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</si>
  <si>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</si>
  <si>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C.E. HUAMBOS</t>
  </si>
  <si>
    <t>C.E. DUNA</t>
  </si>
  <si>
    <t>LA VIRGEN</t>
  </si>
  <si>
    <t>Total CELEPSA</t>
  </si>
  <si>
    <t>Total EGASA</t>
  </si>
  <si>
    <t>Total EGEMSA</t>
  </si>
  <si>
    <t>Total EGESUR</t>
  </si>
  <si>
    <t>Total ELECTROPERU</t>
  </si>
  <si>
    <t>Total ENGIE</t>
  </si>
  <si>
    <t>Total LA VIRGEN</t>
  </si>
  <si>
    <t>Total ORAZUL ENERGY PERÚ</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</si>
  <si>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</si>
  <si>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</si>
  <si>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</si>
  <si>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</si>
  <si>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</si>
  <si>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</si>
  <si>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</si>
  <si>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</si>
  <si>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</si>
  <si>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</si>
  <si>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</si>
  <si>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</si>
  <si>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</si>
  <si>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</si>
  <si>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</si>
  <si>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</si>
  <si>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</si>
  <si>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</si>
  <si>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</si>
  <si>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</si>
  <si>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</si>
  <si>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</si>
  <si>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</si>
  <si>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</si>
  <si>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</si>
  <si>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</si>
  <si>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</si>
  <si>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</si>
  <si>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</si>
  <si>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</si>
  <si>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</si>
  <si>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</si>
  <si>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</si>
  <si>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</si>
  <si>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</si>
  <si>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</si>
  <si>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</si>
  <si>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</si>
  <si>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</si>
  <si>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</si>
  <si>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</si>
  <si>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</si>
  <si>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</si>
  <si>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</si>
  <si>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</si>
  <si>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</si>
  <si>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</si>
  <si>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</si>
  <si>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</si>
  <si>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</si>
  <si>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</si>
  <si>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</si>
  <si>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</si>
  <si>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</si>
  <si>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</si>
  <si>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</si>
  <si>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</si>
  <si>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</si>
  <si>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</si>
  <si>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</si>
  <si>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</si>
  <si>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</si>
  <si>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</si>
  <si>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</si>
  <si>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</si>
  <si>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</si>
  <si>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</si>
  <si>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</si>
  <si>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</si>
  <si>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</si>
  <si>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</si>
  <si>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</si>
  <si>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</si>
  <si>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</si>
  <si>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</si>
  <si>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</si>
  <si>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</si>
  <si>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</si>
  <si>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</si>
  <si>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</si>
  <si>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</si>
  <si>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</si>
  <si>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</si>
  <si>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</si>
  <si>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</si>
  <si>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</si>
  <si>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</si>
  <si>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</si>
  <si>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</si>
  <si>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</si>
  <si>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</si>
  <si>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</si>
  <si>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</si>
  <si>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</si>
  <si>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</si>
  <si>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</si>
  <si>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</si>
  <si>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</si>
  <si>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</si>
  <si>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</si>
  <si>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</si>
  <si>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</si>
  <si>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</si>
  <si>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</si>
  <si>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</si>
  <si>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</si>
  <si>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</si>
  <si>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</si>
  <si>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</si>
  <si>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</si>
  <si>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</si>
  <si>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</si>
  <si>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</si>
  <si>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</si>
  <si>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</si>
  <si>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</si>
  <si>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</si>
  <si>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</si>
  <si>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</si>
  <si>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</si>
  <si>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</si>
  <si>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</si>
  <si>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</si>
  <si>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</si>
  <si>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</si>
  <si>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</si>
  <si>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</si>
  <si>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</si>
  <si>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</si>
  <si>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</si>
  <si>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</si>
  <si>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</si>
  <si>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</si>
  <si>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</si>
  <si>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</si>
  <si>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</si>
  <si>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</si>
  <si>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</si>
  <si>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</si>
  <si>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</si>
  <si>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</si>
  <si>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</si>
  <si>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</si>
  <si>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</si>
  <si>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</si>
  <si>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</si>
  <si>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</si>
  <si>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</si>
  <si>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</si>
  <si>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</si>
  <si>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</si>
  <si>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</si>
  <si>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</si>
  <si>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</si>
  <si>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</si>
  <si>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</si>
  <si>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</si>
  <si>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</si>
  <si>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</si>
  <si>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</si>
  <si>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</si>
  <si>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</si>
  <si>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</si>
  <si>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</si>
  <si>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</si>
  <si>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</si>
  <si>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</si>
  <si>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</si>
  <si>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</si>
  <si>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</si>
  <si>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</si>
  <si>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</si>
  <si>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</si>
  <si>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</si>
  <si>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</si>
  <si>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</si>
  <si>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</si>
  <si>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</si>
  <si>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</si>
  <si>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</si>
  <si>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</si>
  <si>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</si>
  <si>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</si>
  <si>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</si>
  <si>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MINERA CERRO VERDE</t>
  </si>
  <si>
    <t>ORYGEN PERU</t>
  </si>
  <si>
    <t>Caudal Descargado de Aguada Blanca (Charcani V: Qturbinado/QVertido)</t>
  </si>
  <si>
    <t>INDEPENDENCIA</t>
  </si>
  <si>
    <t>20:30</t>
  </si>
  <si>
    <t>MINERA ARES</t>
  </si>
  <si>
    <t>L. CALLALLI - CAYLLOMA - LINEA L-6015</t>
  </si>
  <si>
    <t>ELECTRO PUNO</t>
  </si>
  <si>
    <t>L. AZÁNGARO - ANTAUTA - LINEA L-6021</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</si>
  <si>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</si>
  <si>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</si>
  <si>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</si>
  <si>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</si>
  <si>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</si>
  <si>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</si>
  <si>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</si>
  <si>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</si>
  <si>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</si>
  <si>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</si>
  <si>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</si>
  <si>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</si>
  <si>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</si>
  <si>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</si>
  <si>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</si>
  <si>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</si>
  <si>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</si>
  <si>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</si>
  <si>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</si>
  <si>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</si>
  <si>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</si>
  <si>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</si>
  <si>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</si>
  <si>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</si>
  <si>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</si>
  <si>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</si>
  <si>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</si>
  <si>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</si>
  <si>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</si>
  <si>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</si>
  <si>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</si>
  <si>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</si>
  <si>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</si>
  <si>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</si>
  <si>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</si>
  <si>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</si>
  <si>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</si>
  <si>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</si>
  <si>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</si>
  <si>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</si>
  <si>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</si>
  <si>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</si>
  <si>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</si>
  <si>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</si>
  <si>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</si>
  <si>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</si>
  <si>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</si>
  <si>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</si>
  <si>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</si>
  <si>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</si>
  <si>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</si>
  <si>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</si>
  <si>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</si>
  <si>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</si>
  <si>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</si>
  <si>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</si>
  <si>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</si>
  <si>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</si>
  <si>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</si>
  <si>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</si>
  <si>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</si>
  <si>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</si>
  <si>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</si>
  <si>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</si>
  <si>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</si>
  <si>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</si>
  <si>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</si>
  <si>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</si>
  <si>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</si>
  <si>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</si>
  <si>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</si>
  <si>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</si>
  <si>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</si>
  <si>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</si>
  <si>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</si>
  <si>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</si>
  <si>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</si>
  <si>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</si>
  <si>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</si>
  <si>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</si>
  <si>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</si>
  <si>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</si>
  <si>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</si>
  <si>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</si>
  <si>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</si>
  <si>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</si>
  <si>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</si>
  <si>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</si>
  <si>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</si>
  <si>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</si>
  <si>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</si>
  <si>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</si>
  <si>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</si>
  <si>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</si>
  <si>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</si>
  <si>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</si>
  <si>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</si>
  <si>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</si>
  <si>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</si>
  <si>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</si>
  <si>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</si>
  <si>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</si>
  <si>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</si>
  <si>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</si>
  <si>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</si>
  <si>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</si>
  <si>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</si>
  <si>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</si>
  <si>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</si>
  <si>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</si>
  <si>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</si>
  <si>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</si>
  <si>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</si>
  <si>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</si>
  <si>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</si>
  <si>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</si>
  <si>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</si>
  <si>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</si>
  <si>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</si>
  <si>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</si>
  <si>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BESS-VENTANILLA</t>
  </si>
  <si>
    <t>SDF ENERGIA SAC</t>
  </si>
  <si>
    <t>Total SDF ENERGIA SAC</t>
  </si>
  <si>
    <t>ENEL GENERACION PERU / ORYGEN</t>
  </si>
  <si>
    <t>Total ENEL GENERACION PERU / ORYGEN</t>
  </si>
  <si>
    <t>LINEA DE TRANSMISION</t>
  </si>
  <si>
    <t>L. AZÁNGARO - PUTINA - LINEA L-6024</t>
  </si>
  <si>
    <t>ELECTRO SUR ESTE</t>
  </si>
  <si>
    <t>20:15</t>
  </si>
  <si>
    <t>12:30</t>
  </si>
  <si>
    <t>L. PARAGSHA I - GOYLLAR - LINEA L-6524</t>
  </si>
  <si>
    <t>L. PUNO - POMATA - ILAVE - LINEA L-6027</t>
  </si>
  <si>
    <t>L. POECHOS - SULLANA - LINEA L-6668</t>
  </si>
  <si>
    <t>15:30</t>
  </si>
  <si>
    <t>Diesel2/Residual500/Nafta,Gas Refinería &amp; Flexigas</t>
  </si>
  <si>
    <t>Nafta; Gas Refinería &amp; Flexigas</t>
  </si>
  <si>
    <t>COGENERACIÓN OQUENDO</t>
  </si>
  <si>
    <t>L-2259</t>
  </si>
  <si>
    <t>CARHUAMAYO - OROYA NUEVA</t>
  </si>
  <si>
    <t>GENERADOR HIDROELÉCTRICO</t>
  </si>
  <si>
    <t>TRANSFORMADOR 3D</t>
  </si>
  <si>
    <t>ELECTRO DUNAS</t>
  </si>
  <si>
    <t>L. MOROCOCHA - CARLOS FRANCISCO - LINEA L-6533</t>
  </si>
  <si>
    <t>L. POMABAMBA - HUARI - LINEA L-6693</t>
  </si>
  <si>
    <t>14:45</t>
  </si>
  <si>
    <t>Turbina Pelton</t>
  </si>
  <si>
    <t>C.H. Aricota II</t>
  </si>
  <si>
    <t>24/01/2025</t>
  </si>
  <si>
    <t>L-2240</t>
  </si>
  <si>
    <t>CARHUAQUERO - CHICLAYO OESTE</t>
  </si>
  <si>
    <t>TRUJILLO NORTE - CHIMBOTE 1</t>
  </si>
  <si>
    <t>L-2211</t>
  </si>
  <si>
    <t>ICA - MARCONA</t>
  </si>
  <si>
    <t>L-1122</t>
  </si>
  <si>
    <t>TINGO MARÍA - AUCAYACU</t>
  </si>
  <si>
    <t>NORTE</t>
  </si>
  <si>
    <t>SUBESTACION</t>
  </si>
  <si>
    <t>TRANSFORMADOR 2D</t>
  </si>
  <si>
    <t>27/01/2025</t>
  </si>
  <si>
    <t>15:45</t>
  </si>
  <si>
    <t>15:15</t>
  </si>
  <si>
    <t>14:30</t>
  </si>
  <si>
    <t>12:15</t>
  </si>
  <si>
    <t>L. CARHUAMAYO - HUARÓN - LINEA L-6514</t>
  </si>
  <si>
    <t>ELECTROCENTRO</t>
  </si>
  <si>
    <t>MINERA BUENAVENTURA</t>
  </si>
  <si>
    <t>L. PARAGSHA II - UCHUCCHACUA - LINEA L-1123</t>
  </si>
  <si>
    <t>CVC ENERGÍA</t>
  </si>
  <si>
    <t>L. TIERRAS NUEVAS - PAMPA PAÑALA - LINEA L-6155</t>
  </si>
  <si>
    <t>L. ARES - HUANCARAMA - LINEA L-6017</t>
  </si>
  <si>
    <t>ARUNTANI S.A.C.</t>
  </si>
  <si>
    <t>L. PUNO - TUCARI - LINEA L-6007</t>
  </si>
  <si>
    <t>CONELSUR LT SAC</t>
  </si>
  <si>
    <t>ISA PERU</t>
  </si>
  <si>
    <t>2025</t>
  </si>
  <si>
    <t>INVERSIONES SHAQSHA S.A.C.</t>
  </si>
  <si>
    <t>Total INVERSIONES SHAQSHA S.A.C.</t>
  </si>
  <si>
    <t>ORYGEN PERU S.A.A.</t>
  </si>
  <si>
    <t>Total ORYGEN PERU S.A.A.</t>
  </si>
  <si>
    <t>(1) Inicio de Operación Comercial de la C.H. Aricota II, propiedad de EGESUR desde el 24/01/2025.</t>
  </si>
  <si>
    <t>26/01/2024</t>
  </si>
  <si>
    <t>2025 / 2024</t>
  </si>
  <si>
    <t>TOTAL (CONSIDERANDO LA INTERCAMBIOS)</t>
  </si>
  <si>
    <t>Variación 2025/2024 (MW)</t>
  </si>
  <si>
    <t>Variación 2025/2024 (GWh)</t>
  </si>
  <si>
    <t>Var (%)
2025/2024</t>
  </si>
  <si>
    <t>2. MODIFICACIÓN DE LA OFERTA DE GENERACIÓN ELÉCTRICA DEL SEIN EN EL 2025</t>
  </si>
  <si>
    <r>
      <rPr>
        <b/>
        <i/>
        <sz val="6"/>
        <rFont val="Arial"/>
        <family val="2"/>
      </rPr>
      <t>Cuadro N°13:</t>
    </r>
    <r>
      <rPr>
        <i/>
        <sz val="6"/>
        <color rgb="FF000000"/>
        <rFont val="Arial"/>
        <family val="2"/>
      </rPr>
      <t xml:space="preserve"> Volúmen útil de los principales embalses y lagunas del SEIN al término del periodo de análisis de los años 2024 y 2025.</t>
    </r>
  </si>
  <si>
    <r>
      <rPr>
        <b/>
        <i/>
        <sz val="6"/>
        <rFont val="Arial"/>
        <family val="2"/>
      </rPr>
      <t>Cuadro N°13:</t>
    </r>
    <r>
      <rPr>
        <i/>
        <sz val="6"/>
        <color rgb="FF000000"/>
        <rFont val="Arial"/>
        <family val="2"/>
      </rPr>
      <t xml:space="preserve"> Promedio de caudales de agosto en los años 2024 y 2025.</t>
    </r>
  </si>
  <si>
    <r>
      <rPr>
        <b/>
        <i/>
        <sz val="7"/>
        <rFont val="Arial"/>
        <family val="2"/>
      </rPr>
      <t>Gráfico N°19:</t>
    </r>
    <r>
      <rPr>
        <i/>
        <sz val="7"/>
        <color rgb="FF000000"/>
        <rFont val="Arial"/>
        <family val="2"/>
      </rPr>
      <t xml:space="preserve"> Promedio de caudales de agosto en los años 2024 y 2025.</t>
    </r>
  </si>
  <si>
    <t>Var. (2025/2024)</t>
  </si>
  <si>
    <t>2025/ 2024</t>
  </si>
  <si>
    <t>2.2. POTENCIA EFECTIVA EN EL SEIN</t>
  </si>
  <si>
    <t>POTENCIA EFECTIVA (MW)</t>
  </si>
  <si>
    <t>1.1. Producción de energía eléctrica en febrero de 2025 en comparación al mismo mes del año anterior</t>
  </si>
  <si>
    <t>febrero</t>
  </si>
  <si>
    <t>L. TRUJILLO NORTE - SANTIAGO DE CAO - LINEA L-1118</t>
  </si>
  <si>
    <t>01/02/2025 12:04:05</t>
  </si>
  <si>
    <t>Desconectó la línea L-1118 (Trujillo Norte - Santiago de Cao) en 138 kV, por actuación de la protección distancia (21) ante una falla bifásica en las fases "S" y "T" a una distancia 24.7 km desde la S.E. Trujillo Norte, debido al acercamiento de un camión a los conductores de la línea, según lo informado por HIDRANDINA, titular de la línea. Como consecuencia se interrumpió el suministro de la S.E. Santiago de Cao con un total de 17.5 MW. A las 12:22 h se conectó la línea L-1118 y se procedió a recuperar el suministro interrumpido.</t>
  </si>
  <si>
    <t>02/02/2025 07:24:27</t>
  </si>
  <si>
    <t>Desconectó la línea L-6155 (Tierras Nuevas - Pampa Pañalá) de 60 kV por actuación de la protección diferencial (87L) ante una falla monofásica a tierra en la fase "S", debido al contacto de un ave de rapiña con el conductor de la línea, según lo informado por CVC ENERGÍA, titular de la línea. Como consecuencia se interrumpió el suministro de la S.E. Pampa Pañala con un total de 13.25 MW. A las 07:28:16 h, se conectó la línea L-6155 y se recuperó el suministro interrumpido.</t>
  </si>
  <si>
    <t>ELECTRONORTE S.A.</t>
  </si>
  <si>
    <t>L. ESPINA COLORADA - DUNA                                                                               - LINEA L-1334</t>
  </si>
  <si>
    <t>02/02/2025 10:02:00</t>
  </si>
  <si>
    <t xml:space="preserve">Desconectó la línea L-1334 (Espina Colorada - Duna Huambos) de 138 kV en la S.E. Duna Huambos por actuación de su protección diferencial, momento en que la Empresa Eléctrica RÍO DOBLE se encontraba realizando trabajos en la celda de línea L-1334 en la S.E Espina Colorada, quedando energizada desde la S.E. Espina Colorada, según lo informado por RÍO DOBLE, titular de la S.E Espina Colorada. Como consecuencia, se interrumpió el suministro de las SS.EE. Cutervo y Nueva Jaén con un total de 4.78 MW. Asimismo, desconectaron las CC.EE. Duna y Huambos cuando generaban 10.95 MW en total. A las 11:03 h, se conectó la línea L-1334 y se recuperó el suministro interrumpido. </t>
  </si>
  <si>
    <t>L. DUNA - CUTERVO                                                                                       - LINEA L-1135</t>
  </si>
  <si>
    <t>02/02/2025 11:19:57</t>
  </si>
  <si>
    <t>Desconexión de la línea L-1135 (Duna Huambos - Cutervo) de 138 kV por falla, al momento en que se energizó la S.E Cutervo, cuya causa no fue informada por ELECTRO NORTE, titular de la línea. Como consecuencia, se interrumpió el suministro de las SS.EE. Cutervo y Nueva Jaén con un total de 1.9 MW. A las 11:36 h, se conectó la línea L-1135 y se procedió a restablecer la carga interrumpida.</t>
  </si>
  <si>
    <t>02/02/2025 15:57:31</t>
  </si>
  <si>
    <t>Desconectó la línea L-6015 (Callalli - Caylloma) de 66 kV por actuación de su protección homopolar, cuya causa se encuentra en investigación, según lo informado por MINERA ARES, titular de la línea. Como consecuencia se interrumpió el suministro de la S.E. Caylloma con un total de 6.993 MW, correspondiente a la carga de MINERA ARES, MINERA BATEAS y SEAL. A las 16:00:26 h, se conectó la línea L-6015 y se procedió a recuperar la carga interrumpida.</t>
  </si>
  <si>
    <t>L. GUADALUPE - CHEPÉN - LINEA L-6645</t>
  </si>
  <si>
    <t>03/02/2025 02:11:58</t>
  </si>
  <si>
    <t>Desconectó la línea L-6645 (Guadalupe - Chepén) de 60 kV, por actuación de la protección diferencial ante una falla monofásica a tierra en la fase "T" a una distancia de 6.33 km desde la S.E. Guadalupe, debido a acto vandálico ocasionando seccionamiento y caída de línea, según lo informado por HIDRANDINA, titular de la línea. Como consecuencia, se interrumpió el suministro de la S.E. Chepén con un total de 7.83 MW y el usuario libre CEMENTOS PACASMAYO redujo su carga en 2.29 MW. A las 09:41 h, se conectó la línea L-6645 y se procedió a recuperar la carga interrumpida.</t>
  </si>
  <si>
    <t>L. VILLA RICA - PICHANAKI - LINEA L-6084</t>
  </si>
  <si>
    <t>03/02/2025 11:39:35</t>
  </si>
  <si>
    <t>Desconectó la línea L-6084 (Villa Rica - Pichanaki) de 60 kV por falla bifásica en las fases "R" y "T", debido al contacto de rama de árbol con línea en el vano de las estructuras E73 – E74 debido a tala por terceras personas en el sector la Florida, según lo informado por ELECTROCENTRO, titular de la línea. Como consecuencia, se interrumpió el suministro de las SS.EE. Pichanaki, Satipo, CT Satipo y Chalhuamayo con un total de 12.876 MW.
A las 11:57:31 h, se conectó la línea L-6084 y se procedió a recuperar la carga interrumpida.</t>
  </si>
  <si>
    <t>03/02/2025 13:23:33</t>
  </si>
  <si>
    <t>Desconectó la línea L-6021 (Azangaro - Antauta) de 60 kV por actuación de la protección distancia (21) ante una falla, debido a descargas atmosféricas en la zona, según lo informado por ELECTROPUNO, titular de la línea. Como consecuencia, se interrumpió el suministro de la S.E. Antauta con un total de 1.45 MW. A las 13:25:20 h, se conectó la línea L-6021 y se procedió a recuperar la carga interrumpida.</t>
  </si>
  <si>
    <t>L. NAZCA - PUQUIO - LINEA L-6630/2</t>
  </si>
  <si>
    <t>03/02/2025 13:58:38</t>
  </si>
  <si>
    <t>Desconectó la línea L-6630/2 (Nazca - Puquio) en 60 kV, por falla monofásica en la fase "S" a una distancia de 77.35 km desde la S.E. Nazca, debido a descargas atmosféricas en el sector Pampa Galeras, según lo informado por ELECTRODUNAS, titular de la línea. Como consecuencia se interrumpió el suministro de las SS.EE. Puquio y Coracora. A las 13:59:20 h se conectó la línea y se recuperó la carga interrumpida.</t>
  </si>
  <si>
    <t>PLUZ ENERGÍA PERÚ S.A.A.</t>
  </si>
  <si>
    <t>S.E. HUARANGAL - TRAFO TR1 220/60</t>
  </si>
  <si>
    <t>04/02/2025 04:22:39</t>
  </si>
  <si>
    <t>Desconectó el transformador TR de 220/60 kV de la S.E. Huarangal por falla cuya causa se encuentra en investigación, según lo informado por PLUZ ENERGÍA, titular del equipo. Como consecuencia se interrumpió el suministro de la S.E. Huarangal con un total de 66.93 MW. A las 09:55 h, se conectó el transformador y se recuperó el suministro interrumpido.</t>
  </si>
  <si>
    <t>04/02/2025 16:27:02</t>
  </si>
  <si>
    <t>Desconectó la línea L-1123 (Paragsha II - Uchucchacua) de 138 kV en la S.E. Uchucchacua por actuación de la protección distancia (21) ante una falla monofásica en la fase "T" a 54.4 km de la S.E Paragsha, mientas que en la S.E. Paragsha II se produjo recierre de la línea L-1123, debido a presencia de nevadas en la zona de falla, según lo informado por MINERA BUENAVENTURA, titular de la línea. Como consecuencia se interrumpió el suministro de la S.E. Uchucchacua con un total de 20,0 MW. A las 16:33 h, se conectó la línea L-1123 y se procedió a recuperar los suministros interrumpidos.</t>
  </si>
  <si>
    <t>05/02/2025 06:54:09</t>
  </si>
  <si>
    <t xml:space="preserve">Desconectó la línea L-6533 (Nueva Morococha - Carlos Francisco) de 50 kV por falla monofásica en la fase "T", debido a fuertes nevadas por la zona de Ticlio, según lo informado por STATKRAFT, titular de la línea. Como consecuencia, se interrumpió el suministro de la S.E. Ticlio con un total de 10.63 MW, correspondiente a MINERA VOLCÁN y la S.E. Casapalca con un total de 4.73 MW. A las 06:55:34 h, se conectó la línea L-6533 y se procedió a recuperar la carga interrumpida. </t>
  </si>
  <si>
    <t>05/02/2025 07:15:10</t>
  </si>
  <si>
    <t xml:space="preserve">Desconectó la línea L-6533 (Nueva Morococha - Carlos Francisco) de 50 kV por falla monofásica en la fase "T", debido a fuerte nevada por la zona de Ticlio, según lo informado por STATKRAFT, titular de la línea. Como consecuencia se interrumpió el suministro de la S.E. Ticlio con un total de 10.63 MW, correspondiente a MINERA VOLCAN y la S.E. Casapalca con un total de 4.73 MW. A las 07:26:31 h, se conectó la línea L-6533 y se procedió a recuperar la carga interrumpida. </t>
  </si>
  <si>
    <t>05/02/2025 08:09:43</t>
  </si>
  <si>
    <t>Desconectó la línea L-6533 (Nueva Morococha - Carlos Francisco) de 50 kV por falla monofásica en la fase "T", debido a fuerte nevada en la zona de Ticlio, según lo informado por STATKRAFT, titular de la línea. Como consecuencia, se interrumpió el suministro de la S.E. Ticlio con un total de 10.63 MW, correspondiente a MINERA VOLCAN y la S.E. Casapalca con un total de 4.73 MW. A las 08:17 h se procedió a recuperar la carga de la S.E. Casapalca con la energización de su transformador. A las 09:50:46 h se energizó la línea L-6533 en la S.E. Nueva Morococha y se procedió a recuperar el resto de la carga interrumpida en la S.E. Ticlio. A las 12:15 h la línea L-6533 se conectó desde el extremo de la S.E. Carlos Francisco.</t>
  </si>
  <si>
    <t>06/02/2025 05:54:50</t>
  </si>
  <si>
    <t>Desconectaron las líneas L-6514 (Carhuamayo - Shelby) y L-6516 (Shelby - Excelsior) de 50 kV por actuación de la protección de sobrecorriente de fases (67) ante una falla debido a fuertes vientos por la zona, según lo informado por STATKRAFT, titular de las líneas. Como consecuencia se interrumpió el suministro de las SS.EE. Shelby Huaron, Shelby Trevaliy, San Juan II, San José y Smelter con un total de 7.55 MW. A las 05:55:20 h, se conectaron las líneas y se procedió a recuperar la carga interrumpida.</t>
  </si>
  <si>
    <t>06/02/2025 08:37:35</t>
  </si>
  <si>
    <t>Desconectó la línea L-6027(PUNO - POMATA - ILAVE) de 60 kV por actuación de la protección distancia (21) ante una falla debido a descargas atmosféricas en la zona Ilave - Pomatacuya, según lo informado por ELECTRO PUNO, titular de la línea. Como consecuencia se interrumpió el suministro de las SS.EE. Pomata e Ilave con un total de 3.7 MW. A las 08:39:08 h se conectó la línea L-6027 y se procedió a recuperar la carga interrumpida.</t>
  </si>
  <si>
    <t>L. INDEPENDENCIA - PISCO - LINEA L-6605</t>
  </si>
  <si>
    <t>06/02/2025 16:58:45</t>
  </si>
  <si>
    <t>Desconectó la línea L-6605 (Independencia - Pisco - Alto La Luna) de 60 kV por actuación de la protección distancia (21) ante una falla monofásica en la fase "T" a una distancia de 42.28 km desde la S.E. Independencia, debido al acercamiento del conductor de la línea con una estructura de telecomunicaciones instalado por terceros, según lo informado por ELECTRO DUNAS, titular de la línea. Como consecuencia, se interrumpió el suministro de las SS.EE. Alto la Luna y Pisco con un total de 23.52 MW. A las 20:49 h, se conectó la línea L-6605 y se procedió a recuperar la carga interrumpida.</t>
  </si>
  <si>
    <t>S.E. PIURA OESTE - TRAFO3D T32-261</t>
  </si>
  <si>
    <t>06/02/2025 19:20:23</t>
  </si>
  <si>
    <t>Desconectó el transformador T32-261 de 220/60 kV de la S.E. Piura Oeste por actuación de su protección diferencial (87T) ante una falla monofásica en la fase "T", debido a una falla en el buje de 220 kV del transformador, según lo informado por RED DE ENERGÍA DEL PERÚ, titular del equipo. Como consecuencia, desconectó la barra "B" de 60 kV de la S.E. Piura Oeste y las líneas L-6699 (Piura Oeste - Planta Etanol) y L-6560 (Piura Oeste - Catacaos) de 60 kV, interrumpiéndose el suministro de las SS.EE. La Unión, Sechura y Constante con un total de 13.34 MW. Asimismo, el usuario libre Cementos Piura redujo su carga en 5.2 MW y se produjo la desconexión de la unidad TV2 de la C.T. Refinería Talara cuando generaba 36.96 MW. A las 19:40:54 h, se energizó la barra "B" de 60 kV en la S.E. Piura Oeste con la línea L-6699 en vacío. A las 19:41:38 h, se conectó la línea L-6560 y se procedió a recuperar la carga interrumpida. El transformador T32-261 de la S.E. Piura Oeste quedó indisponible para su revisión. Según lo informado por REP, se estima que su reposición será el 14.02.2025.</t>
  </si>
  <si>
    <t>07/02/2025 18:20:43</t>
  </si>
  <si>
    <t>Desconectó la línea L-6027 (Puno - Pomata - Ilave) de 60 kV por actuación de su protección distancia, ante una falla originada por descargas atmosféricas en la zona, según lo informado por ELECTRO PUNO, titular de la línea. Como consecuencia se interrumpieron los suministros de las SS.EE. Ilave y Pomata con un total de 5.5 MW. A las 18:22 h, la línea L-6027 entró en servicio y se recuperaron los suministros interrumpidos.</t>
  </si>
  <si>
    <t>S.E. INDEPENDENCIA - CELDA BARRA 10</t>
  </si>
  <si>
    <t>08/02/2025 01:04:51</t>
  </si>
  <si>
    <t>Desconectó la barra de 10 kV de la S.E. Independencia por desconexión del transformador T4-261 en el lado de 10 kV, debido a error humano durante actividades de modernización programadas en el transformador T3-261,según lo informado por RED DE ENERGÍA DEL PERÚ, titular de la subestación. Como consecuencia se interrumpió un total de 1.1 MW. A la 01:08 h, se conectó la barra y se recuperó el suministro interrumpido.</t>
  </si>
  <si>
    <t>L. YAUPI - OXAPAMPA - LINEA L-1203</t>
  </si>
  <si>
    <t>08/02/2025 05:17:06</t>
  </si>
  <si>
    <t>Desconectó la línea L-1203 (Yaupi - Oxapampa) de 138 kV por actuación indeseada de su protección distancia, ante una falla trifásica en la línea L-6082 (Villa Rica - Puerto Bermúdez) de 60 kV,  según lo informado por ELECTROCENTRO, titular de la línea. Como consecuencia se interrumpieron los suministros de las SS.EE. Oxapampa, Villa Rica, Pichanaki, Satipo, Chalhuamayo, Puerto Bermúdez con un total de 11.783 MW. La línea quedó indisponible para su inspección. Asimismo, durante el evento se registró activación del ERACMF, interrumpiendo un total de 0.74 MW. A las 05:46:26 h entró en servicio la línea L-1203 y se recuperó la carga interrumpida. Cabe señalar que, a las 07:48 h el Centro de Control de Electrocentro informó que como consecuencia del evento se había producido la activación del ERACMF.</t>
  </si>
  <si>
    <t>L. PACHACHACA - MOROCOCHA - LINEA L-6528</t>
  </si>
  <si>
    <t>08/02/2025 13:04:48</t>
  </si>
  <si>
    <t xml:space="preserve">Desconectó la línea L-6528C (Morococha - Sacracancha) de 50 kV por falla bifásica a tierra en las fases "R" y "S", debido a descargas atmosféricas en la zona de Morococha, según lo informado por STATKRAFT, titular de la línea. A la misma hora desconectó el transformador de Casapalca 50 kV interrumpiendo 0.04 MW. Como consecuencia se interrumpió el suministro de las mineras Argentum y Los Quenuales con una carga de 1.8 MW. A las 13:29:19 h, se conectó la línea y se procedió a recuperar el suministro interrumpido. A las 13:08:26 se conectó el transformador de Casapalca y se restableció la carga interrumpida de esta subestación. </t>
  </si>
  <si>
    <t>08/02/2025 18:54:51</t>
  </si>
  <si>
    <t>Desconectó la línea L-6528C (Morococha - Sacracancha) de 50 kV por actuación de su protección de sobrecorriente direccional (67N), ante una falla monofásica en la fase "S" debido a descargas atmosféricas en la zona de Nueva Morococha, según lo informado por STATKRAFT, titular de la línea. Como consecuencia se interrumpió el suministro de las SS.EE. Austria Duvaz y Alpamina con un total de 2 MW. A las 18:57 h, se puso en servicio la línea y se procedió a recuperar el suministro interrumpido.</t>
  </si>
  <si>
    <t>08/02/2025 21:34:00</t>
  </si>
  <si>
    <t>Desconectó la línea L-6027 (Puno - Pomata - Ilave) de 60 kV por actuación de su protección de distancia (21) en zona 1, debido a falla originada por descargas atmosféricas, según lo informado por ELECTRO PUNO, titular de la línea. Como consecuencia se interrumpió la carga de las S.E. Ilave y S.E. Pomata un total de 5.47 MW. A las 21:36:00 h la línea L-6027 entró en servicio y se normalizó el suministro interrumpido.</t>
  </si>
  <si>
    <t>C.H. HUANCHOR - CH CENTRAL</t>
  </si>
  <si>
    <t>09/02/2025 16:09:05</t>
  </si>
  <si>
    <t>Desconectaron las líneas L-6529 (Pachachaca - Morococha) y L-6533 (Morococha - Carlos Francisco) de 50 kV, por actuación de su protección distancia ante una falla trifásica a 18,6 km de la S.E Carlos Francisco, debido a descargas atmosféricas en la zona de falla, según lo informado por STATKRAFT, titular de la línea. Como consecuencia se interrumpió el suministro de la S.E. Ticlio con un total de 8.5 MW, correspondiente a la carga de MINERA VOLCAN. Asimismo, desconectó la C.H. Huanchor cuando generaba 18 MW. A las 16:11:30 h, se conectaron las líneas L-6529 y L-6533 y se procedió a recuperar la carga interrumpida.</t>
  </si>
  <si>
    <t>L. CERRO VERDE - SULFUROS - LINEA L-2064</t>
  </si>
  <si>
    <t>09/02/2025 19:49:43</t>
  </si>
  <si>
    <t>Desconectó la línea L-2064 (Cerro Verde - Sulfuros) de 220 kV por falla monofásica en la fase "R" del seccionador DS-004 en la S.E Sulfuros 220kV, según lo informada por MINERA CERRO VERDE, titular de la línea. Como consecuencia se interrumpió 114 MW en la S.E. Concentradora 1 que se alimenta desde la S.E Sulfuros y se redujo 108 MW en S.E. Concentradora 2 que se alimenta desde la S.E San Luis. Así mismo,  Southern Peru informó que redujo 6.4 MW, Quellaveco 29,56 MW, Cementos Yura 13.7 MW y Minera Las Bambas 18.35 MW. A las 19:50 h se iniciaron las coordinaciones para recuperar la carga reducida. A las 20:54:16 h se energiza la línea L-2064 y vuelve a desconectar por falla. A las 21:00 h Minera Cerro Verde informa a COES que se comunicarán nuevamente para energizar la línea. A las 13:15 h del 10.02.2025 se conectó la línea.</t>
  </si>
  <si>
    <t>C.H. RESTITUCIÓN - GH G2</t>
  </si>
  <si>
    <t>09/02/2025 20:54:11</t>
  </si>
  <si>
    <t xml:space="preserve">Desconectó la línea L-2229 (Campo Armiño - Restitución) de 220 kV y el transformador de potencia de 220/13,8 kV del grupo G2 de la C.H Restitución, ante una falla monofásica en la fase "R" en el aislador separador de entrada en el lado de 220 kV del transformador de potencia, según lo informado por ELECTROPERU titular de la línea. Como consecuencia, se desconectó el generador G2 de la C.H. Restitución, que operaba con 73.35 MW. A las 20:54 h se intentó energizar la línea, pero el resultado fue negativo debido a la presencia de falla en la fase "R". Esto ocasionó caídas de tensión en Mina Justa. Además, Minera Southern Perú redujo su demanda en 7.8 MW, Cementos Yura en 12 MW y Anglo American Quellaveco en 15.63 MW. A las 20:57 h se coordinó  recuperar la carga reducida. El grupo G2 quedó indisponible por inspección. El día 11.02.2025 a las 09:58:11 h se conectó la línea L-2229. </t>
  </si>
  <si>
    <t>REDESUR</t>
  </si>
  <si>
    <t>L. SOCABAYA - MOQUEGUA - LINEA L-2025</t>
  </si>
  <si>
    <t>10/02/2025 00:37:08</t>
  </si>
  <si>
    <t>Desconectó la línea L-2025 (Socabaya - Moquegua) de 220 kV por actuación de su protección diferencial de línea (87L), ante una falla monofásica "R" debido a descargas atmosféricas a 3.6 km de la S.E Socabaya, según lo informado por REDESUR, titular de la línea. Cabe señalar que, el sistema de protección efectuó el recierre monofásico, sin embargo, debido a que la falla persistió en la línea, se produjo su desconexión trifásica. Como consecuencia, los usuarios libres LAS BAMBAS, SPCC, CEMENTOS YURA y QUELLAVECO redujeron su carga en 18.79 MW, 7.9 MW, 13 MW y 14,19 MW, respectivamente. A las 00:39 se coordinó recuperar la carga reducida. A las 00:43 h, se conectó la línea L-2025.</t>
  </si>
  <si>
    <t>10/02/2025 13:39:30</t>
  </si>
  <si>
    <t>Desconectó la línea L-6528 (Nueva Morococha – Pachachaca) de 50 kV por actuación de su protección de sobrecorriente direccional a tierra (67N), ante una falla monofásica en la fase "S", debido a posible acercamiento entre el cable de guarda y la fase “S” del tramo de derivación de Austria Duvaz por fuertes vientos en la zona de Nueva Morococha, según lo informado por STATKRAFT, titular de la línea. Asimismo, desconectó el transformador TR de la S.E. Casapalca. Como consecuencia se interrumpió el suministro de las SS.EE. Austria Duvaz, Concetradora Sacracancha y Casapalca con un total de 6.53 MW. A las 13:42:19 h, se conectó el transformador TR de la S.E. Casapalca, con cual se procedió a recuperar la carga interrumpida en dicha subestación. A las 14:11 h, se conectó la línea L-6528 y se procedió a recuperar toda la carga interrumpida.</t>
  </si>
  <si>
    <t>11/02/2025 03:29:26</t>
  </si>
  <si>
    <t>Desconectaron las línea L-6524B, L-6524C y L-6524E (Pasco - Huicra - Antagsha y Goyllarisquizga) de 50 kV, por actuación de su protección de sobrecorriente (51) ante una falla monofásica a tierra en la fase "S", debido a descargas atmosféricas en la localidad de Huicra, según lo informado por ELECTROCENTRO. Como consecuencia, se interrumpió el suministro de la S.E. Goyllarisquizga con un total de 0.523 MW, correspondiente a la carga de ELECTROCENTO. A las 03:29:36 h, se conectaron las línea y se procedió a recuperar el suministro interrumpido.</t>
  </si>
  <si>
    <t>ATN 2 S.A.</t>
  </si>
  <si>
    <t>L. COTARUSE - LAS BAMBAS - LINEA L-2056</t>
  </si>
  <si>
    <t>11/02/2025 05:03:04</t>
  </si>
  <si>
    <t>Desconectó la línea L-2056 (Cotaruse – Las Bambas) de 220 kV por actuación de la protección diferencial (87L) ante una falla bifásica a tierra en las fases "S" y "T" a una distancia de 6,25 km desde la S.E. Las Bambas, debido a condiciones climatológicas adversas (intensa nevada en la zona), según lo informado por ATN 2, titular de la línea. Como consecuencia, Minera las Bambas redujo su carga en 109.65 MW. A las 05:12:59 h, se conectó la línea L-2056.</t>
  </si>
  <si>
    <t>11/02/2025 06:58:46</t>
  </si>
  <si>
    <t>Desconectó la línea L-2056 (Cotaruse – Las Bambas) de 220 kV por actuación de la protección diferencial (87L) ante una falla bifásica a tierra en las fases "S" y "T" a una distancia de 4,84 km desde la S.E. Las Bambas, debido a condiciones climatológicas adversas (intensa nevada en la zona), según lo informado por ATN 2, titular de la línea. Como consecuencia Minera las Bambas redujo su carga en 100.85 MW. A las 07:09:59 h, se conectó la línea L-2056.</t>
  </si>
  <si>
    <t>11/02/2025 07:37:35</t>
  </si>
  <si>
    <t>Desconectó la línea L-2056 (Cotaruse – Las Bambas) de 220 kV por actuación de la protección diferencial (87L) ante una falla bifásica a tierra en las fases "S" y "T" a una distancia de 5,09 km desde la S.E. Las Bambas, debido a condiciones climatológicas adversas (intensa nevada en la zona), según lo informado por ATN 2, titular de la línea. Como consecuencia Minera las Bambas redujo su carga en 37,77 MW. A las 10:39 h, se conectó la línea L-2056.</t>
  </si>
  <si>
    <t>S.E. SAN JACINTO - SSEE SS.EE.</t>
  </si>
  <si>
    <t>12/02/2025 02:27:35</t>
  </si>
  <si>
    <t>Desconectó el transformador TP-A048 138/23 kV de la S.E. San jacinto, por falla cuyas causas se encuentran en investigación, según lo informado por HIDRANDINA, titular del equipo. Como consecuencia se interrumpió el suministro de la S.E. San Jacinto con un total de 1.83 MW. A las 02:30:31 h, se conectó el transformador y se procedió a recuperar los suministros interrumpidos.</t>
  </si>
  <si>
    <t>12/02/2025 03:38:12</t>
  </si>
  <si>
    <t>Desconectó el transformador TP-A048 138/23 kV de la S.E. San jacinto, por falla cuyas causas se encuentran en investigación, según lo informado por HIDRANDINA, titular del equipo. Como consecuencia se interrumpió el suministro de la S.E. San Jacinto con un total de 0.8 MW. A las 05:24 h, se conectó el transformador y se procedió a recuperar los suministros interrumpidos.</t>
  </si>
  <si>
    <t>12/02/2025 07:04:35</t>
  </si>
  <si>
    <t>desconectó la línea L-6533 (Nueva Morococha - Carlos Francisco) de 50 kV debido a una falla en la derivación de la línea que se conecta a la Minera Volcan, originada por la rotura del cable de guarda en el vano entre las estructuras 05 y 06, la cual fue ocasionada por las severas condiciones climáticas en la zona de Ticlio, según lo informado por Volcan, titular del tramo de derivación de la línea. Como consecuencia, se interrumpió el suministro de 10.10 MW a la Minera Volcan - Ticlio. A las 09:00 h, la línea fue restablecida y se coordinó la recuperación de la carga interrumpida.</t>
  </si>
  <si>
    <t>L. MOROCOCHA - CARLOS FRANCISCO - LINEA L-6532</t>
  </si>
  <si>
    <t>12/02/2025 08:01:29</t>
  </si>
  <si>
    <t>Desconectó la línea L-6532 (Nueva Morococha - Carlos Francisco) de 50 kV por falla monofásica en la fase "R", debido a posibles descargas atmosféricas en la zona de Nueva Morococha, según lo informado por STATKRAFT, titular de la línea. Cabe señalar que la línea paralela L-6533 (Nueva Morococha - Carlos Francisco) DE 50 kV estaba fuera de servicio por falla. Como consecuencia se interrumpió el suministro de las SS.EE. Carlos Francisco, Antuquito, Rosaura, Bellavista, Casapalca Norte y San Mateo con una carga total de 22.5 MW. Asimismo, desconectó la C.H. Huanchor cuando generaba 18.53 MW. A las 08:04:26 h, se conectó la línea L-6532 y se coordinó recuperar la carga interrumpida. A las 09:19 h y 09:22 h, sincronizaron los generadores G2 y G1 de la C.H. Huanchor, respectivamente.</t>
  </si>
  <si>
    <t>12/02/2025 08:43:20</t>
  </si>
  <si>
    <t>Desconectó la línea L-6528 (Nueva Morococha - Sacracancha) de 50 kV por falla en instalaciones de Minera Austria Duvaz, según lo informado por STATKRAFT, titular de la línea. Como consecuencia se interrumpió el suministro de las SS.EE. Austria Duvaz y Concentradora Sacracancha con un total de 2.1 MW. A las 08:45:20 h, se conectó la línea L-6528 y se procedió a recuperar el suministro interrumpido.</t>
  </si>
  <si>
    <t>L. PACHACHACA - MOROCOCHA - LINEA L-6530</t>
  </si>
  <si>
    <t>12/02/2025 09:04:47</t>
  </si>
  <si>
    <t>Desconectaron las líneas L-6530 (Pachachaca - Nueva Morococha) y L-6532 (Nueva Morococha - Carlos Francisco) de 50 kV por falla debido a nevadas en la zona de Ticlio, según lo informado por STATKRAFT, titular de las líneas. Como consecuencia se interrumpió el suministro de las SS.EE. Nueva Morococha y Casapalca Norte con un total de 4.75 MW. Asimismo, desconectó la C.H. Canchayllo cuando generaba 5.05 MW. A las 09:06:59 h, se conectaron las líneas y se procedió a recuperar el suministro interrumpido.</t>
  </si>
  <si>
    <t>L. CANCHAYLLO - Der. AZULCOCHA - LINEA L-6647 A</t>
  </si>
  <si>
    <t>12/02/2025 09:31:15</t>
  </si>
  <si>
    <t>Desconectó la línea L-6647 (Canchayllo - Azulcocha - Chumpe) de 69 kV en la S.E Canchayllo por falla en las instalaciones de EMPRESA DE GENERACIÓN ELÉCTRICA CANCHAYLLO, según lo informado por STATKRAFT, titular de la línea. Como consecuencia se interrumpió el suministro de las SS.EE. Azulcocha y Chumpe con un total de 11 MW. A las 09:33:16 h, se conectó la línea L-6647 y se procedió a recuperar el suministro interrumpido.</t>
  </si>
  <si>
    <t>12/02/2025 12:28:10</t>
  </si>
  <si>
    <t>Desconectó la línea L-6647 (Canchayllo - Azulcocha - Chumpe) de 69 kV en la S.E Canchayllo, por falla en las instalaciones de la EMPRESA DE GENERACIÓN ELÉCTRICA CANCHAYLLO, según lo informado por STATKRAFT, titular de la línea. Como consecuencia se interrumpió el suministro de las SS.EE. Azulcocha y Chumpe con un total de 11.5 MW. A las 12:29:08 h, se conectó la línea L-6647 y se procedió a recuperar el suministro interrumpido.</t>
  </si>
  <si>
    <t>12/02/2025 12:53:29</t>
  </si>
  <si>
    <t>Desconectó la línea L-6528 ( Nueva Morococha - Sacracancha) de 50 kV por falla en las instalaciones de MINERA AUSTRIA DUVAZ, según lo informado por STATKRAFT, titular de la línea. Como consecuencia se interrumpió el suministro de las SS.EE.  Austria Duvaz y Concentradora Sacracancha con un total de 2 MW. A las 12:56:44 h, se conectó la línea L-6528 y se procedió a recuperar el suministro interrumpido.</t>
  </si>
  <si>
    <t>L. ARES - TALTA - LINEA L-1047</t>
  </si>
  <si>
    <t>13/02/2025 06:22:00</t>
  </si>
  <si>
    <t xml:space="preserve">Desconectó la línea L-1047 (Talta - Ares) de 138 kV por actuación de su protección distancia ante una falla monofásica a tierra en la fase "T", a una distancia de 3.98 km desde la S.E. Talta, debido a nevadas en la zona, según lo informado por CONELSUR, titular de la línea. Como consecuencia se interrumpió el suministro de las SS.EE. Ares, Arcata, Huancarama, Cotahuasi y Chipmo con una carga total de 6.24 MW. Asimismo, desconectó la C.H. Misapuquio cuando generaba 3.83 MW. A las 06:27 h, se conectó la línea L-1047 y se procedió a recuperar la carga interrumpida. </t>
  </si>
  <si>
    <t>13/02/2025 07:04:01</t>
  </si>
  <si>
    <t>Desconectó la línea L-6015 (Callalli - Caylloma) en la S.E Callalli, por falla del sistema de protección (sobretensión homopolar (59N)) de la línea L-6016, según lo informado por MINERA ARES, titular de la línea. Como consecuencia se interrumpió el suministro de la S.E. Caylloma con un total de 5 MW. A las 07:10:56 h, se conectó la línea L-6015 y se procedió a recuperar la carga interrumpida.</t>
  </si>
  <si>
    <t>13/02/2025 07:14:00</t>
  </si>
  <si>
    <t xml:space="preserve">Desconectó la línea L-1047 (Talta - Ares) de 138 kV por falla monofásica a tierra en la fase "T" a una distancia de 6.36 km desde la S.E. Talta, debido a nevada en la zona, según lo informado por CONELSUR, titular de la línea. La falla fue despejada por actuación de su protección distancia (21) seguido de un recierre monofásico, sin embargo, al persistir la falla se produjo la desconexión trifásica de la línea. Como consecuencia se interrumpió el suministro de las SS.EE. Ares, Arcata, Huancarama, Cotahuasi y Chipmo con un total de 2.17 MW. A las 07:28 h, se conectó la línea L-1047 y se procedió a recuperar la carga interrumpida. </t>
  </si>
  <si>
    <t>13/02/2025 07:15:56</t>
  </si>
  <si>
    <t>Desconectó la línea L-6015 (Callalli - Caylloma) de 66 kV en la S.E Callalli, por falla del sistema de protección (sobretensión homopolar (59N)) de la línea L-6016, según lo informado por MINERA ARES, titular de la línea. Como consecuencia se interrumpió el suministro de la S.E. Caylloma con un total de 4.9 MW, correspondiente a MINERA ARES, MINERA BATEAS y SEAL. A las 07:17:47 h, se conectó la línea L-6015 y se procedió a recuperar la carga interrumpida.</t>
  </si>
  <si>
    <t>13/02/2025 07:22:31</t>
  </si>
  <si>
    <t>Desconectó la línea L-6015 (Callalli - Caylloma) de 66 kV, por falla del sistema de protección (sobretensión homopolar (59N)) de la línea L-6016, según lo informado por MINERA ARES, titular de la línea. Como consecuencia se interrumpió el suministro de la S.E. Caylloma con un total de 4.7 MW, correspondiente a MINERA ARES, MINERA BATEAS y SEAL. A las 09:00:26 h, se conectó la línea L-6015 y se procedió a recuperar la carga interrumpida.</t>
  </si>
  <si>
    <t>13/02/2025 10:52:28</t>
  </si>
  <si>
    <t>Desconectó la línea L-6015 (Callalli - Caylloma) en la S.E Callalli, por falla del sistema de protección (sobretensión homopolar (59N)) de la línea L-6016, según lo informado por MINERA ARES, titular de la línea. Como consecuencia se interrumpió el suministro de la S.E. Caylloma con un total de 6.023 MW, correspondiente a MINERA ARES, MINERA BATEAS y SEAL. A las 10:54:11 h, se conectó la línea L-6015 y se procedió a recuperar la carga interrumpida.</t>
  </si>
  <si>
    <t>CONCESIONARIA LINEA DE TRANSMISION CCNCM S.A.C.</t>
  </si>
  <si>
    <t>S.E. BELAUNDE TERRY - TRAFO3D AT-4201</t>
  </si>
  <si>
    <t>13/02/2025 12:40:00</t>
  </si>
  <si>
    <t>Desconectó el autotransformador AT-4201 de 220/138/22.9 kV de la S.E Belaunde Terry por presencia de humedad en una bornera auxiliar del circuito de sobrepresión en la fase "T" del autotransformador, según lo informado por CONCESIONARIA LINEA DE TRANSMISION CCNCM S.A.C., titular del equipo. Cabe mencionar que la línea L-1017 (Bellavista - Tarapoto) de 138 kV se encontraba abierto por operación en la S.E. Bellavista. Como consecuencia se interrumpió el suministro de las SS.EE. Moyobamba y Tarapoto con un total de  55.755 MW. A las 12:48 h se conectó la línea L-1017 (Bellavista - Tarapoto) para recuperar parte de la carga interrumpida. A las 13:15 h la C.H Gera ingresó de forma aislada para recuperar la carga interrumpida de la S.E. Gera. A las 15:57 h se energizó el AT-4201. A las 16:04 h, se energizó la línea L-1049 y se procedió a recuperar toda la carga interrumpida. Finalmente, a las 16:18 h, se energizó la línea L-1018 y se cierra el anillo en la S.E. Tarapoto.</t>
  </si>
  <si>
    <t>13/02/2025 14:40:10</t>
  </si>
  <si>
    <t>Desconectó la línea L-6021 (Azangaro - Antauta) de 60 kV por actuación de la protección distancia (21) ante una falla, debido a descargas atmosféricas por la zona, según lo informado por ELECTROPUNO, titular de la línea. Como consecuencia se interrumpió el suministro de la S.E. Antauta con un total de 1.41 MW. A las 14:41:38 h, se conectó la línea L-6021 y se procedió a recuperar la carga interrumpida.</t>
  </si>
  <si>
    <t>L. HUANCAVELICA - INGENIO - LINEA L-6643</t>
  </si>
  <si>
    <t>13/02/2025 22:09:04</t>
  </si>
  <si>
    <t>Desconectó la línea L-6643 ( Huancavelica - Ingenio ) de 60 kV por actuación de la protección de sobrecorriente (50/51) por sobrecarga, debido al incremento de carga de la Minera Kolpa, según lo informado por CONELSUR, titular de la línea. Como consecuencia se interrumpió el suministro de la S.E. Ingenio en 1.2 MW. A las 22:24:50 h se conectó la línea L-6643. A las 23:27 h se energizó la barra de 22,9 kV de la S.E Ingenio y se procedió a recuperar el suministro interrumpido.</t>
  </si>
  <si>
    <t>L. CHARCANI IV - CHILINA - LINEA L-3103</t>
  </si>
  <si>
    <t>14/02/2025 14:13:00</t>
  </si>
  <si>
    <t>L. CARAZ - SANTA CRUZ - LINEA L-6690</t>
  </si>
  <si>
    <t>14/02/2025 17:31:12</t>
  </si>
  <si>
    <t>L. CHIMBOTE 1 - HUALLANCA - LINEA L-1103</t>
  </si>
  <si>
    <t>15/02/2025 07:05:54</t>
  </si>
  <si>
    <t xml:space="preserve">Se produjo un recierre monofásico en la línea L-1103 (Chimbote 1 - Huallanca) de 138 kV por falla monofásica en la fase "S" a 8 km de la S.E Chimbote 1 , cuya causa se encuentra en revisión, según lo informado por ISA PERÚ, titular de la línea. La falla fue despejada por actuación de su protección distancia seguido de un recierre exitoso. Como consecuencia el Usuario Libre SIDER PERU disminuyó su carga en 5 MW. </t>
  </si>
  <si>
    <t>15/02/2025 14:52:00</t>
  </si>
  <si>
    <t>Desconectó la línea L-6007 (puno – Tucari) de 60 kV por actuación de la protección distancia (21) ante una falla monofásica en la fase “T” a una distancia de 72.2 km desde la S.E. Puno, debido a descargas atmosféricas en la zona de falla, según lo informado por ARUNTANI, titular de la línea. Como consecuencia se interrumpió 0.1 MW de la Minera Aruntani. A las 16:16:05 h, se conectó la línea L-6007 y se procedió a recuperar la carga interrumpida.</t>
  </si>
  <si>
    <t>L. AGUAYTÍA - PUCALLPA - LINEA L-1125</t>
  </si>
  <si>
    <t>16/02/2025 14:53:08</t>
  </si>
  <si>
    <t>Desconectaron las líneas L-1125 y L-1156 (Aguaytía - Pucallpa) de 138 kV debido a una falla. En la línea L-1125, la desconexión ocurrió por actuación de su protección de distancia ante una falla trifásica a 18 km de la S.E. Aguaytía, causada por descargas atmosféricas, según lo informado por ISA PERÚ, titular de la línea. Por otro lado, TERNA PERÚ, titular de la línea L-1156, informó que la desconexión de su línea se debió a la actuación de la protección de distancia en la S.E. Aguaytía ante la falla trifásica registrada en la línea L-1125
Como consecuencia se interrumpió el suministro de la S.E. Pucallpa con un total de 40.64 MW. A las 14:54 h se coordinó el arranque de la C.T.R.F Pucallpa. A las 15:10 h, la CTRF Pucallpa energizó la barra de 60 kV de la S.E. Pucallpa. A las 15:11:42 h se energizó la barra de 138 kV de la SE Pucallpa a través de la conexión de la línea L-1125 (Aguaytía – Pucallpa) de 138 kV. A las 15:13:16 h, se energizó el autotransformador AT111-161 de la S.E. Pucallpa y a las 15:14:19 h se sincronizó el sistema aislado de la S.E. Pucallpa con el SEIN a través del cierre del interruptor del transformador AT111-161 de la SE Pucallpa en el lado de 60 kV y se procedió a recuperar la totalidad de la carga interrumpida. A las 16:50 h se conectó la línea L-1156 de 138 kV.</t>
  </si>
  <si>
    <t>17/02/2025 01:26:42</t>
  </si>
  <si>
    <t>Desconectó la línea L-6007 (Puno – Tucari) de 60 kV por actuación de su protección de distancia (21) ante una falla monofásica a tierra en la fase "R", debido a intensas nevadas en la zona, según lo informado por ARUNTANI, titular de la línea. Como consecuencia se interrumpió el suministro de la MINERA ARUNTANI con un total de 0.491 MW. A las 09:32 h se conectó la línea L-6007 y se procedió a recuperar el suministro interrumpido.</t>
  </si>
  <si>
    <t>C.H. RENOVANDES H1 - CH CENTRAL</t>
  </si>
  <si>
    <t>17/02/2025 15:39:12</t>
  </si>
  <si>
    <t>Desconectó la línea L-6089 (La Virgen - Puntayacu - Chanchamayo) de 60 kV por falla trifásica, debido a fuertes lluvias y vientos en la zona de San Ramón, según lo informado por EMPRESA DE GENERACION ELECTRICA SANTA ANA y ELECTROCENTRO, titulares de la línea. Como consecuencia se interrumpió el suministro de las SS.EE. Chanchamayo y Renovandes con un total de 6.546 MW. Asimismo, desconectó la C.H. Renovandes cuando generaba 20.36 MW. A las 15:51:03 h, se conectó la línea L-6089 y se procedió a recuperar la carga interrumpida. A las 16:03:50 h sincronizó la C.H. Renovandes.</t>
  </si>
  <si>
    <t>18/02/2025 07:40:42</t>
  </si>
  <si>
    <t>Desconectó la línea L-6021 (Azángaro - Antauta) en 60 kV, por actuación de la protección distancia (21) ante una falla debido a fuertes nevadas en la zona, según lo informado por ELECTROPUNO, titular de la línea. Como consecuencia se interrumpió la carga de la S.E. Antauta con un total de 1.57 MW. A las 07:41:38 h, se conectó la línea L-6021 y se procedió a recuperar la carga interrumpida.</t>
  </si>
  <si>
    <t>20/02/2025 06:17:00</t>
  </si>
  <si>
    <t xml:space="preserve">Desconectó la línea L-6693 (Pomabamba - Huari) de 60 kV por actuación de su protección de sobrecorriente a tierra (50N/51N) ante una falla bifásica en las fases "R" y "T", debido a descargas atmosféricas, según lo informado por HIDRANDINA, titular de la línea. Como consecuencia, se interrumpió el suministro de la S.E. Huari con un total de 2.44 MW. Asimismo, desconectaron las CC.HH. Huallín y Maria Jiray cuando generaban 2 MW cada central. A las 06:19 h se conectó la línea L-6693 y se procedió a recuperar la carga interrumpida.
A las 06:24 h, la C.H. Maria Jiray sincronizó con el SEIN. A las 08:26 h, la C.H. Huallín sincronizó con el SEIN.
</t>
  </si>
  <si>
    <t>Desconectó la línea L-3103 y L-3104 (Charcani IV – Charcani I - Chilina) de 33 kV, por falla monofásica en la fase "S" de ambas líneas, debido a presencia de humedad  en cercanías a la S.E Chilina, según lo informado por EGASA, titular de las líneas. Como consecuencia se interrumpieron los suministros de la S.E. Alto Cayma con un total de 4.7 MW. Asimismo, desconectaron las CC.HH. Charcani I, Charcani II y Charcani III cuando generaban 1.31 MW, 0.53 MW y 2.31 MW, respectivamente.
A las 14:43 h, se conectó la línea L-3104 en las SS.EE. Chilina y Charcarni I y se procedió a recuperar la carga interrumpida. A las 15:11 h, se conectó la línea L-3104 en la S.E. Charcani IV. A las 15:51 h, se conectó la línea L-3103.
A las 14:55 h, sincronizó el Grupo G1 de Charcani III.
A las 15:07 h, sincronizó Grupo G2 de Charcani I.
A las 15:15 h, sincronizó Grupo G2 de Charcani III.
A las 15:59 h, sincronizó Grupo G1 de Charcani I.
A las 16:01 h, sincronizó Grupo G1 de Charcani II
A las 16:10 h, sincronizó Grupo G2 de Charcani II
A LAS 16:19 h, sincronizó Grupo G3 de Charcani II</t>
  </si>
  <si>
    <t>Desconectó la línea L-6690 (Caraz - Santa Cruz I) de 60 kV, por falla monofásica a tierra en la fase “S” a una distancia de 27.95 km desde la S.E. Santa Cruz I, debido a descargas atmosféricas, según lo informado por HIDRANDINA, titular de la línea. Asimismo, desconectó la línea L-6684 (Caraz – Huaraz) de 66 kV en la S.E. Caraz. Como consecuencia se interrumpió el suministro de la SS.EE. Caraz y Huaraz con un total de 6.1 MW. Asimismo, desconectó el grupo G1 de la C.H. Manta cuando generaba 9.9 MW y se redujo la generación del grupo G2 quedando con 7.5 MW.
A las 17:43 h, se conectaron las líneas L-6690 y L-6684 y se procedió a recuperar los suministros interrumpidos. A las 18:54:40 h, el grupo G1 de la C.H. Manta sincronizó con el SEIN.</t>
  </si>
  <si>
    <t>S.E. LOMERA - INT IN-2804</t>
  </si>
  <si>
    <t>20/02/2025 09:05:21</t>
  </si>
  <si>
    <t xml:space="preserve">Desconectó la línea L-2117 (Zapallal - Lomera) de 220 kV en la S.E. Lomera debido a la apertura del interruptor IN-2804 por alarma de gas SF6, según lo informado por CONELSUR, titular de la celda en la S.E. Lomera. Cabe señalar que la línea L-2214 (Huacho - Lomera) de 220 kV se encontraba fuera de servicio por mantenimiento programado. Como consecuencia, se redujo en 0.8 MW la carga de la MINERA BUENAVENTURA en la S.E. Rio Seco. A las 12:17 h, se cerró el interruptor IN-2804 en la S.E. Lomera, con lo cual se conectó la línea L-2117.
</t>
  </si>
  <si>
    <t>L. MALPASO - OROYA NUEVA - LINEA L-6504</t>
  </si>
  <si>
    <t>20/02/2025 13:28:00</t>
  </si>
  <si>
    <t>Desconectaron las líneas L-6503 y L-6504 (Oroya - Malpaso - Oroya Nueva) de 50 kV por falla monofásica a tierra en la fase "R" en ambas líneas, debido a descargas atmosféricas en la zona, según lo informado por STATKRAFT, titular de la línea. Como consecuencia se interrumpió el suministro de la S.E. Mayupampa con total de 0.15 MW. Asimismo, desconectó la C.H. Malpaso cuando generaba 45.71 MW. A las 13:31:59 h, se conectó la línea L-6503. A las 14:07:13 h, se conectó la línea L-6504. La C.H. Malpaso sincronizó a las 14:43 h con el SEIN.</t>
  </si>
  <si>
    <t>20/02/2025 18:38:40</t>
  </si>
  <si>
    <t>Desconectó la línea L-6027 (PUNO - POMATA - ILAVE) de 60 kV por actuación de la protección de distancia (21) ante una falla debido a descargas atmosféricas, según lo informado por ELECTRO PUNO, titular de la línea. Como consecuencia se interrumpió el suministro de las SS.EE. Pomata e Ilave con un total de 6.4 MW. A las 18:40:27 h se conectó la línea L-6027 y se procedió a recuperar la carga interrumpida.</t>
  </si>
  <si>
    <t>L. PARAMONGA N. - 09 DE OCTUBRE - LINEA L-6655</t>
  </si>
  <si>
    <t>22/02/2025 15:01:33</t>
  </si>
  <si>
    <t>Se realizó la desconexión manual de la línea L-6655 (Paramonga Nueva – 9 de Octubre) de 66 kV por seccionamiento del conductor de la fase "T", entre las estructuras E-95 y E-96 de la L-6655, según lo informado por HIDRANDINA, titular de la línea. Como consecuencia se interrumpió el suministro de la S.E. Huarmey (3.82 MW) y la S.E. Puerto Antamina (2.56 MW). A las 18:43 h, se conectó la línea L-6655 y se procedió a normalizar el suministro interrumpido.</t>
  </si>
  <si>
    <t>23/02/2025 05:30:16</t>
  </si>
  <si>
    <t xml:space="preserve">Desconectó la línea L-6533 (Morococha - Carlos Francisco) de 50 kV por actuación de su protección de sobrecorriente (51N), ante una falla monofásica en la fase "R", debido al acercamiento de cable de guarda a conductor de fase en la estructura E05-E06 en la línea de Derivación de Ticlio, según lo informado por Minera VOLCAN, titular del tramo de derivación Ticlio. Como consecuencia se interrumpió el suministro de la S.E. Ticlio con una carga de 10.90 MW. A las 07:11:06 h, se energizó la línea y se procedió a recuperar el suministro interrumpido.  </t>
  </si>
  <si>
    <t>23/02/2025 14:33:58</t>
  </si>
  <si>
    <t>Desconectó la línea L-6024 (Azángaro - Putina) de 60 kV por actuación de su protección diferencial de línea (87L) debido a falla por descargas atmosféricas, según lo informado por ELECTRO PUNO, titular de la línea. Como consecuencia se interrumpió el suministro de las SS.EE. Huancané y Ananea con 13.7 MW. A las 14:35:37 h, se conectó la línea L-6024 y se procedió a restablecer el suministro interrumpido.</t>
  </si>
  <si>
    <t>L. TALARA - ZORRITOS - LINEA L-2249</t>
  </si>
  <si>
    <t>23/02/2025 15:47:52</t>
  </si>
  <si>
    <t>Desconectó la línea L-2249 (Talara - Zorritos) de 220 kV en la S.E. Zorritos por actuación de su protección distancia (21) ante una falla monofásica permanente en fase "R" a 6 km de la S.E Zorritos, debido a una cruceta rota en el poste P-230 de la línea, según lo informado por RED DE ENERGÍA DEL PERÚ, titular de la línea. Cabe señalar que, los relés de protección de la línea L-2249 en la S.E Talara no actuaron por error en sus ajustes. Durante el evento, desconectaron las líneas L-2295 (Talara – Pariñas) en la S.E. Pariñas por actuación de su protección "67N" y L-2250 (Piura Oeste – Talara) en la S.E. Piura Oeste por actuación de su protección "67NCD". Asimismo, en la S.E Talara se produjo la desconexión del transformador T20 por actuación de su protección "51N".
Como consecuencia, desconectaron el generador TGN4 de la C.T. Malacas con 40 MW, TV2 de la C.T. Refinería Talara con 36.88 MW, la C.E. Talara con 2.28 MW y se interrumpieron los suministros de las S.E. Zorritos con 35.94 MW y Talara con 7.84 MW. Asimismo Cementos Pacasmayo reportó una reducción de 8.4 MW de carga.
A las 15:56:39 h, se conectó la línea L-2250 energizando las barras de las S.E Talara 220 kV. A las 15:58:24 h, se conectó el transformador T20-21 de la S.E. Talara y se procedió a normalizar el suministro de ENOSA en la S.E. Talara.
A las 16:05:02 h, se conectó la línea L-2295.
A las 16:30:02 h, se realizó una maniobra de conexión en la línea L-2249 a través del interruptor de acoplamiento de la S.E. Talara con resultado negativo debido a la persistencia de la falla. Como consecuencia, nuevamente desconectaron las línea L-2295 y L-2250, interrumpiendo el suministro de la S.E. Talara con 10 MW.
A las 18:25 h, se realizó otra maniobra de conexión de la línea L-2249 en vacío desde la S.E. Talara con resultado negativo debido a falla permanente en la línea.
La línea L-2249 quedó indisponible.
El día 25.02.2025 a las 13:58:46 h se conectó la línea L-2249.</t>
  </si>
  <si>
    <t>S.E. PUCALLPA - SSEE SS.EE.</t>
  </si>
  <si>
    <t>23/02/2025 18:00:00</t>
  </si>
  <si>
    <t>Se coordinó Rechazo Manual de Carga en el sistema aislado Pucallpa - Aguaytía debido a retraso del mantenimiento de la línea L-2251 (Tingo María - Aguaytía) de 220 kV.
A las 18:00 h, en coordinación con los CC-IEP y CC-EUC, se coordinó el Rechazo Manual de Carga de 2 MW en el sistema aislado. 
A las 18:13 h, se coordinó rechazar 2 MW adicionales.
A las 18:26 h, se coordinó rechazar 3 MW adicionales.
A las 18:44 h, se coordinó con el CC-EUC rechazar 3 MW más. 
De acuerdo con lo reportado por la empresa ELECTRO UCAYALI, el Rechazo Manual de Carga ejecutado fue de 12.33 MW en total.
A las 19:57:42 h, el sistema aislado Pucallpa - Aguaytía sincronizó con el SEIN a través de la conexión de la L-2251 y se procedió a normalizar el suministro interrumpido.</t>
  </si>
  <si>
    <t>L. CAJAMARCA NORTE - CARHUAQUERO - LINEA L-2190</t>
  </si>
  <si>
    <t>24/02/2025 10:04:31</t>
  </si>
  <si>
    <t>Desconectó la línea L-2190 (Carhuaquero - Cajamarca Norte) de 220 kV por actuación de su protección diferencial (87L) ante una falla bifásica entre las fases "R" y "S" debido a la caída de un árbol sobre la línea, en el tramo de las estructuras T183 y T184 que se encontraba fuera de la faja de servidumbre, de acuerdo con lo informado por CONCESIONARIA LINEA DE TRANSMISION CCNCM S.A.C, titular de la línea. Como consecuencia, el usuario libre PACASMAYO redujo su carga en 1 MW. A las 10:10 h se autorizó recuperar la carga reducida. A las 17:23 h, se conectó la línea sin novedad.</t>
  </si>
  <si>
    <t>L. MAZUCO - PTO MALDONADO                             - LINEA L-1015</t>
  </si>
  <si>
    <t>24/02/2025 11:15:45</t>
  </si>
  <si>
    <t>Desconectó la línea L-1015 (Mazuco - Puerto Maldonado) de 138 kV por falla monofásica en la fase "S" a 68.7 km desde la S.E. Mazuco, debido a caída de árbol, según lo informado por ELECTRO SUR ESTE, titular de la línea. Como consecuencia se interrumpió el suministro de la S.E. Puerto Maldonado con un total de 21.793 MW. Asimismo, se produjo la desconexión de las CC.HH. Angel I, II y III cuando generaban 60 MW en total por actuación de su Esquema Especial de Protección.  A las 11:23 h, se coordinó el arranque a la C.T.R.F. Puerto Maldonado. A las 11:33 h, la C.T.R.F. Puerto Maldonado ingresó en sistema aislado y se procedió a recuperar los suministros interrumpidos. 
A las 11:51 h ELECTRO SUR ESTE realizó el rechazo de carga de 2,3 MW, debido a que la C.T.R.F Puerto Maldonado se encontraba operando al límite de su capacidad. A las 12:03 h, ELECTRO SUR ESTE declaró disponible la línea L-1015. A las 12:07:04 h, se conectó la línea L-1015 sincronizando el sistema aislado con el SEIN, con lo cual se restableció el total de suministros interrumpidos.</t>
  </si>
  <si>
    <t>S.E. TRUJILLO SUR - TRAFO3D TP-A005-60MVA</t>
  </si>
  <si>
    <t>24/02/2025 12:48:31</t>
  </si>
  <si>
    <t>Desconectó el transformador TP-A050 por actuación de su protección de sobrecorriente de fases, debido a sobrecarga en el transformador, según lo informado por HIDRANDINA, titular del equipo. Como consecuencia desconectó el transformador en paralelo TP-A005 por actuación de su sistema de protección debido a sobrecarga. Con la desconexión de los transformadores TP-A050 Y TP-A005 de 138/60 kV de la S.E. Trujillo Sur se interrumpieron 94.68 MW en las SSEE Trujillo Sur, Virú, Huaca del Sol, Chao y Salaverry. A las 13:02:52 h, se conectaron los transformadores y se procedió a recuperar los suministros interrumpidos.</t>
  </si>
  <si>
    <t>S.E. PARAMONGA NUEVA - BARRA BARRA A 220kV</t>
  </si>
  <si>
    <t>24/02/2025 18:36:30</t>
  </si>
  <si>
    <t>Desconectó la barra A de 220 kV de la S.E. Paramonga Nueva por actuación del la protección de falla interruptor (50 BF) Etapa-2 del diferencial de barras (87B).  La actuación ocurrió en el momento en que se realizó la maniobra de energización del reactor R-8 mediante el cierre del interruptor IN-2320, evidenciándose que la fase "T" del interruptor abrió inmediatamente después de haberse efectuado la maniobra de de cierre, según lo informado por la empresa RED DE ENERGÍA DEL PERÚ, titular de los equipos. Como consecuencia, abrieron los interruptores de las líneas L-2215 (Paramonga Nueva - Chimbote 1), L-2126 (Paramonga Nueva - Medio Mundo) y de los transformadores T113-261 y AT10-216, interrumpiendo el suministro de la S.E. Paramonga Existente con un total de 24.417 MW de los usuarios AIPSA, QUIMPAC, PANASA y EMSEMSA.
A las 19:24 h se conectó el autotransformador AT10-216. A las 19:28 h se conectó la línea L-2215. A las 19:34 h se conectó la línea L-2126. A las 19:45:39 h, se conectó la línea L-1101 desde la S.E. Paramonga Nueva. A las 20:03:55 h, se conectó el transformador T1 de 138/13.8 kV de la S.E.  Paramonga Existente y se procede a recuperar los suministros interrumpidos. El reactor R-8 quedó fuera de servicio para su revisión</t>
  </si>
  <si>
    <t>26/02/2025 13:45:42</t>
  </si>
  <si>
    <t xml:space="preserve">Desconectó la línea L-6668 (Poechos - Sullana) de 60 kV por actuación de su protección diferencial (87L) ante una falla monofásica a tierra en la fase "S", debido al contacto de un ave rapiña (gallinazo) con el cable de las fases "S" en la estructura N° 192 de la línea, según lo informado por SINERSA, titular de la línea. Como consecuencia se interrumpió el suministro de las SS.EE. Poechos, Las Lomas y Quiroz con un total de 11.15 MW. Asimismo, desconectaron las CC.HH. Poechos I y Poechos II cuando generaban 14.92 y 8.1 MW, respectivamente.  A las 13:53:24 h, se conectó la línea L-6668 y se procedió a restablecer el suministro interrumpido. 
A las 14:03:43 h sincronizó la unidad 01 de CH Poechos I.
A las 14:06:38 h sincronizó la unidad 02 de CH Poechos I.
A las 14:18:00 h sincronizó la unidad 01 de CH Poechos II.
A las 14:34:20 h sincronizó la unidad 02 de CH Poechos II.
</t>
  </si>
  <si>
    <t>27/02/2025 12:58:48</t>
  </si>
  <si>
    <t>Desconectó la línea L-6007 (Puno - Tucari) de 60 kV por actuación de su protección de distancia (21) debido a falla en la fase "R" a 50 km desde la S.E. Puno, cuya causa no fue informada por ARUNTANI, titular de la línea. Como consecuencia se interrumpió el suministro de la S.E. Tucari con 0.4 MW. A las 13:03:07 h, se conectó la línea y se recuperó el suministro interrumpido.</t>
  </si>
  <si>
    <t>27/02/2025 13:07:00</t>
  </si>
  <si>
    <t>Desconectó la línea L-6017 (Ares - Huancarama) de 60 kV por actuación de su priotección de distancia (21) debido a falla trifásica a 4.27 km desde la S.E. Ares, originada por descargas atmosféricas, según lo informado por MINERA BUENAVENTURA, titular de la línea. Como consecuencia, se interrumpió el suministro de la S.E. Huancarama con 4.72 MW, también desconecto la C.H. Misapuquio con 3.84 MW. A las 13:28:25 h, se conectó la línea y se recuperó la carga interrumpida.</t>
  </si>
  <si>
    <t>25/02/2025</t>
  </si>
  <si>
    <t>01/02/2025</t>
  </si>
  <si>
    <t>02/02/2025</t>
  </si>
  <si>
    <t>03/02/2025</t>
  </si>
  <si>
    <t>04/02/2025</t>
  </si>
  <si>
    <t>05/02/2025</t>
  </si>
  <si>
    <t>06/02/2025</t>
  </si>
  <si>
    <t>22:15</t>
  </si>
  <si>
    <t>07/02/2025</t>
  </si>
  <si>
    <t>08/02/2025</t>
  </si>
  <si>
    <t>09/02/2025</t>
  </si>
  <si>
    <t>13:15</t>
  </si>
  <si>
    <t>10/02/2025</t>
  </si>
  <si>
    <t>11/02/2025</t>
  </si>
  <si>
    <t>12/02/2025</t>
  </si>
  <si>
    <t>13/02/2025</t>
  </si>
  <si>
    <t>14/02/2025</t>
  </si>
  <si>
    <t>17:15</t>
  </si>
  <si>
    <t>15/02/2025</t>
  </si>
  <si>
    <t>16/02/2025</t>
  </si>
  <si>
    <t>17/02/2025</t>
  </si>
  <si>
    <t>18/02/2025</t>
  </si>
  <si>
    <t>19/02/2025</t>
  </si>
  <si>
    <t>20/02/2025</t>
  </si>
  <si>
    <t>19:15</t>
  </si>
  <si>
    <t>21/02/2025</t>
  </si>
  <si>
    <t>11:30</t>
  </si>
  <si>
    <t>22/02/2025</t>
  </si>
  <si>
    <t>23/02/2025</t>
  </si>
  <si>
    <t>21:00</t>
  </si>
  <si>
    <t>24/02/2025</t>
  </si>
  <si>
    <t>26/02/2025</t>
  </si>
  <si>
    <t>16:00</t>
  </si>
  <si>
    <t>27/02/2025</t>
  </si>
  <si>
    <t>28/02/2025</t>
  </si>
  <si>
    <t>L-2232</t>
  </si>
  <si>
    <t>L-2215; L-2216</t>
  </si>
  <si>
    <t>PARAMONGA N. - CHIMBOTE 1</t>
  </si>
  <si>
    <t>L-2264</t>
  </si>
  <si>
    <t>PARAGSHA II - CONOCOCHA</t>
  </si>
  <si>
    <t>T-30  T3-261  T4-261</t>
  </si>
  <si>
    <t>L-1142</t>
  </si>
  <si>
    <t>PIEDRA BLANCA-TINGO MARIA</t>
  </si>
  <si>
    <t>CELDA</t>
  </si>
  <si>
    <t>CENTRAL HIDROELÉCTRICA</t>
  </si>
  <si>
    <t>INTERRUPTOR</t>
  </si>
  <si>
    <t>VOLUMEN ÚTIL 
28/02/2025</t>
  </si>
  <si>
    <t>VOLUMEN ÚTIL 
28/02/2024</t>
  </si>
  <si>
    <t>AGRO INDUSTRIAL PARAMONGA S.A.</t>
  </si>
  <si>
    <t>Total AGRO INDUSTRIAL PARAMONGA S.A.</t>
  </si>
  <si>
    <t>GR CORTARRAMA SOCIEDAD ANONIMA CERRADA</t>
  </si>
  <si>
    <t>PERUANA DE INVERSIONES EN ENERGIAS RENOVABLES S.A.</t>
  </si>
  <si>
    <t>Total PERUANA DE INVERSIONES EN ENERGIAS RENOVABLES S.A.</t>
  </si>
  <si>
    <t>PLANTA DE RESERVA FRIA DE GENERACION  DE ETEN S.A.</t>
  </si>
  <si>
    <t>Total PLANTA DE RESERVA FRIA DE GENERACION  DE ETEN S.A.</t>
  </si>
  <si>
    <t>MCH TUPURI</t>
  </si>
  <si>
    <t>INVERSIONES SHAQSHA</t>
  </si>
  <si>
    <t>(2) Inicio de Operación Comercial de la C.H. Tupuri, propiedad de SAN GABAN desde el 28/02/2025.</t>
  </si>
  <si>
    <t>La producción de electricidad con centrales termoeléctricas durante el mes de febrero 2025 fue de 1 535,69 GWh, 2,57% menor al registrado durante febrero del año 2024. La participación del gas natural de Camisea fue de 29,66%, mientras que las del gas que proviene de los yacimientos de Aguaytía y Malacas fue del 0,81%, la producción con diesel,Nafta; residual, carbón, biogás y bagazo tuvieron una intervención del 0,13%, 0,41%, 0,00%, 0,00%, 0,15%, 0,45% respectivamente.</t>
  </si>
  <si>
    <t>C.H. Tupuri</t>
  </si>
  <si>
    <t>La producción de energía eléctrica con centrales eólicas fue de 192,03 GWh y con centrales solares fue de 92,66 GWh, los cuales tuvieron una participación de 3,95% y 1,91% respectivamente.</t>
  </si>
  <si>
    <t>El total de la producción de energía eléctrica de la empresas generadoras integrantes del COES en el mes de febrero 2025 fue de 4 860,86  GWh, lo que representa una disminución de 43,89 GWh (-0,89%) en comparación con el año 2024.</t>
  </si>
  <si>
    <t>La producción de electricidad con centrales hidroeléctricas durante el mes de febrero 2025 fue de 3 040,47 GWh (1,00% mayor al registrado durante febrero del año 2024).</t>
  </si>
  <si>
    <t>C.H. TUPURI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</si>
</sst>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10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i/>
      <sz val="7"/>
      <color theme="1"/>
      <name val="Arial"/>
      <family val="2"/>
    </font>
    <font>
      <sz val="7"/>
      <color theme="0" tint="-0.34998626667073579"/>
      <name val="Arial"/>
      <family val="2"/>
    </font>
    <font>
      <sz val="8"/>
      <color rgb="FF00B050"/>
      <name val="Arial"/>
      <family val="2"/>
    </font>
    <font>
      <b/>
      <sz val="8"/>
      <color rgb="FF00B050"/>
      <name val="Arial"/>
      <family val="2"/>
    </font>
    <font>
      <sz val="8"/>
      <name val="Calibri"/>
      <family val="2"/>
    </font>
    <font>
      <i/>
      <sz val="8"/>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0" fontId="63" fillId="0" borderId="0"/>
    <xf numFmtId="0" fontId="1" fillId="0" borderId="0"/>
    <xf numFmtId="43" fontId="1" fillId="0" borderId="0" applyFont="0" applyFill="0" applyBorder="0" applyAlignment="0" applyProtection="0"/>
  </cellStyleXfs>
  <cellXfs count="919">
    <xf numFmtId="0" fontId="0" fillId="0" borderId="0" xfId="0"/>
    <xf numFmtId="0" fontId="12" fillId="0" borderId="0" xfId="0" applyFont="1" applyAlignment="1">
      <alignment horizontal="center" vertical="center"/>
    </xf>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1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11" applyFont="1" applyFill="1" applyAlignment="1">
      <alignment horizontal="right" vertical="center"/>
    </xf>
    <xf numFmtId="43" fontId="13" fillId="0" borderId="0" xfId="11"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11" applyFont="1" applyBorder="1" applyAlignment="1">
      <alignment horizontal="right"/>
    </xf>
    <xf numFmtId="43" fontId="13" fillId="0" borderId="27" xfId="11" applyFont="1" applyBorder="1" applyAlignment="1">
      <alignment horizontal="right"/>
    </xf>
    <xf numFmtId="43" fontId="13" fillId="0" borderId="28" xfId="11" applyFont="1" applyBorder="1" applyAlignment="1">
      <alignment horizontal="right"/>
    </xf>
    <xf numFmtId="43" fontId="13" fillId="4" borderId="29" xfId="11" applyFont="1" applyFill="1" applyBorder="1" applyAlignment="1">
      <alignment horizontal="right" vertical="center"/>
    </xf>
    <xf numFmtId="43" fontId="13" fillId="4" borderId="30" xfId="11" applyFont="1" applyFill="1" applyBorder="1" applyAlignment="1">
      <alignment horizontal="right" vertical="center"/>
    </xf>
    <xf numFmtId="43" fontId="13" fillId="0" borderId="29" xfId="11" applyFont="1" applyBorder="1" applyAlignment="1">
      <alignment horizontal="right" vertical="center"/>
    </xf>
    <xf numFmtId="43" fontId="13" fillId="0" borderId="30" xfId="11" applyFont="1" applyBorder="1" applyAlignment="1">
      <alignment horizontal="right" vertical="center"/>
    </xf>
    <xf numFmtId="43" fontId="21" fillId="4" borderId="37" xfId="11" applyFont="1" applyFill="1" applyBorder="1" applyAlignment="1">
      <alignment horizontal="right" vertical="center"/>
    </xf>
    <xf numFmtId="43" fontId="21" fillId="4" borderId="38" xfId="11" applyFont="1" applyFill="1" applyBorder="1" applyAlignment="1">
      <alignment horizontal="right" vertical="center"/>
    </xf>
    <xf numFmtId="43" fontId="13" fillId="0" borderId="0" xfId="11" applyFont="1" applyAlignment="1">
      <alignment horizontal="right"/>
    </xf>
    <xf numFmtId="0" fontId="30" fillId="0" borderId="0" xfId="0" applyFont="1"/>
    <xf numFmtId="43" fontId="13" fillId="0" borderId="9" xfId="11"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11" applyFont="1" applyBorder="1" applyAlignment="1">
      <alignment horizontal="right" vertical="center"/>
    </xf>
    <xf numFmtId="43" fontId="13" fillId="0" borderId="10" xfId="11" applyFont="1" applyBorder="1" applyAlignment="1">
      <alignment horizontal="right" vertical="center"/>
    </xf>
    <xf numFmtId="43" fontId="13" fillId="4" borderId="11" xfId="11" applyFont="1" applyFill="1" applyBorder="1" applyAlignment="1">
      <alignment horizontal="right" vertical="center"/>
    </xf>
    <xf numFmtId="43" fontId="13" fillId="4" borderId="12" xfId="11" applyFont="1" applyFill="1" applyBorder="1" applyAlignment="1">
      <alignment horizontal="right" vertical="center"/>
    </xf>
    <xf numFmtId="43" fontId="13" fillId="0" borderId="11" xfId="11" applyFont="1" applyBorder="1" applyAlignment="1">
      <alignment horizontal="right" vertical="center"/>
    </xf>
    <xf numFmtId="43" fontId="13" fillId="0" borderId="12" xfId="11"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11" applyFont="1" applyBorder="1" applyAlignment="1">
      <alignment horizontal="right" vertical="center"/>
    </xf>
    <xf numFmtId="43" fontId="0" fillId="4" borderId="11" xfId="11" applyFont="1" applyFill="1" applyBorder="1" applyAlignment="1">
      <alignment horizontal="right" vertical="center"/>
    </xf>
    <xf numFmtId="43" fontId="0" fillId="0" borderId="11" xfId="11"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11" applyFont="1" applyFill="1" applyAlignment="1">
      <alignment horizontal="right"/>
    </xf>
    <xf numFmtId="43" fontId="21" fillId="0" borderId="37" xfId="11" applyFont="1" applyBorder="1" applyAlignment="1">
      <alignment horizontal="right" vertical="center"/>
    </xf>
    <xf numFmtId="43" fontId="21" fillId="0" borderId="38" xfId="11" applyFont="1" applyBorder="1" applyAlignment="1">
      <alignment horizontal="right" vertical="center"/>
    </xf>
    <xf numFmtId="43" fontId="13" fillId="0" borderId="29" xfId="11" applyFont="1" applyBorder="1" applyAlignment="1">
      <alignment horizontal="right"/>
    </xf>
    <xf numFmtId="43" fontId="13" fillId="0" borderId="30" xfId="11" applyFont="1" applyBorder="1" applyAlignment="1">
      <alignment horizontal="right"/>
    </xf>
    <xf numFmtId="43" fontId="13" fillId="0" borderId="31" xfId="11" applyFont="1" applyBorder="1" applyAlignment="1">
      <alignment horizontal="right"/>
    </xf>
    <xf numFmtId="43" fontId="13" fillId="0" borderId="32" xfId="11" applyFont="1" applyBorder="1" applyAlignment="1">
      <alignment horizontal="right"/>
    </xf>
    <xf numFmtId="43" fontId="13" fillId="0" borderId="33" xfId="11"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11"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11"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11"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4" xfId="11" applyFont="1" applyBorder="1" applyAlignment="1">
      <alignment horizontal="right" vertical="center"/>
    </xf>
    <xf numFmtId="176" fontId="32" fillId="0" borderId="55" xfId="11"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11" applyFont="1" applyBorder="1" applyAlignment="1">
      <alignment horizontal="right"/>
    </xf>
    <xf numFmtId="43" fontId="27" fillId="0" borderId="0" xfId="11" applyFont="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11" applyFont="1" applyFill="1" applyBorder="1" applyAlignment="1">
      <alignment horizontal="right" vertical="center"/>
    </xf>
    <xf numFmtId="43" fontId="27" fillId="4" borderId="0" xfId="11" applyFont="1" applyFill="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11" applyFont="1" applyBorder="1" applyAlignment="1">
      <alignment horizontal="right" vertical="center"/>
    </xf>
    <xf numFmtId="43" fontId="27" fillId="0" borderId="0" xfId="11" applyFont="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11" applyFont="1" applyFill="1" applyBorder="1" applyAlignment="1">
      <alignment horizontal="right" vertical="center"/>
    </xf>
    <xf numFmtId="176" fontId="32" fillId="0" borderId="53" xfId="11"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11"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11" applyFont="1" applyBorder="1"/>
    <xf numFmtId="43" fontId="44" fillId="4" borderId="115" xfId="11"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11"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11"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0" fontId="57" fillId="0" borderId="0" xfId="0" applyFont="1" applyAlignment="1">
      <alignment vertical="center"/>
    </xf>
    <xf numFmtId="0" fontId="58"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1" fillId="0" borderId="0" xfId="0" applyFont="1" applyAlignment="1">
      <alignment vertical="center"/>
    </xf>
    <xf numFmtId="49" fontId="62" fillId="0" borderId="0" xfId="0" applyNumberFormat="1" applyFont="1" applyAlignment="1">
      <alignment horizontal="center"/>
    </xf>
    <xf numFmtId="0" fontId="62" fillId="0" borderId="0" xfId="0" applyFont="1"/>
    <xf numFmtId="49" fontId="62" fillId="0" borderId="0" xfId="0" applyNumberFormat="1" applyFont="1" applyAlignment="1">
      <alignment horizontal="right"/>
    </xf>
    <xf numFmtId="0" fontId="62" fillId="0" borderId="0" xfId="0" applyFont="1" applyAlignment="1">
      <alignment horizontal="right"/>
    </xf>
    <xf numFmtId="164" fontId="62" fillId="0" borderId="0" xfId="0" applyNumberFormat="1" applyFont="1" applyAlignment="1">
      <alignment horizontal="right"/>
    </xf>
    <xf numFmtId="1" fontId="62"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59" fillId="0" borderId="0" xfId="0" applyNumberFormat="1" applyFont="1" applyAlignment="1">
      <alignment horizontal="right"/>
    </xf>
    <xf numFmtId="49" fontId="59" fillId="0" borderId="0" xfId="0" applyNumberFormat="1" applyFont="1" applyAlignment="1">
      <alignment horizontal="center"/>
    </xf>
    <xf numFmtId="1" fontId="59"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59" fillId="0" borderId="0" xfId="0" applyNumberFormat="1" applyFont="1" applyAlignment="1">
      <alignment horizontal="center"/>
    </xf>
    <xf numFmtId="0" fontId="59" fillId="0" borderId="0" xfId="0" applyFont="1"/>
    <xf numFmtId="176" fontId="43" fillId="2" borderId="45" xfId="11"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11"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1" applyFont="1" applyAlignment="1">
      <alignment vertical="center"/>
    </xf>
    <xf numFmtId="43" fontId="27" fillId="4" borderId="0" xfId="11"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11" applyFont="1" applyBorder="1" applyAlignment="1">
      <alignment horizontal="right" vertical="center"/>
    </xf>
    <xf numFmtId="43" fontId="27" fillId="0" borderId="41" xfId="11"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1" applyNumberFormat="1" applyFont="1" applyFill="1" applyBorder="1" applyAlignment="1">
      <alignment horizontal="center" vertical="center"/>
    </xf>
    <xf numFmtId="43" fontId="43" fillId="0" borderId="132" xfId="11"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0"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11" applyFont="1" applyFill="1"/>
    <xf numFmtId="174" fontId="60" fillId="0" borderId="0" xfId="0" applyNumberFormat="1" applyFont="1" applyAlignment="1">
      <alignment horizontal="center"/>
    </xf>
    <xf numFmtId="0" fontId="60" fillId="0" borderId="0" xfId="0" applyFont="1"/>
    <xf numFmtId="174" fontId="60" fillId="0" borderId="0" xfId="0" applyNumberFormat="1" applyFont="1"/>
    <xf numFmtId="43" fontId="52" fillId="0" borderId="0" xfId="11" applyFont="1" applyFill="1" applyAlignment="1">
      <alignment horizontal="center"/>
    </xf>
    <xf numFmtId="43" fontId="52" fillId="0" borderId="0" xfId="11" applyFont="1" applyFill="1" applyAlignment="1">
      <alignment vertical="center"/>
    </xf>
    <xf numFmtId="176" fontId="32" fillId="4" borderId="54" xfId="11" applyNumberFormat="1" applyFont="1" applyFill="1" applyBorder="1" applyAlignment="1">
      <alignment horizontal="right" vertical="center"/>
    </xf>
    <xf numFmtId="176" fontId="32" fillId="4" borderId="53" xfId="11" applyNumberFormat="1" applyFont="1" applyFill="1" applyBorder="1" applyAlignment="1">
      <alignment horizontal="right" vertical="center"/>
    </xf>
    <xf numFmtId="0" fontId="15" fillId="0" borderId="0" xfId="9" applyFont="1" applyAlignment="1">
      <alignment vertical="center"/>
    </xf>
    <xf numFmtId="0" fontId="63" fillId="0" borderId="0" xfId="9"/>
    <xf numFmtId="0" fontId="64" fillId="0" borderId="0" xfId="9" applyFont="1"/>
    <xf numFmtId="0" fontId="1" fillId="0" borderId="0" xfId="9" applyFont="1"/>
    <xf numFmtId="0" fontId="53" fillId="0" borderId="0" xfId="9" applyFont="1"/>
    <xf numFmtId="1" fontId="66" fillId="0" borderId="0" xfId="2" applyNumberFormat="1" applyFont="1" applyAlignment="1">
      <alignment horizontal="center"/>
    </xf>
    <xf numFmtId="171" fontId="66" fillId="0" borderId="0" xfId="2" applyNumberFormat="1" applyFont="1" applyAlignment="1">
      <alignment horizontal="center"/>
    </xf>
    <xf numFmtId="2" fontId="67" fillId="0" borderId="0" xfId="2" applyNumberFormat="1" applyFont="1"/>
    <xf numFmtId="2" fontId="67" fillId="0" borderId="0" xfId="2" applyNumberFormat="1" applyFont="1" applyAlignment="1">
      <alignment horizontal="center"/>
    </xf>
    <xf numFmtId="0" fontId="1" fillId="0" borderId="0" xfId="9" applyFont="1" applyAlignment="1">
      <alignment vertical="center"/>
    </xf>
    <xf numFmtId="0" fontId="53" fillId="0" borderId="0" xfId="9" applyFont="1" applyAlignment="1">
      <alignment vertical="center"/>
    </xf>
    <xf numFmtId="0" fontId="68" fillId="0" borderId="0" xfId="9" applyFont="1"/>
    <xf numFmtId="0" fontId="69" fillId="0" borderId="0" xfId="9" applyFont="1"/>
    <xf numFmtId="2" fontId="70" fillId="0" borderId="0" xfId="9" applyNumberFormat="1" applyFont="1"/>
    <xf numFmtId="2" fontId="71" fillId="0" borderId="0" xfId="2" applyNumberFormat="1" applyFont="1" applyAlignment="1">
      <alignment horizontal="center"/>
    </xf>
    <xf numFmtId="0" fontId="72" fillId="0" borderId="0" xfId="9" applyFont="1"/>
    <xf numFmtId="0" fontId="63" fillId="0" borderId="0" xfId="9"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5" fillId="2" borderId="0" xfId="2" applyFont="1" applyFill="1"/>
    <xf numFmtId="2" fontId="71" fillId="0" borderId="0" xfId="2" applyNumberFormat="1" applyFont="1"/>
    <xf numFmtId="0" fontId="66" fillId="0" borderId="0" xfId="2" applyNumberFormat="1" applyFont="1" applyAlignment="1">
      <alignment horizontal="center"/>
    </xf>
    <xf numFmtId="0" fontId="67" fillId="0" borderId="0" xfId="2" applyNumberFormat="1" applyFont="1"/>
    <xf numFmtId="0" fontId="67" fillId="2" borderId="0" xfId="2" applyNumberFormat="1" applyFont="1" applyFill="1"/>
    <xf numFmtId="0" fontId="71"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0" fillId="0" borderId="0" xfId="0" applyNumberFormat="1" applyAlignment="1">
      <alignment horizontal="right"/>
    </xf>
    <xf numFmtId="0" fontId="73" fillId="3" borderId="133" xfId="9" applyFont="1" applyFill="1" applyBorder="1" applyAlignment="1">
      <alignment horizontal="center" vertical="center" wrapText="1"/>
    </xf>
    <xf numFmtId="0" fontId="29" fillId="0" borderId="133" xfId="9" applyFont="1" applyBorder="1" applyAlignment="1">
      <alignment vertical="center" wrapText="1"/>
    </xf>
    <xf numFmtId="4" fontId="29" fillId="0" borderId="133" xfId="9" applyNumberFormat="1" applyFont="1" applyBorder="1" applyAlignment="1">
      <alignment horizontal="center" vertical="center" wrapText="1"/>
    </xf>
    <xf numFmtId="177" fontId="29" fillId="0" borderId="133" xfId="9" applyNumberFormat="1" applyFont="1" applyBorder="1" applyAlignment="1">
      <alignment horizontal="center" vertical="center" wrapText="1"/>
    </xf>
    <xf numFmtId="0" fontId="30" fillId="0" borderId="133" xfId="9" applyFont="1" applyBorder="1" applyAlignment="1">
      <alignment vertical="center" wrapText="1"/>
    </xf>
    <xf numFmtId="4" fontId="30" fillId="0" borderId="133" xfId="9" applyNumberFormat="1" applyFont="1" applyBorder="1" applyAlignment="1">
      <alignment horizontal="center" vertical="center" wrapText="1"/>
    </xf>
    <xf numFmtId="177" fontId="30" fillId="0" borderId="133" xfId="9" applyNumberFormat="1" applyFont="1" applyBorder="1" applyAlignment="1">
      <alignment horizontal="center" vertical="center" wrapText="1"/>
    </xf>
    <xf numFmtId="0" fontId="74" fillId="0" borderId="0" xfId="9" applyFont="1" applyAlignment="1">
      <alignment vertical="center"/>
    </xf>
    <xf numFmtId="0" fontId="76" fillId="0" borderId="0" xfId="9" applyFont="1"/>
    <xf numFmtId="0" fontId="77" fillId="0" borderId="0" xfId="9" applyFont="1"/>
    <xf numFmtId="0" fontId="78" fillId="3" borderId="133" xfId="9" applyFont="1" applyFill="1" applyBorder="1" applyAlignment="1">
      <alignment vertical="center" wrapText="1"/>
    </xf>
    <xf numFmtId="17" fontId="78" fillId="3" borderId="133" xfId="9" quotePrefix="1" applyNumberFormat="1" applyFont="1" applyFill="1" applyBorder="1" applyAlignment="1">
      <alignment horizontal="center" vertical="center" wrapText="1"/>
    </xf>
    <xf numFmtId="0" fontId="78" fillId="3" borderId="133" xfId="9" applyFont="1" applyFill="1" applyBorder="1" applyAlignment="1">
      <alignment horizontal="center" vertical="center" wrapText="1"/>
    </xf>
    <xf numFmtId="0" fontId="79" fillId="0" borderId="0" xfId="9" applyFont="1" applyAlignment="1">
      <alignment vertical="center" wrapText="1"/>
    </xf>
    <xf numFmtId="0" fontId="81" fillId="0" borderId="0" xfId="9" applyFont="1"/>
    <xf numFmtId="0" fontId="81" fillId="0" borderId="0" xfId="9" applyFont="1" applyAlignment="1">
      <alignment wrapText="1"/>
    </xf>
    <xf numFmtId="0" fontId="74" fillId="0" borderId="0" xfId="9" applyFont="1" applyAlignment="1">
      <alignment vertical="center" wrapText="1"/>
    </xf>
    <xf numFmtId="0" fontId="82" fillId="0" borderId="0" xfId="9" applyFont="1"/>
    <xf numFmtId="170" fontId="83" fillId="0" borderId="0" xfId="2" applyFont="1"/>
    <xf numFmtId="1" fontId="84" fillId="0" borderId="0" xfId="2" applyNumberFormat="1" applyFont="1" applyAlignment="1">
      <alignment horizontal="center"/>
    </xf>
    <xf numFmtId="171" fontId="84" fillId="0" borderId="0" xfId="2" applyNumberFormat="1" applyFont="1" applyAlignment="1">
      <alignment horizontal="center"/>
    </xf>
    <xf numFmtId="2" fontId="85" fillId="0" borderId="0" xfId="9" applyNumberFormat="1" applyFont="1"/>
    <xf numFmtId="0" fontId="86" fillId="0" borderId="0" xfId="9" applyFont="1"/>
    <xf numFmtId="0" fontId="40" fillId="0" borderId="0" xfId="9" applyFont="1"/>
    <xf numFmtId="170" fontId="87" fillId="0" borderId="0" xfId="2" applyFont="1"/>
    <xf numFmtId="1" fontId="88" fillId="0" borderId="0" xfId="2" applyNumberFormat="1" applyFont="1" applyAlignment="1">
      <alignment horizontal="center"/>
    </xf>
    <xf numFmtId="171" fontId="88" fillId="0" borderId="0" xfId="2" applyNumberFormat="1" applyFont="1" applyAlignment="1">
      <alignment horizontal="center"/>
    </xf>
    <xf numFmtId="2" fontId="89" fillId="0" borderId="0" xfId="2" applyNumberFormat="1" applyFont="1"/>
    <xf numFmtId="2" fontId="89" fillId="0" borderId="0" xfId="2" applyNumberFormat="1" applyFont="1" applyAlignment="1">
      <alignment horizontal="center"/>
    </xf>
    <xf numFmtId="0" fontId="40" fillId="0" borderId="0" xfId="9" applyFont="1" applyAlignment="1">
      <alignment vertical="center"/>
    </xf>
    <xf numFmtId="2" fontId="90" fillId="0" borderId="0" xfId="9" applyNumberFormat="1" applyFont="1"/>
    <xf numFmtId="0" fontId="91" fillId="0" borderId="0" xfId="9" applyFont="1"/>
    <xf numFmtId="173" fontId="92" fillId="0" borderId="0" xfId="0" applyNumberFormat="1" applyFont="1" applyAlignment="1">
      <alignment vertical="center"/>
    </xf>
    <xf numFmtId="14" fontId="0" fillId="0" borderId="0" xfId="0" applyNumberFormat="1"/>
    <xf numFmtId="43" fontId="49" fillId="0" borderId="0" xfId="11" applyFont="1" applyAlignment="1">
      <alignment horizontal="center"/>
    </xf>
    <xf numFmtId="43" fontId="52" fillId="0" borderId="0" xfId="11" applyFont="1" applyAlignment="1">
      <alignment horizontal="center"/>
    </xf>
    <xf numFmtId="43" fontId="52" fillId="0" borderId="0" xfId="11" applyFont="1"/>
    <xf numFmtId="43" fontId="13" fillId="4" borderId="8" xfId="11" applyFont="1" applyFill="1" applyBorder="1" applyAlignment="1">
      <alignment horizontal="right" vertical="center"/>
    </xf>
    <xf numFmtId="43" fontId="13" fillId="4" borderId="9" xfId="11" applyFont="1" applyFill="1" applyBorder="1" applyAlignment="1">
      <alignment horizontal="right" vertical="center"/>
    </xf>
    <xf numFmtId="43" fontId="13" fillId="4" borderId="10" xfId="11" applyFont="1" applyFill="1" applyBorder="1" applyAlignment="1">
      <alignment horizontal="right" vertical="center"/>
    </xf>
    <xf numFmtId="43" fontId="13" fillId="4" borderId="5" xfId="11" applyFont="1" applyFill="1" applyBorder="1" applyAlignment="1">
      <alignment horizontal="right" vertical="center"/>
    </xf>
    <xf numFmtId="43" fontId="13" fillId="0" borderId="6" xfId="11" applyFont="1" applyBorder="1" applyAlignment="1">
      <alignment horizontal="right" vertical="center"/>
    </xf>
    <xf numFmtId="43" fontId="0" fillId="4" borderId="9" xfId="11"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11" applyFont="1" applyFill="1" applyBorder="1" applyAlignment="1">
      <alignment horizontal="right" vertical="center"/>
    </xf>
    <xf numFmtId="43" fontId="21" fillId="0" borderId="0" xfId="0" applyNumberFormat="1" applyFont="1" applyAlignment="1">
      <alignment vertical="center" wrapText="1"/>
    </xf>
    <xf numFmtId="0" fontId="93" fillId="0" borderId="116" xfId="0" applyFont="1" applyBorder="1"/>
    <xf numFmtId="0" fontId="41" fillId="0" borderId="81" xfId="0" applyFont="1" applyBorder="1"/>
    <xf numFmtId="43" fontId="41" fillId="0" borderId="81" xfId="11" applyFont="1" applyBorder="1"/>
    <xf numFmtId="43" fontId="41" fillId="0" borderId="117" xfId="11" applyFont="1" applyBorder="1"/>
    <xf numFmtId="0" fontId="93" fillId="4" borderId="114" xfId="0" applyFont="1" applyFill="1" applyBorder="1"/>
    <xf numFmtId="0" fontId="93" fillId="4" borderId="82" xfId="0" applyFont="1" applyFill="1" applyBorder="1"/>
    <xf numFmtId="43" fontId="93" fillId="4" borderId="82" xfId="11" applyFont="1" applyFill="1" applyBorder="1"/>
    <xf numFmtId="43" fontId="93" fillId="4" borderId="115" xfId="11" applyFont="1" applyFill="1" applyBorder="1"/>
    <xf numFmtId="0" fontId="93" fillId="0" borderId="29" xfId="0" applyFont="1" applyBorder="1"/>
    <xf numFmtId="0" fontId="41" fillId="0" borderId="0" xfId="0" applyFont="1"/>
    <xf numFmtId="43" fontId="41" fillId="0" borderId="0" xfId="11" applyFont="1" applyBorder="1"/>
    <xf numFmtId="43" fontId="41" fillId="0" borderId="30" xfId="11" applyFont="1" applyBorder="1"/>
    <xf numFmtId="0" fontId="93" fillId="0" borderId="26" xfId="0" applyFont="1" applyBorder="1"/>
    <xf numFmtId="0" fontId="41" fillId="0" borderId="27" xfId="0" applyFont="1" applyBorder="1"/>
    <xf numFmtId="43" fontId="41" fillId="0" borderId="27" xfId="11" applyFont="1" applyBorder="1"/>
    <xf numFmtId="10" fontId="41" fillId="0" borderId="28" xfId="1" applyNumberFormat="1" applyFont="1" applyBorder="1"/>
    <xf numFmtId="10" fontId="93"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31" fillId="7" borderId="56" xfId="0" applyFont="1" applyFill="1" applyBorder="1" applyAlignment="1">
      <alignment horizontal="center" vertical="center"/>
    </xf>
    <xf numFmtId="0" fontId="31" fillId="7" borderId="56" xfId="11"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4" fillId="0" borderId="0" xfId="0" applyFont="1" applyAlignment="1">
      <alignment vertical="center"/>
    </xf>
    <xf numFmtId="43" fontId="47" fillId="0" borderId="0" xfId="0" applyNumberFormat="1" applyFont="1"/>
    <xf numFmtId="178" fontId="0" fillId="0" borderId="0" xfId="0" applyNumberFormat="1"/>
    <xf numFmtId="43" fontId="43" fillId="0" borderId="73" xfId="11" applyFont="1" applyBorder="1" applyAlignment="1">
      <alignment vertical="center" wrapText="1"/>
    </xf>
    <xf numFmtId="0" fontId="44" fillId="0" borderId="0" xfId="10" applyFont="1" applyAlignment="1">
      <alignment horizontal="left"/>
    </xf>
    <xf numFmtId="0" fontId="30" fillId="0" borderId="0" xfId="10" applyFont="1" applyAlignment="1">
      <alignment horizontal="left" vertical="center"/>
    </xf>
    <xf numFmtId="4" fontId="30" fillId="0" borderId="0" xfId="10" applyNumberFormat="1" applyFont="1" applyAlignment="1">
      <alignment horizontal="right" vertical="center"/>
    </xf>
    <xf numFmtId="0" fontId="30" fillId="0" borderId="0" xfId="10" applyFont="1" applyAlignment="1">
      <alignment horizontal="left"/>
    </xf>
    <xf numFmtId="43" fontId="49" fillId="0" borderId="0" xfId="11" applyFont="1" applyAlignment="1">
      <alignment horizontal="right"/>
    </xf>
    <xf numFmtId="43" fontId="52" fillId="0" borderId="0" xfId="11" applyFont="1" applyAlignment="1">
      <alignment horizontal="right"/>
    </xf>
    <xf numFmtId="2" fontId="49" fillId="0" borderId="0" xfId="0" applyNumberFormat="1" applyFont="1" applyAlignment="1">
      <alignment horizontal="right"/>
    </xf>
    <xf numFmtId="2" fontId="52" fillId="0" borderId="0" xfId="0" applyNumberFormat="1" applyFont="1" applyAlignment="1">
      <alignment horizontal="right"/>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5" fillId="0" borderId="0" xfId="0" applyNumberFormat="1" applyFont="1" applyAlignment="1">
      <alignment horizontal="right"/>
    </xf>
    <xf numFmtId="0" fontId="12" fillId="2" borderId="0" xfId="0" applyFont="1" applyFill="1" applyAlignment="1">
      <alignment vertical="center"/>
    </xf>
    <xf numFmtId="0" fontId="96" fillId="0" borderId="0" xfId="0" applyFont="1"/>
    <xf numFmtId="0" fontId="97"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43" fontId="52" fillId="0" borderId="0" xfId="11" applyFont="1" applyAlignment="1">
      <alignment horizontal="center"/>
    </xf>
    <xf numFmtId="43" fontId="52" fillId="0" borderId="0" xfId="11" applyFont="1"/>
    <xf numFmtId="43" fontId="52" fillId="0" borderId="0" xfId="11" applyFont="1" applyAlignment="1">
      <alignment horizontal="right"/>
    </xf>
    <xf numFmtId="0" fontId="98" fillId="0" borderId="88" xfId="0" applyFont="1" applyBorder="1"/>
    <xf numFmtId="173" fontId="98" fillId="0" borderId="88" xfId="0" applyNumberFormat="1" applyFont="1" applyBorder="1"/>
    <xf numFmtId="173" fontId="98" fillId="10" borderId="88" xfId="0" applyNumberFormat="1" applyFont="1" applyFill="1" applyBorder="1"/>
    <xf numFmtId="0" fontId="82" fillId="0" borderId="0" xfId="0" applyFont="1" applyAlignment="1">
      <alignment vertical="center"/>
    </xf>
    <xf numFmtId="17" fontId="82" fillId="0" borderId="0" xfId="0" applyNumberFormat="1" applyFont="1" applyAlignment="1">
      <alignment horizontal="center" vertical="center"/>
    </xf>
    <xf numFmtId="2" fontId="82" fillId="0" borderId="0" xfId="0" applyNumberFormat="1" applyFont="1" applyAlignment="1">
      <alignment horizontal="right" vertical="center"/>
    </xf>
    <xf numFmtId="10" fontId="82" fillId="0" borderId="0" xfId="1" quotePrefix="1" applyNumberFormat="1" applyFont="1" applyAlignment="1">
      <alignment vertical="center" wrapText="1"/>
    </xf>
    <xf numFmtId="0" fontId="82" fillId="0" borderId="0" xfId="0" quotePrefix="1" applyFont="1" applyAlignment="1">
      <alignment vertical="center" wrapText="1"/>
    </xf>
    <xf numFmtId="2" fontId="82" fillId="0" borderId="0" xfId="0" quotePrefix="1" applyNumberFormat="1" applyFont="1" applyAlignment="1">
      <alignment horizontal="right" vertical="center" wrapText="1"/>
    </xf>
    <xf numFmtId="2" fontId="82" fillId="0" borderId="0" xfId="0" applyNumberFormat="1" applyFont="1" applyAlignment="1">
      <alignment vertical="center"/>
    </xf>
    <xf numFmtId="2" fontId="0" fillId="0" borderId="0" xfId="0" applyNumberFormat="1" applyAlignment="1">
      <alignment vertical="center"/>
    </xf>
    <xf numFmtId="2" fontId="9" fillId="0" borderId="0" xfId="0" applyNumberFormat="1" applyFont="1" applyAlignment="1">
      <alignment vertical="center"/>
    </xf>
    <xf numFmtId="0" fontId="99" fillId="0" borderId="0" xfId="0" applyFont="1" applyAlignment="1">
      <alignment vertical="center"/>
    </xf>
    <xf numFmtId="167" fontId="13" fillId="4" borderId="24" xfId="0" applyNumberFormat="1" applyFont="1" applyFill="1" applyBorder="1" applyAlignment="1">
      <alignment horizontal="left" vertical="center" wrapText="1"/>
    </xf>
    <xf numFmtId="43" fontId="27" fillId="0" borderId="3" xfId="11" applyFont="1" applyBorder="1" applyAlignment="1">
      <alignment horizontal="right"/>
    </xf>
    <xf numFmtId="43" fontId="27" fillId="4" borderId="3" xfId="11" applyFont="1" applyFill="1" applyBorder="1" applyAlignment="1">
      <alignment horizontal="right" vertical="center"/>
    </xf>
    <xf numFmtId="43" fontId="27" fillId="0" borderId="3" xfId="11" applyFont="1" applyBorder="1" applyAlignment="1">
      <alignment horizontal="right" vertical="center"/>
    </xf>
    <xf numFmtId="176" fontId="27" fillId="0" borderId="42" xfId="11" applyNumberFormat="1" applyFont="1" applyBorder="1" applyAlignment="1">
      <alignment horizontal="right" vertical="center"/>
    </xf>
    <xf numFmtId="4" fontId="0" fillId="0" borderId="0" xfId="0" applyNumberFormat="1"/>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11"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11"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11"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11"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11"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3" fillId="0" borderId="0" xfId="9"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140" xfId="11" applyFont="1" applyBorder="1" applyAlignment="1">
      <alignment horizontal="center" vertical="center" wrapText="1"/>
    </xf>
    <xf numFmtId="43" fontId="43" fillId="0" borderId="132" xfId="11" applyFont="1" applyBorder="1" applyAlignment="1">
      <alignment horizontal="center" vertical="center" wrapText="1"/>
    </xf>
    <xf numFmtId="43" fontId="43" fillId="0" borderId="141" xfId="11" applyFont="1" applyBorder="1" applyAlignment="1">
      <alignment horizontal="center"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11" applyFont="1" applyFill="1" applyBorder="1" applyAlignment="1">
      <alignment horizontal="center" vertical="center" wrapText="1"/>
    </xf>
    <xf numFmtId="43" fontId="34" fillId="7" borderId="118" xfId="1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174" fontId="82" fillId="0" borderId="0" xfId="0" applyNumberFormat="1" applyFont="1" applyAlignment="1">
      <alignment horizontal="right" vertical="center"/>
    </xf>
    <xf numFmtId="174" fontId="82" fillId="0" borderId="0" xfId="0" quotePrefix="1" applyNumberFormat="1" applyFont="1" applyAlignment="1">
      <alignment horizontal="right" vertical="center" wrapText="1"/>
    </xf>
    <xf numFmtId="169" fontId="34" fillId="7" borderId="56" xfId="0" applyNumberFormat="1" applyFont="1" applyFill="1" applyBorder="1" applyAlignment="1">
      <alignment vertical="center"/>
    </xf>
  </cellXfs>
  <cellStyles count="12">
    <cellStyle name="Comma" xfId="11" xr:uid="{9BCC24FE-5DE2-45CE-B0FE-4BFB8519D0F5}"/>
    <cellStyle name="Millares 2" xfId="8" xr:uid="{6056FAAB-A910-4673-96C4-279031F9CDE7}"/>
    <cellStyle name="Normal" xfId="0" builtinId="0"/>
    <cellStyle name="Normal 10 17" xfId="10" xr:uid="{C40D5A28-D35D-48E9-BD52-E8518710A195}"/>
    <cellStyle name="Normal 2" xfId="7" xr:uid="{BEC2926D-E6EB-46F3-9DB2-9578BC747F97}"/>
    <cellStyle name="Normal 3" xfId="9"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ercent"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3040.4695091525</c:v>
                </c:pt>
                <c:pt idx="1">
                  <c:v>1480.4140834250002</c:v>
                </c:pt>
                <c:pt idx="2">
                  <c:v>0</c:v>
                </c:pt>
                <c:pt idx="3">
                  <c:v>26.237400125000001</c:v>
                </c:pt>
                <c:pt idx="4">
                  <c:v>29.042492500000002</c:v>
                </c:pt>
                <c:pt idx="5">
                  <c:v>192.03353596250003</c:v>
                </c:pt>
                <c:pt idx="6">
                  <c:v>92.66295069249999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1480.4140834250002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26.237400125000001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29.042492500000002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192.03353596250003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92.66295069249999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RUBI</c:v>
                </c:pt>
                <c:pt idx="1">
                  <c:v>C.S. Clemesí</c:v>
                </c:pt>
                <c:pt idx="2">
                  <c:v>C.S. MATARANI</c:v>
                </c:pt>
                <c:pt idx="3">
                  <c:v>C.S. INTIPAMPA</c:v>
                </c:pt>
                <c:pt idx="4">
                  <c:v>C.S. TACNA SOLAR</c:v>
                </c:pt>
                <c:pt idx="5">
                  <c:v>C.S. PANAMERICANA SOLAR</c:v>
                </c:pt>
                <c:pt idx="6">
                  <c:v>C.S. MOQUEGUA FV</c:v>
                </c:pt>
                <c:pt idx="7">
                  <c:v>C.S. MAJES SOLAR</c:v>
                </c:pt>
                <c:pt idx="8">
                  <c:v>C.S. REPARTICION</c:v>
                </c:pt>
                <c:pt idx="9">
                  <c:v>C.S. YARUCAYA</c:v>
                </c:pt>
                <c:pt idx="10">
                  <c:v>C.S. CARHUAQUERO</c:v>
                </c:pt>
              </c:strCache>
            </c:strRef>
          </c:cat>
          <c:val>
            <c:numRef>
              <c:f>'6. FP RER'!$P$47:$P$57</c:f>
              <c:numCache>
                <c:formatCode>_(* #,##0.00_);_(* \(#,##0.00\);_(* "-"??_);_(@_)</c:formatCode>
                <c:ptCount val="11"/>
                <c:pt idx="0">
                  <c:v>28.987161499999999</c:v>
                </c:pt>
                <c:pt idx="1">
                  <c:v>22.5704195</c:v>
                </c:pt>
                <c:pt idx="2">
                  <c:v>15.5563600875</c:v>
                </c:pt>
                <c:pt idx="3">
                  <c:v>6.4506895975000003</c:v>
                </c:pt>
                <c:pt idx="4">
                  <c:v>4.7753627500000002</c:v>
                </c:pt>
                <c:pt idx="5">
                  <c:v>4.42573025</c:v>
                </c:pt>
                <c:pt idx="6">
                  <c:v>3.6596452500000001</c:v>
                </c:pt>
                <c:pt idx="7">
                  <c:v>3.2640197</c:v>
                </c:pt>
                <c:pt idx="8">
                  <c:v>2.7803100000000001</c:v>
                </c:pt>
                <c:pt idx="9">
                  <c:v>0.14369725</c:v>
                </c:pt>
                <c:pt idx="10">
                  <c:v>4.9554807499999999E-2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RUBI</c:v>
                </c:pt>
                <c:pt idx="1">
                  <c:v>C.S. Clemesí</c:v>
                </c:pt>
                <c:pt idx="2">
                  <c:v>C.S. MATARANI</c:v>
                </c:pt>
                <c:pt idx="3">
                  <c:v>C.S. INTIPAMPA</c:v>
                </c:pt>
                <c:pt idx="4">
                  <c:v>C.S. TACNA SOLAR</c:v>
                </c:pt>
                <c:pt idx="5">
                  <c:v>C.S. PANAMERICANA SOLAR</c:v>
                </c:pt>
                <c:pt idx="6">
                  <c:v>C.S. MOQUEGUA FV</c:v>
                </c:pt>
                <c:pt idx="7">
                  <c:v>C.S. MAJES SOLAR</c:v>
                </c:pt>
                <c:pt idx="8">
                  <c:v>C.S. REPARTICION</c:v>
                </c:pt>
                <c:pt idx="9">
                  <c:v>C.S. YARUCAYA</c:v>
                </c:pt>
                <c:pt idx="10">
                  <c:v>C.S. CARHUAQUERO</c:v>
                </c:pt>
              </c:strCache>
            </c:strRef>
          </c:cat>
          <c:val>
            <c:numRef>
              <c:f>'6. FP RER'!$Q$47:$Q$57</c:f>
              <c:numCache>
                <c:formatCode>_(* #,##0.00_);_(* \(#,##0.00\);_(* "-"??_);_(@_)</c:formatCode>
                <c:ptCount val="11"/>
                <c:pt idx="0">
                  <c:v>0.29855798030210146</c:v>
                </c:pt>
                <c:pt idx="1">
                  <c:v>0.2922381778453137</c:v>
                </c:pt>
                <c:pt idx="2">
                  <c:v>0.28936681710379469</c:v>
                </c:pt>
                <c:pt idx="3">
                  <c:v>0.23701828327087007</c:v>
                </c:pt>
                <c:pt idx="4">
                  <c:v>0.3553097284226191</c:v>
                </c:pt>
                <c:pt idx="5">
                  <c:v>0.32929540550595243</c:v>
                </c:pt>
                <c:pt idx="6">
                  <c:v>0.3403687918526786</c:v>
                </c:pt>
                <c:pt idx="7">
                  <c:v>0.24285860863095238</c:v>
                </c:pt>
                <c:pt idx="8">
                  <c:v>0.2068683035714286</c:v>
                </c:pt>
                <c:pt idx="9">
                  <c:v>0.16512370150763009</c:v>
                </c:pt>
                <c:pt idx="10">
                  <c:v>0.13407686011904763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MAPLE ETANOL</c:v>
                </c:pt>
                <c:pt idx="1">
                  <c:v>C.T. PARAMONGA</c:v>
                </c:pt>
                <c:pt idx="2">
                  <c:v>C.T. SAN JACINTO</c:v>
                </c:pt>
                <c:pt idx="3">
                  <c:v>C.T. CAÑA BRAVA</c:v>
                </c:pt>
                <c:pt idx="4">
                  <c:v>C.T. HUAYCOLORO</c:v>
                </c:pt>
                <c:pt idx="5">
                  <c:v>C.T. LA GRINGA</c:v>
                </c:pt>
                <c:pt idx="6">
                  <c:v>C.T.B DOÑA CATALINA</c:v>
                </c:pt>
                <c:pt idx="7">
                  <c:v>C.T.B. CALLAO</c:v>
                </c:pt>
              </c:strCache>
            </c:strRef>
          </c:cat>
          <c:val>
            <c:numRef>
              <c:f>'6. FP RER'!$P$58:$P$65</c:f>
              <c:numCache>
                <c:formatCode>_(* #,##0.00_);_(* \(#,##0.00\);_(* "-"??_);_(@_)</c:formatCode>
                <c:ptCount val="8"/>
                <c:pt idx="0">
                  <c:v>7.6259346275000004</c:v>
                </c:pt>
                <c:pt idx="1">
                  <c:v>6.8942819824999999</c:v>
                </c:pt>
                <c:pt idx="2">
                  <c:v>4.1316392400000002</c:v>
                </c:pt>
                <c:pt idx="3" formatCode="0.00">
                  <c:v>3.2899409999999998</c:v>
                </c:pt>
                <c:pt idx="4" formatCode="General">
                  <c:v>2.797712975</c:v>
                </c:pt>
                <c:pt idx="5" formatCode="General">
                  <c:v>1.6461129999999999</c:v>
                </c:pt>
                <c:pt idx="6" formatCode="General">
                  <c:v>1.5522412249999999</c:v>
                </c:pt>
                <c:pt idx="7" formatCode="General">
                  <c:v>1.1046284500000001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MAPLE ETANOL</c:v>
                </c:pt>
                <c:pt idx="1">
                  <c:v>C.T. PARAMONGA</c:v>
                </c:pt>
                <c:pt idx="2">
                  <c:v>C.T. SAN JACINTO</c:v>
                </c:pt>
                <c:pt idx="3">
                  <c:v>C.T. CAÑA BRAVA</c:v>
                </c:pt>
                <c:pt idx="4">
                  <c:v>C.T. HUAYCOLORO</c:v>
                </c:pt>
                <c:pt idx="5">
                  <c:v>C.T. LA GRINGA</c:v>
                </c:pt>
                <c:pt idx="6">
                  <c:v>C.T.B DOÑA CATALINA</c:v>
                </c:pt>
                <c:pt idx="7">
                  <c:v>C.T.B. CALLAO</c:v>
                </c:pt>
              </c:strCache>
            </c:strRef>
          </c:cat>
          <c:val>
            <c:numRef>
              <c:f>'6. FP RER'!$Q$58:$Q$65</c:f>
              <c:numCache>
                <c:formatCode>_(* #,##0.00_);_(* \(#,##0.00\);_(* "-"??_);_(@_)</c:formatCode>
                <c:ptCount val="8"/>
                <c:pt idx="0">
                  <c:v>0.54846303399238761</c:v>
                </c:pt>
                <c:pt idx="1">
                  <c:v>0.69634971385702127</c:v>
                </c:pt>
                <c:pt idx="2">
                  <c:v>0.73857383711870817</c:v>
                </c:pt>
                <c:pt idx="3">
                  <c:v>0.42231716630071009</c:v>
                </c:pt>
                <c:pt idx="4">
                  <c:v>0.93493240654181375</c:v>
                </c:pt>
                <c:pt idx="5">
                  <c:v>0.8396769993509936</c:v>
                </c:pt>
                <c:pt idx="6">
                  <c:v>1</c:v>
                </c:pt>
                <c:pt idx="7">
                  <c:v>0.83989082916972324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RER'!$T$6:$U$65</c:f>
              <c:multiLvlStrCache>
                <c:ptCount val="60"/>
                <c:lvl>
                  <c:pt idx="0">
                    <c:v> C.H. RUNATULLO III </c:v>
                  </c:pt>
                  <c:pt idx="1">
                    <c:v> C.H. ÁNGEL I </c:v>
                  </c:pt>
                  <c:pt idx="2">
                    <c:v> C.H. RUNATULLO II </c:v>
                  </c:pt>
                  <c:pt idx="3">
                    <c:v> C.H. ÁNGEL II </c:v>
                  </c:pt>
                  <c:pt idx="4">
                    <c:v> C.H. CHANCAY </c:v>
                  </c:pt>
                  <c:pt idx="5">
                    <c:v> C.H. HUALLIN </c:v>
                  </c:pt>
                  <c:pt idx="6">
                    <c:v> C.H. RUCUY </c:v>
                  </c:pt>
                  <c:pt idx="7">
                    <c:v> C.H. POTRERO </c:v>
                  </c:pt>
                  <c:pt idx="8">
                    <c:v> C.H. CARHUAQUERO IV </c:v>
                  </c:pt>
                  <c:pt idx="9">
                    <c:v> C.H. LAS PIZARRAS </c:v>
                  </c:pt>
                  <c:pt idx="10">
                    <c:v> C.H. 8 DE AGOSTO </c:v>
                  </c:pt>
                  <c:pt idx="11">
                    <c:v> C.H. YARUCAYA </c:v>
                  </c:pt>
                  <c:pt idx="12">
                    <c:v> C.H. RONCADOR </c:v>
                  </c:pt>
                  <c:pt idx="13">
                    <c:v> C.H. CAÑA BRAVA </c:v>
                  </c:pt>
                  <c:pt idx="14">
                    <c:v> C.H. CARHUAC </c:v>
                  </c:pt>
                  <c:pt idx="15">
                    <c:v> C.H. CANCHAYLLO </c:v>
                  </c:pt>
                  <c:pt idx="16">
                    <c:v> C.H. HUASAHUASI II </c:v>
                  </c:pt>
                  <c:pt idx="17">
                    <c:v> C.H. SANTA CRUZ II </c:v>
                  </c:pt>
                  <c:pt idx="18">
                    <c:v> C.H. SANTA CRUZ I </c:v>
                  </c:pt>
                  <c:pt idx="19">
                    <c:v> C.H. IMPERIAL </c:v>
                  </c:pt>
                  <c:pt idx="20">
                    <c:v> C.H. HUASAHUASI I </c:v>
                  </c:pt>
                  <c:pt idx="21">
                    <c:v> C.H. EL CARMEN </c:v>
                  </c:pt>
                  <c:pt idx="22">
                    <c:v> C.H. YANAPAMPA </c:v>
                  </c:pt>
                  <c:pt idx="23">
                    <c:v> C.H. RENOVANDES H1 </c:v>
                  </c:pt>
                  <c:pt idx="24">
                    <c:v> C.H. ÁNGEL III </c:v>
                  </c:pt>
                  <c:pt idx="25">
                    <c:v> C.H. MANTA I </c:v>
                  </c:pt>
                  <c:pt idx="26">
                    <c:v> C.H. HER 1 </c:v>
                  </c:pt>
                  <c:pt idx="27">
                    <c:v> C.H. POECHOS II </c:v>
                  </c:pt>
                  <c:pt idx="28">
                    <c:v> C.H. LA JOYA </c:v>
                  </c:pt>
                  <c:pt idx="29">
                    <c:v> C.H. PURMACANA </c:v>
                  </c:pt>
                  <c:pt idx="30">
                    <c:v> C.E. MARCONA </c:v>
                  </c:pt>
                  <c:pt idx="31">
                    <c:v> C.E. SAN JUAN </c:v>
                  </c:pt>
                  <c:pt idx="32">
                    <c:v> C.E. TRES HERMANAS </c:v>
                  </c:pt>
                  <c:pt idx="33">
                    <c:v> C.E. PUNTA LOMITAS </c:v>
                  </c:pt>
                  <c:pt idx="34">
                    <c:v> C.E. CUPISNIQUE </c:v>
                  </c:pt>
                  <c:pt idx="35">
                    <c:v> C.E. WAYRA I </c:v>
                  </c:pt>
                  <c:pt idx="36">
                    <c:v> C.E. TALARA </c:v>
                  </c:pt>
                  <c:pt idx="37">
                    <c:v> C.E. DUNA </c:v>
                  </c:pt>
                  <c:pt idx="38">
                    <c:v> C.E. WAYRA EXTENSION </c:v>
                  </c:pt>
                  <c:pt idx="39">
                    <c:v> C.E. HUAMBOS </c:v>
                  </c:pt>
                  <c:pt idx="40">
                    <c:v> C.E. PUNTA LOMITAS_EXP </c:v>
                  </c:pt>
                  <c:pt idx="41">
                    <c:v> C.S. TACNA SOLAR </c:v>
                  </c:pt>
                  <c:pt idx="42">
                    <c:v> C.S. MOQUEGUA FV </c:v>
                  </c:pt>
                  <c:pt idx="43">
                    <c:v> C.S. PANAMERICANA SOLAR </c:v>
                  </c:pt>
                  <c:pt idx="44">
                    <c:v> C.S. MATARANI </c:v>
                  </c:pt>
                  <c:pt idx="45">
                    <c:v> C.S. RUBI </c:v>
                  </c:pt>
                  <c:pt idx="46">
                    <c:v> C.S. Clemesí </c:v>
                  </c:pt>
                  <c:pt idx="47">
                    <c:v> C.S. INTIPAMPA </c:v>
                  </c:pt>
                  <c:pt idx="48">
                    <c:v> C.S. MAJES SOLAR </c:v>
                  </c:pt>
                  <c:pt idx="49">
                    <c:v> C.S. REPARTICION </c:v>
                  </c:pt>
                  <c:pt idx="50">
                    <c:v> C.S. YARUCAYA </c:v>
                  </c:pt>
                  <c:pt idx="51">
                    <c:v> C.S. CARHUAQUERO </c:v>
                  </c:pt>
                  <c:pt idx="52">
                    <c:v> C.T.B DOÑA CATALINA </c:v>
                  </c:pt>
                  <c:pt idx="53">
                    <c:v> C.T.B. CALLAO </c:v>
                  </c:pt>
                  <c:pt idx="54">
                    <c:v>C.T. HUAYCOLORO</c:v>
                  </c:pt>
                  <c:pt idx="55">
                    <c:v>C.T. LA GRINGA</c:v>
                  </c:pt>
                  <c:pt idx="56">
                    <c:v>C.T. PARAMONGA</c:v>
                  </c:pt>
                  <c:pt idx="57">
                    <c:v>C.T. SAN JACINTO</c:v>
                  </c:pt>
                  <c:pt idx="58">
                    <c:v>C.T. CAÑA BRAVA</c:v>
                  </c:pt>
                  <c:pt idx="59">
                    <c:v>C.T. MAPLE ETANOL</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1</c:v>
                </c:pt>
                <c:pt idx="1">
                  <c:v>0.98581425725729588</c:v>
                </c:pt>
                <c:pt idx="2">
                  <c:v>0.98405246092493293</c:v>
                </c:pt>
                <c:pt idx="3">
                  <c:v>0.98309134995834291</c:v>
                </c:pt>
                <c:pt idx="4">
                  <c:v>0.98207075362321261</c:v>
                </c:pt>
                <c:pt idx="5">
                  <c:v>0.97714341013418082</c:v>
                </c:pt>
                <c:pt idx="6">
                  <c:v>0.97082317901479742</c:v>
                </c:pt>
                <c:pt idx="7">
                  <c:v>0.96707821186105081</c:v>
                </c:pt>
                <c:pt idx="8">
                  <c:v>0.96169907256884724</c:v>
                </c:pt>
                <c:pt idx="9">
                  <c:v>0.93911176890714698</c:v>
                </c:pt>
                <c:pt idx="10">
                  <c:v>0.93189559580243264</c:v>
                </c:pt>
                <c:pt idx="11">
                  <c:v>0.9288441322540717</c:v>
                </c:pt>
                <c:pt idx="12">
                  <c:v>0.89746136356639328</c:v>
                </c:pt>
                <c:pt idx="13">
                  <c:v>0.89444182852310206</c:v>
                </c:pt>
                <c:pt idx="14">
                  <c:v>0.87343800639839364</c:v>
                </c:pt>
                <c:pt idx="15">
                  <c:v>0.87215857126058705</c:v>
                </c:pt>
                <c:pt idx="16">
                  <c:v>0.86617409143046009</c:v>
                </c:pt>
                <c:pt idx="17">
                  <c:v>0.86101354434402633</c:v>
                </c:pt>
                <c:pt idx="18">
                  <c:v>0.85650945567832371</c:v>
                </c:pt>
                <c:pt idx="19">
                  <c:v>0.84098739940928957</c:v>
                </c:pt>
                <c:pt idx="20">
                  <c:v>0.8398020987481718</c:v>
                </c:pt>
                <c:pt idx="21">
                  <c:v>0.83759124564807841</c:v>
                </c:pt>
                <c:pt idx="22">
                  <c:v>0.82467666677241291</c:v>
                </c:pt>
                <c:pt idx="23">
                  <c:v>0.80818432244011906</c:v>
                </c:pt>
                <c:pt idx="24">
                  <c:v>0.72745181486674781</c:v>
                </c:pt>
                <c:pt idx="25">
                  <c:v>0.69752494233023565</c:v>
                </c:pt>
                <c:pt idx="26">
                  <c:v>0.68141158871786767</c:v>
                </c:pt>
                <c:pt idx="27">
                  <c:v>0.68089973918190727</c:v>
                </c:pt>
                <c:pt idx="28">
                  <c:v>0.47187466537933398</c:v>
                </c:pt>
                <c:pt idx="29">
                  <c:v>1.8493038812421512E-2</c:v>
                </c:pt>
                <c:pt idx="30">
                  <c:v>0.45357879270391949</c:v>
                </c:pt>
                <c:pt idx="31">
                  <c:v>0.43629566716210988</c:v>
                </c:pt>
                <c:pt idx="32">
                  <c:v>0.41769777335197183</c:v>
                </c:pt>
                <c:pt idx="33">
                  <c:v>0.39051559409631681</c:v>
                </c:pt>
                <c:pt idx="34">
                  <c:v>0.3702360108977038</c:v>
                </c:pt>
                <c:pt idx="35">
                  <c:v>0.33686140416618626</c:v>
                </c:pt>
                <c:pt idx="36">
                  <c:v>0.31306576858859586</c:v>
                </c:pt>
                <c:pt idx="37">
                  <c:v>0.30727132455043693</c:v>
                </c:pt>
                <c:pt idx="38">
                  <c:v>0.25074581956813174</c:v>
                </c:pt>
                <c:pt idx="39">
                  <c:v>0.24738361701097036</c:v>
                </c:pt>
                <c:pt idx="40">
                  <c:v>0.19322233297246541</c:v>
                </c:pt>
                <c:pt idx="41">
                  <c:v>0.34732179555084747</c:v>
                </c:pt>
                <c:pt idx="42">
                  <c:v>0.34097321901483052</c:v>
                </c:pt>
                <c:pt idx="43">
                  <c:v>0.33377541490112994</c:v>
                </c:pt>
                <c:pt idx="44">
                  <c:v>0.32104687786899716</c:v>
                </c:pt>
                <c:pt idx="45">
                  <c:v>0.32088554302083139</c:v>
                </c:pt>
                <c:pt idx="46">
                  <c:v>0.31989364012287508</c:v>
                </c:pt>
                <c:pt idx="47">
                  <c:v>0.26736659582723027</c:v>
                </c:pt>
                <c:pt idx="48">
                  <c:v>0.25506645127118643</c:v>
                </c:pt>
                <c:pt idx="49">
                  <c:v>0.23137390889830509</c:v>
                </c:pt>
                <c:pt idx="50">
                  <c:v>0.19096072464716535</c:v>
                </c:pt>
                <c:pt idx="51">
                  <c:v>0.14568366718027734</c:v>
                </c:pt>
                <c:pt idx="52">
                  <c:v>1</c:v>
                </c:pt>
                <c:pt idx="53">
                  <c:v>0.96517468326696076</c:v>
                </c:pt>
                <c:pt idx="54">
                  <c:v>0.93227080360434678</c:v>
                </c:pt>
                <c:pt idx="55">
                  <c:v>0.84595057114962913</c:v>
                </c:pt>
                <c:pt idx="56">
                  <c:v>0.73010237665959665</c:v>
                </c:pt>
                <c:pt idx="57">
                  <c:v>0.72774465639266872</c:v>
                </c:pt>
                <c:pt idx="58">
                  <c:v>0.63342780483425931</c:v>
                </c:pt>
                <c:pt idx="59">
                  <c:v>0.60293790643500544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RER'!$T$6:$U$65</c:f>
              <c:multiLvlStrCache>
                <c:ptCount val="60"/>
                <c:lvl>
                  <c:pt idx="0">
                    <c:v> C.H. RUNATULLO III </c:v>
                  </c:pt>
                  <c:pt idx="1">
                    <c:v> C.H. ÁNGEL I </c:v>
                  </c:pt>
                  <c:pt idx="2">
                    <c:v> C.H. RUNATULLO II </c:v>
                  </c:pt>
                  <c:pt idx="3">
                    <c:v> C.H. ÁNGEL II </c:v>
                  </c:pt>
                  <c:pt idx="4">
                    <c:v> C.H. CHANCAY </c:v>
                  </c:pt>
                  <c:pt idx="5">
                    <c:v> C.H. HUALLIN </c:v>
                  </c:pt>
                  <c:pt idx="6">
                    <c:v> C.H. RUCUY </c:v>
                  </c:pt>
                  <c:pt idx="7">
                    <c:v> C.H. POTRERO </c:v>
                  </c:pt>
                  <c:pt idx="8">
                    <c:v> C.H. CARHUAQUERO IV </c:v>
                  </c:pt>
                  <c:pt idx="9">
                    <c:v> C.H. LAS PIZARRAS </c:v>
                  </c:pt>
                  <c:pt idx="10">
                    <c:v> C.H. 8 DE AGOSTO </c:v>
                  </c:pt>
                  <c:pt idx="11">
                    <c:v> C.H. YARUCAYA </c:v>
                  </c:pt>
                  <c:pt idx="12">
                    <c:v> C.H. RONCADOR </c:v>
                  </c:pt>
                  <c:pt idx="13">
                    <c:v> C.H. CAÑA BRAVA </c:v>
                  </c:pt>
                  <c:pt idx="14">
                    <c:v> C.H. CARHUAC </c:v>
                  </c:pt>
                  <c:pt idx="15">
                    <c:v> C.H. CANCHAYLLO </c:v>
                  </c:pt>
                  <c:pt idx="16">
                    <c:v> C.H. HUASAHUASI II </c:v>
                  </c:pt>
                  <c:pt idx="17">
                    <c:v> C.H. SANTA CRUZ II </c:v>
                  </c:pt>
                  <c:pt idx="18">
                    <c:v> C.H. SANTA CRUZ I </c:v>
                  </c:pt>
                  <c:pt idx="19">
                    <c:v> C.H. IMPERIAL </c:v>
                  </c:pt>
                  <c:pt idx="20">
                    <c:v> C.H. HUASAHUASI I </c:v>
                  </c:pt>
                  <c:pt idx="21">
                    <c:v> C.H. EL CARMEN </c:v>
                  </c:pt>
                  <c:pt idx="22">
                    <c:v> C.H. YANAPAMPA </c:v>
                  </c:pt>
                  <c:pt idx="23">
                    <c:v> C.H. RENOVANDES H1 </c:v>
                  </c:pt>
                  <c:pt idx="24">
                    <c:v> C.H. ÁNGEL III </c:v>
                  </c:pt>
                  <c:pt idx="25">
                    <c:v> C.H. MANTA I </c:v>
                  </c:pt>
                  <c:pt idx="26">
                    <c:v> C.H. HER 1 </c:v>
                  </c:pt>
                  <c:pt idx="27">
                    <c:v> C.H. POECHOS II </c:v>
                  </c:pt>
                  <c:pt idx="28">
                    <c:v> C.H. LA JOYA </c:v>
                  </c:pt>
                  <c:pt idx="29">
                    <c:v> C.H. PURMACANA </c:v>
                  </c:pt>
                  <c:pt idx="30">
                    <c:v> C.E. MARCONA </c:v>
                  </c:pt>
                  <c:pt idx="31">
                    <c:v> C.E. SAN JUAN </c:v>
                  </c:pt>
                  <c:pt idx="32">
                    <c:v> C.E. TRES HERMANAS </c:v>
                  </c:pt>
                  <c:pt idx="33">
                    <c:v> C.E. PUNTA LOMITAS </c:v>
                  </c:pt>
                  <c:pt idx="34">
                    <c:v> C.E. CUPISNIQUE </c:v>
                  </c:pt>
                  <c:pt idx="35">
                    <c:v> C.E. WAYRA I </c:v>
                  </c:pt>
                  <c:pt idx="36">
                    <c:v> C.E. TALARA </c:v>
                  </c:pt>
                  <c:pt idx="37">
                    <c:v> C.E. DUNA </c:v>
                  </c:pt>
                  <c:pt idx="38">
                    <c:v> C.E. WAYRA EXTENSION </c:v>
                  </c:pt>
                  <c:pt idx="39">
                    <c:v> C.E. HUAMBOS </c:v>
                  </c:pt>
                  <c:pt idx="40">
                    <c:v> C.E. PUNTA LOMITAS_EXP </c:v>
                  </c:pt>
                  <c:pt idx="41">
                    <c:v> C.S. TACNA SOLAR </c:v>
                  </c:pt>
                  <c:pt idx="42">
                    <c:v> C.S. MOQUEGUA FV </c:v>
                  </c:pt>
                  <c:pt idx="43">
                    <c:v> C.S. PANAMERICANA SOLAR </c:v>
                  </c:pt>
                  <c:pt idx="44">
                    <c:v> C.S. MATARANI </c:v>
                  </c:pt>
                  <c:pt idx="45">
                    <c:v> C.S. RUBI </c:v>
                  </c:pt>
                  <c:pt idx="46">
                    <c:v> C.S. Clemesí </c:v>
                  </c:pt>
                  <c:pt idx="47">
                    <c:v> C.S. INTIPAMPA </c:v>
                  </c:pt>
                  <c:pt idx="48">
                    <c:v> C.S. MAJES SOLAR </c:v>
                  </c:pt>
                  <c:pt idx="49">
                    <c:v> C.S. REPARTICION </c:v>
                  </c:pt>
                  <c:pt idx="50">
                    <c:v> C.S. YARUCAYA </c:v>
                  </c:pt>
                  <c:pt idx="51">
                    <c:v> C.S. CARHUAQUERO </c:v>
                  </c:pt>
                  <c:pt idx="52">
                    <c:v> C.T.B DOÑA CATALINA </c:v>
                  </c:pt>
                  <c:pt idx="53">
                    <c:v> C.T.B. CALLAO </c:v>
                  </c:pt>
                  <c:pt idx="54">
                    <c:v>C.T. HUAYCOLORO</c:v>
                  </c:pt>
                  <c:pt idx="55">
                    <c:v>C.T. LA GRINGA</c:v>
                  </c:pt>
                  <c:pt idx="56">
                    <c:v>C.T. PARAMONGA</c:v>
                  </c:pt>
                  <c:pt idx="57">
                    <c:v>C.T. SAN JACINTO</c:v>
                  </c:pt>
                  <c:pt idx="58">
                    <c:v>C.T. CAÑA BRAVA</c:v>
                  </c:pt>
                  <c:pt idx="59">
                    <c:v>C.T. MAPLE ETANOL</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1</c:v>
                </c:pt>
                <c:pt idx="1">
                  <c:v>1</c:v>
                </c:pt>
                <c:pt idx="2">
                  <c:v>0.97617995104997968</c:v>
                </c:pt>
                <c:pt idx="3">
                  <c:v>0.9940970476669978</c:v>
                </c:pt>
                <c:pt idx="4">
                  <c:v>0.913858064262422</c:v>
                </c:pt>
                <c:pt idx="5">
                  <c:v>0</c:v>
                </c:pt>
                <c:pt idx="6">
                  <c:v>0.94638279597559383</c:v>
                </c:pt>
                <c:pt idx="7">
                  <c:v>0.94119279010442802</c:v>
                </c:pt>
                <c:pt idx="8">
                  <c:v>0.99668973569723696</c:v>
                </c:pt>
                <c:pt idx="9">
                  <c:v>0.89753926126698103</c:v>
                </c:pt>
                <c:pt idx="10">
                  <c:v>0.91119216651185497</c:v>
                </c:pt>
                <c:pt idx="11">
                  <c:v>0.95049731977052032</c:v>
                </c:pt>
                <c:pt idx="12">
                  <c:v>0.80135448506939955</c:v>
                </c:pt>
                <c:pt idx="13">
                  <c:v>0.92810008628291674</c:v>
                </c:pt>
                <c:pt idx="14">
                  <c:v>0.88015838426952453</c:v>
                </c:pt>
                <c:pt idx="15">
                  <c:v>0.93520285022140115</c:v>
                </c:pt>
                <c:pt idx="16">
                  <c:v>0.95457198124560894</c:v>
                </c:pt>
                <c:pt idx="17">
                  <c:v>1</c:v>
                </c:pt>
                <c:pt idx="18">
                  <c:v>0.97258382958159262</c:v>
                </c:pt>
                <c:pt idx="19">
                  <c:v>0.85765700084767593</c:v>
                </c:pt>
                <c:pt idx="20">
                  <c:v>0.94621221884298967</c:v>
                </c:pt>
                <c:pt idx="21">
                  <c:v>0.80517861987658457</c:v>
                </c:pt>
                <c:pt idx="22">
                  <c:v>0.78686887322181398</c:v>
                </c:pt>
                <c:pt idx="23">
                  <c:v>0.9645599730632719</c:v>
                </c:pt>
                <c:pt idx="24">
                  <c:v>0.97935957247836769</c:v>
                </c:pt>
                <c:pt idx="25">
                  <c:v>0.86050237256325846</c:v>
                </c:pt>
                <c:pt idx="26">
                  <c:v>0.36624018255090907</c:v>
                </c:pt>
                <c:pt idx="27">
                  <c:v>0.68049263728278553</c:v>
                </c:pt>
                <c:pt idx="28">
                  <c:v>0.2463325015134844</c:v>
                </c:pt>
                <c:pt idx="29">
                  <c:v>0.2870344007993596</c:v>
                </c:pt>
                <c:pt idx="30">
                  <c:v>0.40830976663523705</c:v>
                </c:pt>
                <c:pt idx="31">
                  <c:v>0</c:v>
                </c:pt>
                <c:pt idx="32">
                  <c:v>0.45306139642157822</c:v>
                </c:pt>
                <c:pt idx="33">
                  <c:v>0.36429987604995578</c:v>
                </c:pt>
                <c:pt idx="34">
                  <c:v>0.40604311675340926</c:v>
                </c:pt>
                <c:pt idx="35">
                  <c:v>0.38319541370187926</c:v>
                </c:pt>
                <c:pt idx="36">
                  <c:v>0.22036142844306136</c:v>
                </c:pt>
                <c:pt idx="37">
                  <c:v>0.49478682134164276</c:v>
                </c:pt>
                <c:pt idx="38">
                  <c:v>0</c:v>
                </c:pt>
                <c:pt idx="39">
                  <c:v>0.40298778813845665</c:v>
                </c:pt>
                <c:pt idx="40">
                  <c:v>0.28613374157272325</c:v>
                </c:pt>
                <c:pt idx="41">
                  <c:v>0.30057031249999999</c:v>
                </c:pt>
                <c:pt idx="42">
                  <c:v>0.3124249057112069</c:v>
                </c:pt>
                <c:pt idx="43">
                  <c:v>0.30723638649425289</c:v>
                </c:pt>
                <c:pt idx="44">
                  <c:v>0</c:v>
                </c:pt>
                <c:pt idx="45">
                  <c:v>0.33468797087215668</c:v>
                </c:pt>
                <c:pt idx="46">
                  <c:v>0.30387810396333198</c:v>
                </c:pt>
                <c:pt idx="47">
                  <c:v>0.26878709140414364</c:v>
                </c:pt>
                <c:pt idx="48">
                  <c:v>0.25755710937499998</c:v>
                </c:pt>
                <c:pt idx="49">
                  <c:v>0.24125061063218392</c:v>
                </c:pt>
                <c:pt idx="50">
                  <c:v>0.19430557404695337</c:v>
                </c:pt>
                <c:pt idx="51">
                  <c:v>8.5731197753396035E-2</c:v>
                </c:pt>
                <c:pt idx="52">
                  <c:v>0.70169405564523213</c:v>
                </c:pt>
                <c:pt idx="53">
                  <c:v>0.87120317299643024</c:v>
                </c:pt>
                <c:pt idx="54">
                  <c:v>1</c:v>
                </c:pt>
                <c:pt idx="55">
                  <c:v>0.74216260064878969</c:v>
                </c:pt>
                <c:pt idx="56">
                  <c:v>0.5711759698995591</c:v>
                </c:pt>
                <c:pt idx="57">
                  <c:v>0.86732889191692075</c:v>
                </c:pt>
                <c:pt idx="58">
                  <c:v>0.7815858302783173</c:v>
                </c:pt>
                <c:pt idx="59">
                  <c:v>0</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empresa'!$M$4:$M$72</c:f>
              <c:strCache>
                <c:ptCount val="69"/>
                <c:pt idx="0">
                  <c:v>ENEL GENERACION PERU</c:v>
                </c:pt>
                <c:pt idx="1">
                  <c:v>COGENERACIÓN OQUENDO</c:v>
                </c:pt>
                <c:pt idx="2">
                  <c:v>PLANTA  ETEN</c:v>
                </c:pt>
                <c:pt idx="3">
                  <c:v>ATRIA</c:v>
                </c:pt>
                <c:pt idx="4">
                  <c:v>KONDU</c:v>
                </c:pt>
                <c:pt idx="5">
                  <c:v>SHOUGESA</c:v>
                </c:pt>
                <c:pt idx="6">
                  <c:v>COLCA SOLAR</c:v>
                </c:pt>
                <c:pt idx="7">
                  <c:v>IYEPSA</c:v>
                </c:pt>
                <c:pt idx="8">
                  <c:v>SAMAY I</c:v>
                </c:pt>
                <c:pt idx="9">
                  <c:v>ASOCIACIÓN SANTA LUCIA DE CHACAS</c:v>
                </c:pt>
                <c:pt idx="10">
                  <c:v>INVERSIONES SHAQSHA</c:v>
                </c:pt>
                <c:pt idx="11">
                  <c:v>CENTRALES SANTA ROSA</c:v>
                </c:pt>
                <c:pt idx="12">
                  <c:v>CERRO VERDE</c:v>
                </c:pt>
                <c:pt idx="13">
                  <c:v>ELECTRICA YANAPAMPA</c:v>
                </c:pt>
                <c:pt idx="14">
                  <c:v>MAJA ENERGIA</c:v>
                </c:pt>
                <c:pt idx="15">
                  <c:v>HIDROCAÑETE</c:v>
                </c:pt>
                <c:pt idx="16">
                  <c:v>GR PAINO</c:v>
                </c:pt>
                <c:pt idx="17">
                  <c:v>EGECSAC</c:v>
                </c:pt>
                <c:pt idx="18">
                  <c:v>REPARTICION</c:v>
                </c:pt>
                <c:pt idx="19">
                  <c:v>GR TARUCA</c:v>
                </c:pt>
                <c:pt idx="20">
                  <c:v>MAJES</c:v>
                </c:pt>
                <c:pt idx="21">
                  <c:v>BIOENERGIA</c:v>
                </c:pt>
                <c:pt idx="22">
                  <c:v>MOQUEGUA FV</c:v>
                </c:pt>
                <c:pt idx="23">
                  <c:v>SAN JACINTO</c:v>
                </c:pt>
                <c:pt idx="24">
                  <c:v>PANAMERICANA SOLAR</c:v>
                </c:pt>
                <c:pt idx="25">
                  <c:v>TACNA SOLAR</c:v>
                </c:pt>
                <c:pt idx="26">
                  <c:v>AIPSA</c:v>
                </c:pt>
                <c:pt idx="27">
                  <c:v>PETRAMAS</c:v>
                </c:pt>
                <c:pt idx="28">
                  <c:v>P.E. MARCONA</c:v>
                </c:pt>
                <c:pt idx="29">
                  <c:v>AGROAURORA</c:v>
                </c:pt>
                <c:pt idx="30">
                  <c:v>INVERSION DE ENERGÍA RENOVABLES</c:v>
                </c:pt>
                <c:pt idx="31">
                  <c:v>SANTA ANA</c:v>
                </c:pt>
                <c:pt idx="32">
                  <c:v>CELEPSA RENOVABLES</c:v>
                </c:pt>
                <c:pt idx="33">
                  <c:v>EGESUR</c:v>
                </c:pt>
                <c:pt idx="34">
                  <c:v>HUAURA POWER</c:v>
                </c:pt>
                <c:pt idx="35">
                  <c:v>HIDROELECTRICA HUANCHOR</c:v>
                </c:pt>
                <c:pt idx="36">
                  <c:v>RIO DOBLE</c:v>
                </c:pt>
                <c:pt idx="37">
                  <c:v>AGUA AZUL</c:v>
                </c:pt>
                <c:pt idx="38">
                  <c:v>RIO BAÑOS</c:v>
                </c:pt>
                <c:pt idx="39">
                  <c:v>ANDEAN POWER</c:v>
                </c:pt>
                <c:pt idx="40">
                  <c:v>TERMOSELVA</c:v>
                </c:pt>
                <c:pt idx="41">
                  <c:v>GR CORTARRAMA</c:v>
                </c:pt>
                <c:pt idx="42">
                  <c:v>GENERACIÓN ANDINA</c:v>
                </c:pt>
                <c:pt idx="43">
                  <c:v>ENERGÍA EÓLICA</c:v>
                </c:pt>
                <c:pt idx="44">
                  <c:v>SINERSA</c:v>
                </c:pt>
                <c:pt idx="45">
                  <c:v>GM OPERACIONES</c:v>
                </c:pt>
                <c:pt idx="46">
                  <c:v>P.E. TRES HERMANAS</c:v>
                </c:pt>
                <c:pt idx="47">
                  <c:v>SDF ENERGIA</c:v>
                </c:pt>
                <c:pt idx="48">
                  <c:v>ENEL GENERACION PIURA</c:v>
                </c:pt>
                <c:pt idx="49">
                  <c:v>ENERGIA RENOVABLE DEL SUR</c:v>
                </c:pt>
                <c:pt idx="50">
                  <c:v>LA VIRGEN</c:v>
                </c:pt>
                <c:pt idx="51">
                  <c:v>GEPSA</c:v>
                </c:pt>
                <c:pt idx="52">
                  <c:v>EMGE JUNÍN</c:v>
                </c:pt>
                <c:pt idx="53">
                  <c:v>EMGE HUANZA</c:v>
                </c:pt>
                <c:pt idx="54">
                  <c:v>INLAND</c:v>
                </c:pt>
                <c:pt idx="55">
                  <c:v>SAN GABAN</c:v>
                </c:pt>
                <c:pt idx="56">
                  <c:v>EGASA</c:v>
                </c:pt>
                <c:pt idx="57">
                  <c:v>CHINANGO</c:v>
                </c:pt>
                <c:pt idx="58">
                  <c:v>EGEMSA</c:v>
                </c:pt>
                <c:pt idx="59">
                  <c:v>TERMOCHILCA</c:v>
                </c:pt>
                <c:pt idx="60">
                  <c:v>CELEPSA</c:v>
                </c:pt>
                <c:pt idx="61">
                  <c:v>ORAZUL ENERGY PERÚ</c:v>
                </c:pt>
                <c:pt idx="62">
                  <c:v>STATKRAFT</c:v>
                </c:pt>
                <c:pt idx="63">
                  <c:v>FENIX POWER</c:v>
                </c:pt>
                <c:pt idx="64">
                  <c:v>EMGE HUALLAGA</c:v>
                </c:pt>
                <c:pt idx="65">
                  <c:v>ENGIE</c:v>
                </c:pt>
                <c:pt idx="66">
                  <c:v>ELECTROPERU</c:v>
                </c:pt>
                <c:pt idx="67">
                  <c:v>ORYGEN PERU</c:v>
                </c:pt>
                <c:pt idx="68">
                  <c:v>KALLPA</c:v>
                </c:pt>
              </c:strCache>
            </c:strRef>
          </c:cat>
          <c:val>
            <c:numRef>
              <c:f>'7. Generacion empresa'!$N$4:$N$72</c:f>
              <c:numCache>
                <c:formatCode>General</c:formatCode>
                <c:ptCount val="69"/>
                <c:pt idx="2">
                  <c:v>2.0615420000000002E-2</c:v>
                </c:pt>
                <c:pt idx="3">
                  <c:v>4.6333289999999999E-2</c:v>
                </c:pt>
                <c:pt idx="4">
                  <c:v>4.9554807500000006E-2</c:v>
                </c:pt>
                <c:pt idx="5">
                  <c:v>0.115064295</c:v>
                </c:pt>
                <c:pt idx="6">
                  <c:v>0.14369725</c:v>
                </c:pt>
                <c:pt idx="7">
                  <c:v>0.74285538749999991</c:v>
                </c:pt>
                <c:pt idx="8">
                  <c:v>1.0771151925</c:v>
                </c:pt>
                <c:pt idx="9">
                  <c:v>1.2889903325000001</c:v>
                </c:pt>
                <c:pt idx="10">
                  <c:v>1.5012186525000002</c:v>
                </c:pt>
                <c:pt idx="11">
                  <c:v>1.58042821</c:v>
                </c:pt>
                <c:pt idx="12">
                  <c:v>1.5905319625000001</c:v>
                </c:pt>
                <c:pt idx="13">
                  <c:v>2.0177573</c:v>
                </c:pt>
                <c:pt idx="14">
                  <c:v>2.12087</c:v>
                </c:pt>
                <c:pt idx="15">
                  <c:v>2.2253000000000003</c:v>
                </c:pt>
                <c:pt idx="16">
                  <c:v>2.3519880375</c:v>
                </c:pt>
                <c:pt idx="17">
                  <c:v>2.73833875</c:v>
                </c:pt>
                <c:pt idx="18">
                  <c:v>2.7803100000000001</c:v>
                </c:pt>
                <c:pt idx="19">
                  <c:v>3.0377019675000003</c:v>
                </c:pt>
                <c:pt idx="20">
                  <c:v>3.2640197</c:v>
                </c:pt>
                <c:pt idx="21">
                  <c:v>3.2899409999999998</c:v>
                </c:pt>
                <c:pt idx="22">
                  <c:v>3.6596452500000001</c:v>
                </c:pt>
                <c:pt idx="23">
                  <c:v>4.1316392400000002</c:v>
                </c:pt>
                <c:pt idx="24">
                  <c:v>4.42573025</c:v>
                </c:pt>
                <c:pt idx="25">
                  <c:v>4.7753627500000002</c:v>
                </c:pt>
                <c:pt idx="26">
                  <c:v>6.8942819824999999</c:v>
                </c:pt>
                <c:pt idx="27">
                  <c:v>7.1006956500000005</c:v>
                </c:pt>
                <c:pt idx="28">
                  <c:v>7.4709958475000002</c:v>
                </c:pt>
                <c:pt idx="29">
                  <c:v>7.6259346274999995</c:v>
                </c:pt>
                <c:pt idx="30">
                  <c:v>7.8488362775000002</c:v>
                </c:pt>
                <c:pt idx="31">
                  <c:v>9.0398152800000009</c:v>
                </c:pt>
                <c:pt idx="32">
                  <c:v>10.019868004999999</c:v>
                </c:pt>
                <c:pt idx="33">
                  <c:v>10.501533774999999</c:v>
                </c:pt>
                <c:pt idx="34">
                  <c:v>10.60471925</c:v>
                </c:pt>
                <c:pt idx="35">
                  <c:v>12.2461670875</c:v>
                </c:pt>
                <c:pt idx="36">
                  <c:v>12.2640680275</c:v>
                </c:pt>
                <c:pt idx="37">
                  <c:v>13.015105275</c:v>
                </c:pt>
                <c:pt idx="38">
                  <c:v>13.0330665175</c:v>
                </c:pt>
                <c:pt idx="39">
                  <c:v>13.0524951825</c:v>
                </c:pt>
                <c:pt idx="40">
                  <c:v>14.1503827425</c:v>
                </c:pt>
                <c:pt idx="41">
                  <c:v>15.5563600875</c:v>
                </c:pt>
                <c:pt idx="42">
                  <c:v>17.15126325</c:v>
                </c:pt>
                <c:pt idx="43">
                  <c:v>17.7322353325</c:v>
                </c:pt>
                <c:pt idx="44">
                  <c:v>19.066708210000002</c:v>
                </c:pt>
                <c:pt idx="45">
                  <c:v>20.021989155</c:v>
                </c:pt>
                <c:pt idx="46">
                  <c:v>20.490931742500003</c:v>
                </c:pt>
                <c:pt idx="47">
                  <c:v>21.158633275</c:v>
                </c:pt>
                <c:pt idx="48">
                  <c:v>25.705796897500001</c:v>
                </c:pt>
                <c:pt idx="49">
                  <c:v>32.120616249999998</c:v>
                </c:pt>
                <c:pt idx="50">
                  <c:v>40.644668500000002</c:v>
                </c:pt>
                <c:pt idx="51">
                  <c:v>40.800485424999998</c:v>
                </c:pt>
                <c:pt idx="52">
                  <c:v>46.995823249999987</c:v>
                </c:pt>
                <c:pt idx="53">
                  <c:v>49.398798200000002</c:v>
                </c:pt>
                <c:pt idx="54">
                  <c:v>59.83956757</c:v>
                </c:pt>
                <c:pt idx="55">
                  <c:v>72.709825802500006</c:v>
                </c:pt>
                <c:pt idx="56">
                  <c:v>79.432449475000013</c:v>
                </c:pt>
                <c:pt idx="57">
                  <c:v>94.590207249999992</c:v>
                </c:pt>
                <c:pt idx="58">
                  <c:v>110.27280400000001</c:v>
                </c:pt>
                <c:pt idx="59">
                  <c:v>112.66788943500001</c:v>
                </c:pt>
                <c:pt idx="60">
                  <c:v>128.9468584</c:v>
                </c:pt>
                <c:pt idx="61">
                  <c:v>209.86948128499995</c:v>
                </c:pt>
                <c:pt idx="62">
                  <c:v>244.49022060500002</c:v>
                </c:pt>
                <c:pt idx="63">
                  <c:v>294.69183229500004</c:v>
                </c:pt>
                <c:pt idx="64">
                  <c:v>302.84059914500006</c:v>
                </c:pt>
                <c:pt idx="65">
                  <c:v>455.91956049000004</c:v>
                </c:pt>
                <c:pt idx="66">
                  <c:v>551.10224056750008</c:v>
                </c:pt>
                <c:pt idx="67">
                  <c:v>594.07221850000019</c:v>
                </c:pt>
                <c:pt idx="68">
                  <c:v>977.49598841749992</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empresa'!$M$4:$M$72</c:f>
              <c:strCache>
                <c:ptCount val="69"/>
                <c:pt idx="0">
                  <c:v>ENEL GENERACION PERU</c:v>
                </c:pt>
                <c:pt idx="1">
                  <c:v>COGENERACIÓN OQUENDO</c:v>
                </c:pt>
                <c:pt idx="2">
                  <c:v>PLANTA  ETEN</c:v>
                </c:pt>
                <c:pt idx="3">
                  <c:v>ATRIA</c:v>
                </c:pt>
                <c:pt idx="4">
                  <c:v>KONDU</c:v>
                </c:pt>
                <c:pt idx="5">
                  <c:v>SHOUGESA</c:v>
                </c:pt>
                <c:pt idx="6">
                  <c:v>COLCA SOLAR</c:v>
                </c:pt>
                <c:pt idx="7">
                  <c:v>IYEPSA</c:v>
                </c:pt>
                <c:pt idx="8">
                  <c:v>SAMAY I</c:v>
                </c:pt>
                <c:pt idx="9">
                  <c:v>ASOCIACIÓN SANTA LUCIA DE CHACAS</c:v>
                </c:pt>
                <c:pt idx="10">
                  <c:v>INVERSIONES SHAQSHA</c:v>
                </c:pt>
                <c:pt idx="11">
                  <c:v>CENTRALES SANTA ROSA</c:v>
                </c:pt>
                <c:pt idx="12">
                  <c:v>CERRO VERDE</c:v>
                </c:pt>
                <c:pt idx="13">
                  <c:v>ELECTRICA YANAPAMPA</c:v>
                </c:pt>
                <c:pt idx="14">
                  <c:v>MAJA ENERGIA</c:v>
                </c:pt>
                <c:pt idx="15">
                  <c:v>HIDROCAÑETE</c:v>
                </c:pt>
                <c:pt idx="16">
                  <c:v>GR PAINO</c:v>
                </c:pt>
                <c:pt idx="17">
                  <c:v>EGECSAC</c:v>
                </c:pt>
                <c:pt idx="18">
                  <c:v>REPARTICION</c:v>
                </c:pt>
                <c:pt idx="19">
                  <c:v>GR TARUCA</c:v>
                </c:pt>
                <c:pt idx="20">
                  <c:v>MAJES</c:v>
                </c:pt>
                <c:pt idx="21">
                  <c:v>BIOENERGIA</c:v>
                </c:pt>
                <c:pt idx="22">
                  <c:v>MOQUEGUA FV</c:v>
                </c:pt>
                <c:pt idx="23">
                  <c:v>SAN JACINTO</c:v>
                </c:pt>
                <c:pt idx="24">
                  <c:v>PANAMERICANA SOLAR</c:v>
                </c:pt>
                <c:pt idx="25">
                  <c:v>TACNA SOLAR</c:v>
                </c:pt>
                <c:pt idx="26">
                  <c:v>AIPSA</c:v>
                </c:pt>
                <c:pt idx="27">
                  <c:v>PETRAMAS</c:v>
                </c:pt>
                <c:pt idx="28">
                  <c:v>P.E. MARCONA</c:v>
                </c:pt>
                <c:pt idx="29">
                  <c:v>AGROAURORA</c:v>
                </c:pt>
                <c:pt idx="30">
                  <c:v>INVERSION DE ENERGÍA RENOVABLES</c:v>
                </c:pt>
                <c:pt idx="31">
                  <c:v>SANTA ANA</c:v>
                </c:pt>
                <c:pt idx="32">
                  <c:v>CELEPSA RENOVABLES</c:v>
                </c:pt>
                <c:pt idx="33">
                  <c:v>EGESUR</c:v>
                </c:pt>
                <c:pt idx="34">
                  <c:v>HUAURA POWER</c:v>
                </c:pt>
                <c:pt idx="35">
                  <c:v>HIDROELECTRICA HUANCHOR</c:v>
                </c:pt>
                <c:pt idx="36">
                  <c:v>RIO DOBLE</c:v>
                </c:pt>
                <c:pt idx="37">
                  <c:v>AGUA AZUL</c:v>
                </c:pt>
                <c:pt idx="38">
                  <c:v>RIO BAÑOS</c:v>
                </c:pt>
                <c:pt idx="39">
                  <c:v>ANDEAN POWER</c:v>
                </c:pt>
                <c:pt idx="40">
                  <c:v>TERMOSELVA</c:v>
                </c:pt>
                <c:pt idx="41">
                  <c:v>GR CORTARRAMA</c:v>
                </c:pt>
                <c:pt idx="42">
                  <c:v>GENERACIÓN ANDINA</c:v>
                </c:pt>
                <c:pt idx="43">
                  <c:v>ENERGÍA EÓLICA</c:v>
                </c:pt>
                <c:pt idx="44">
                  <c:v>SINERSA</c:v>
                </c:pt>
                <c:pt idx="45">
                  <c:v>GM OPERACIONES</c:v>
                </c:pt>
                <c:pt idx="46">
                  <c:v>P.E. TRES HERMANAS</c:v>
                </c:pt>
                <c:pt idx="47">
                  <c:v>SDF ENERGIA</c:v>
                </c:pt>
                <c:pt idx="48">
                  <c:v>ENEL GENERACION PIURA</c:v>
                </c:pt>
                <c:pt idx="49">
                  <c:v>ENERGIA RENOVABLE DEL SUR</c:v>
                </c:pt>
                <c:pt idx="50">
                  <c:v>LA VIRGEN</c:v>
                </c:pt>
                <c:pt idx="51">
                  <c:v>GEPSA</c:v>
                </c:pt>
                <c:pt idx="52">
                  <c:v>EMGE JUNÍN</c:v>
                </c:pt>
                <c:pt idx="53">
                  <c:v>EMGE HUANZA</c:v>
                </c:pt>
                <c:pt idx="54">
                  <c:v>INLAND</c:v>
                </c:pt>
                <c:pt idx="55">
                  <c:v>SAN GABAN</c:v>
                </c:pt>
                <c:pt idx="56">
                  <c:v>EGASA</c:v>
                </c:pt>
                <c:pt idx="57">
                  <c:v>CHINANGO</c:v>
                </c:pt>
                <c:pt idx="58">
                  <c:v>EGEMSA</c:v>
                </c:pt>
                <c:pt idx="59">
                  <c:v>TERMOCHILCA</c:v>
                </c:pt>
                <c:pt idx="60">
                  <c:v>CELEPSA</c:v>
                </c:pt>
                <c:pt idx="61">
                  <c:v>ORAZUL ENERGY PERÚ</c:v>
                </c:pt>
                <c:pt idx="62">
                  <c:v>STATKRAFT</c:v>
                </c:pt>
                <c:pt idx="63">
                  <c:v>FENIX POWER</c:v>
                </c:pt>
                <c:pt idx="64">
                  <c:v>EMGE HUALLAGA</c:v>
                </c:pt>
                <c:pt idx="65">
                  <c:v>ENGIE</c:v>
                </c:pt>
                <c:pt idx="66">
                  <c:v>ELECTROPERU</c:v>
                </c:pt>
                <c:pt idx="67">
                  <c:v>ORYGEN PERU</c:v>
                </c:pt>
                <c:pt idx="68">
                  <c:v>KALLPA</c:v>
                </c:pt>
              </c:strCache>
            </c:strRef>
          </c:cat>
          <c:val>
            <c:numRef>
              <c:f>'7. Generacion empresa'!$O$4:$O$72</c:f>
              <c:numCache>
                <c:formatCode>General</c:formatCode>
                <c:ptCount val="69"/>
                <c:pt idx="0">
                  <c:v>740.67575974999977</c:v>
                </c:pt>
                <c:pt idx="1">
                  <c:v>1.3656087400000001</c:v>
                </c:pt>
                <c:pt idx="2">
                  <c:v>6.3021550000000003E-3</c:v>
                </c:pt>
                <c:pt idx="3">
                  <c:v>0.3534799575</c:v>
                </c:pt>
                <c:pt idx="4">
                  <c:v>3.2817902500000003E-2</c:v>
                </c:pt>
                <c:pt idx="5">
                  <c:v>1.3112579999999999E-2</c:v>
                </c:pt>
                <c:pt idx="6">
                  <c:v>0.1751315</c:v>
                </c:pt>
                <c:pt idx="7">
                  <c:v>0.41333287750000003</c:v>
                </c:pt>
                <c:pt idx="8">
                  <c:v>2.24050825</c:v>
                </c:pt>
                <c:pt idx="11">
                  <c:v>1.65009545</c:v>
                </c:pt>
                <c:pt idx="12">
                  <c:v>2.4723504724999996</c:v>
                </c:pt>
                <c:pt idx="13">
                  <c:v>2.1447544499999998</c:v>
                </c:pt>
                <c:pt idx="14">
                  <c:v>2.055215</c:v>
                </c:pt>
                <c:pt idx="15">
                  <c:v>2.3715999999999999</c:v>
                </c:pt>
                <c:pt idx="16">
                  <c:v>5.152408425</c:v>
                </c:pt>
                <c:pt idx="17">
                  <c:v>3.3775262425000001</c:v>
                </c:pt>
                <c:pt idx="18">
                  <c:v>3.3582085000000004</c:v>
                </c:pt>
                <c:pt idx="19">
                  <c:v>6.3261067999999998</c:v>
                </c:pt>
                <c:pt idx="20">
                  <c:v>3.5851949625000001</c:v>
                </c:pt>
                <c:pt idx="21">
                  <c:v>6.3061749999999996</c:v>
                </c:pt>
                <c:pt idx="22">
                  <c:v>3.4791637500000001</c:v>
                </c:pt>
                <c:pt idx="23">
                  <c:v>4.9206936050000003</c:v>
                </c:pt>
                <c:pt idx="24">
                  <c:v>4.2767304999999993</c:v>
                </c:pt>
                <c:pt idx="25">
                  <c:v>4.1839387500000003</c:v>
                </c:pt>
                <c:pt idx="26">
                  <c:v>5.3468726125000003</c:v>
                </c:pt>
                <c:pt idx="27">
                  <c:v>7.2732080200000002</c:v>
                </c:pt>
                <c:pt idx="28">
                  <c:v>9.0938751225000001</c:v>
                </c:pt>
                <c:pt idx="29">
                  <c:v>0</c:v>
                </c:pt>
                <c:pt idx="30">
                  <c:v>12.435376697500001</c:v>
                </c:pt>
                <c:pt idx="31">
                  <c:v>14.00536451</c:v>
                </c:pt>
                <c:pt idx="32">
                  <c:v>13.35414308</c:v>
                </c:pt>
                <c:pt idx="33">
                  <c:v>11.315114125000001</c:v>
                </c:pt>
                <c:pt idx="34">
                  <c:v>12.00573925</c:v>
                </c:pt>
                <c:pt idx="35">
                  <c:v>12.630091865000001</c:v>
                </c:pt>
                <c:pt idx="36">
                  <c:v>11.993684312500001</c:v>
                </c:pt>
                <c:pt idx="37">
                  <c:v>13.233727815</c:v>
                </c:pt>
                <c:pt idx="38">
                  <c:v>13.351492775000001</c:v>
                </c:pt>
                <c:pt idx="39">
                  <c:v>12.475994357499999</c:v>
                </c:pt>
                <c:pt idx="40">
                  <c:v>12.623034987500001</c:v>
                </c:pt>
                <c:pt idx="42">
                  <c:v>17.860632867500001</c:v>
                </c:pt>
                <c:pt idx="43">
                  <c:v>28.2317358325</c:v>
                </c:pt>
                <c:pt idx="44">
                  <c:v>17.439850065000002</c:v>
                </c:pt>
                <c:pt idx="46">
                  <c:v>30.634380604999997</c:v>
                </c:pt>
                <c:pt idx="48">
                  <c:v>27.89585275</c:v>
                </c:pt>
                <c:pt idx="49">
                  <c:v>32.223153750000002</c:v>
                </c:pt>
                <c:pt idx="50">
                  <c:v>45.375073999999998</c:v>
                </c:pt>
                <c:pt idx="51">
                  <c:v>43.156501564999999</c:v>
                </c:pt>
                <c:pt idx="52">
                  <c:v>49.947704537500002</c:v>
                </c:pt>
                <c:pt idx="53">
                  <c:v>46.403290672499999</c:v>
                </c:pt>
                <c:pt idx="54">
                  <c:v>42.164227539999999</c:v>
                </c:pt>
                <c:pt idx="55">
                  <c:v>73.378342440000011</c:v>
                </c:pt>
                <c:pt idx="56">
                  <c:v>48.521331035000003</c:v>
                </c:pt>
                <c:pt idx="57">
                  <c:v>119.437865</c:v>
                </c:pt>
                <c:pt idx="58">
                  <c:v>114.77707024999999</c:v>
                </c:pt>
                <c:pt idx="59">
                  <c:v>116.24984925000001</c:v>
                </c:pt>
                <c:pt idx="60">
                  <c:v>134.872552555</c:v>
                </c:pt>
                <c:pt idx="61">
                  <c:v>221.94396856999998</c:v>
                </c:pt>
                <c:pt idx="62">
                  <c:v>264.78465706500003</c:v>
                </c:pt>
                <c:pt idx="63">
                  <c:v>152.40356489249999</c:v>
                </c:pt>
                <c:pt idx="64">
                  <c:v>250.69473987999999</c:v>
                </c:pt>
                <c:pt idx="65">
                  <c:v>520.50088030500001</c:v>
                </c:pt>
                <c:pt idx="66">
                  <c:v>543.5189831875</c:v>
                </c:pt>
                <c:pt idx="68">
                  <c:v>1000.2346179849999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4654.7128500000017</c:v>
                </c:pt>
                <c:pt idx="1">
                  <c:v>4475.6376299999984</c:v>
                </c:pt>
                <c:pt idx="2">
                  <c:v>3984.4396500000003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2737.96702</c:v>
                </c:pt>
                <c:pt idx="1">
                  <c:v>3005.9687099999996</c:v>
                </c:pt>
                <c:pt idx="2">
                  <c:v>3116.3002300000003</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506.7782499999999</c:v>
                </c:pt>
                <c:pt idx="1">
                  <c:v>280.52343999999999</c:v>
                </c:pt>
                <c:pt idx="2">
                  <c:v>276.00648000000001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Empresa'!$M$6:$M$74</c:f>
              <c:strCache>
                <c:ptCount val="69"/>
                <c:pt idx="0">
                  <c:v>COGENERACIÓN OQUENDO</c:v>
                </c:pt>
                <c:pt idx="1">
                  <c:v>ENEL GENERACION PERU</c:v>
                </c:pt>
                <c:pt idx="2">
                  <c:v>INVERSIONES SHAQSHA</c:v>
                </c:pt>
                <c:pt idx="3">
                  <c:v>GR CORTARRAMA</c:v>
                </c:pt>
                <c:pt idx="4">
                  <c:v>KONDU</c:v>
                </c:pt>
                <c:pt idx="5">
                  <c:v>COLCA SOLAR</c:v>
                </c:pt>
                <c:pt idx="6">
                  <c:v>ATRIA</c:v>
                </c:pt>
                <c:pt idx="7">
                  <c:v>GR TARUCA</c:v>
                </c:pt>
                <c:pt idx="8">
                  <c:v>REPARTICION</c:v>
                </c:pt>
                <c:pt idx="9">
                  <c:v>MAJES</c:v>
                </c:pt>
                <c:pt idx="10">
                  <c:v>INVERSION DE ENERGÍA RENOVABLES</c:v>
                </c:pt>
                <c:pt idx="11">
                  <c:v>TACNA SOLAR</c:v>
                </c:pt>
                <c:pt idx="12">
                  <c:v>SHOUGESA</c:v>
                </c:pt>
                <c:pt idx="13">
                  <c:v>SAMAY I</c:v>
                </c:pt>
                <c:pt idx="14">
                  <c:v>PLANTA  ETEN</c:v>
                </c:pt>
                <c:pt idx="15">
                  <c:v>PANAMERICANA SOLAR</c:v>
                </c:pt>
                <c:pt idx="16">
                  <c:v>MOQUEGUA FV</c:v>
                </c:pt>
                <c:pt idx="17">
                  <c:v>IYEPSA</c:v>
                </c:pt>
                <c:pt idx="18">
                  <c:v>HUAURA POWER</c:v>
                </c:pt>
                <c:pt idx="19">
                  <c:v>CERRO VERDE</c:v>
                </c:pt>
                <c:pt idx="20">
                  <c:v>BIOENERGIA</c:v>
                </c:pt>
                <c:pt idx="21">
                  <c:v>AIPSA</c:v>
                </c:pt>
                <c:pt idx="22">
                  <c:v>GR PAINO</c:v>
                </c:pt>
                <c:pt idx="23">
                  <c:v>ASOCIACIÓN SANTA LUCIA DE CHACAS</c:v>
                </c:pt>
                <c:pt idx="24">
                  <c:v>CENTRALES SANTA ROSA</c:v>
                </c:pt>
                <c:pt idx="25">
                  <c:v>ELECTRICA YANAPAMPA</c:v>
                </c:pt>
                <c:pt idx="26">
                  <c:v>MAJA ENERGIA</c:v>
                </c:pt>
                <c:pt idx="27">
                  <c:v>HIDROCAÑETE</c:v>
                </c:pt>
                <c:pt idx="28">
                  <c:v>SAN JACINTO</c:v>
                </c:pt>
                <c:pt idx="29">
                  <c:v>EGECSAC</c:v>
                </c:pt>
                <c:pt idx="30">
                  <c:v>EGESUR</c:v>
                </c:pt>
                <c:pt idx="31">
                  <c:v>PETRAMAS</c:v>
                </c:pt>
                <c:pt idx="32">
                  <c:v>AGROAURORA</c:v>
                </c:pt>
                <c:pt idx="33">
                  <c:v>P.E. MARCONA</c:v>
                </c:pt>
                <c:pt idx="34">
                  <c:v>RIO DOBLE</c:v>
                </c:pt>
                <c:pt idx="35">
                  <c:v>HIDROELECTRICA HUANCHOR</c:v>
                </c:pt>
                <c:pt idx="36">
                  <c:v>CELEPSA RENOVABLES</c:v>
                </c:pt>
                <c:pt idx="37">
                  <c:v>AGUA AZUL</c:v>
                </c:pt>
                <c:pt idx="38">
                  <c:v>ENERGÍA EÓLICA</c:v>
                </c:pt>
                <c:pt idx="39">
                  <c:v>RIO BAÑOS</c:v>
                </c:pt>
                <c:pt idx="40">
                  <c:v>SANTA ANA</c:v>
                </c:pt>
                <c:pt idx="41">
                  <c:v>ANDEAN POWER</c:v>
                </c:pt>
                <c:pt idx="42">
                  <c:v>TERMOSELVA</c:v>
                </c:pt>
                <c:pt idx="43">
                  <c:v>GENERACIÓN ANDINA</c:v>
                </c:pt>
                <c:pt idx="44">
                  <c:v>SINERSA</c:v>
                </c:pt>
                <c:pt idx="45">
                  <c:v>SDF ENERGIA</c:v>
                </c:pt>
                <c:pt idx="46">
                  <c:v>GM OPERACIONES</c:v>
                </c:pt>
                <c:pt idx="47">
                  <c:v>ENEL GENERACION PIURA</c:v>
                </c:pt>
                <c:pt idx="48">
                  <c:v>GEPSA</c:v>
                </c:pt>
                <c:pt idx="49">
                  <c:v>P.E. TRES HERMANAS</c:v>
                </c:pt>
                <c:pt idx="50">
                  <c:v>ENERGIA RENOVABLE DEL SUR</c:v>
                </c:pt>
                <c:pt idx="51">
                  <c:v>EMGE JUNÍN</c:v>
                </c:pt>
                <c:pt idx="52">
                  <c:v>LA VIRGEN</c:v>
                </c:pt>
                <c:pt idx="53">
                  <c:v>INLAND</c:v>
                </c:pt>
                <c:pt idx="54">
                  <c:v>EMGE HUANZA</c:v>
                </c:pt>
                <c:pt idx="55">
                  <c:v>SAN GABAN</c:v>
                </c:pt>
                <c:pt idx="56">
                  <c:v>CELEPSA</c:v>
                </c:pt>
                <c:pt idx="57">
                  <c:v>EGASA</c:v>
                </c:pt>
                <c:pt idx="58">
                  <c:v>EGEMSA</c:v>
                </c:pt>
                <c:pt idx="59">
                  <c:v>CHINANGO</c:v>
                </c:pt>
                <c:pt idx="60">
                  <c:v>TERMOCHILCA</c:v>
                </c:pt>
                <c:pt idx="61">
                  <c:v>ORAZUL ENERGY PERÚ</c:v>
                </c:pt>
                <c:pt idx="62">
                  <c:v>STATKRAFT</c:v>
                </c:pt>
                <c:pt idx="63">
                  <c:v>EMGE HUALLAGA</c:v>
                </c:pt>
                <c:pt idx="64">
                  <c:v>FENIX POWER</c:v>
                </c:pt>
                <c:pt idx="65">
                  <c:v>ENGIE</c:v>
                </c:pt>
                <c:pt idx="66">
                  <c:v>ELECTROPERU</c:v>
                </c:pt>
                <c:pt idx="67">
                  <c:v>ORYGEN PERU</c:v>
                </c:pt>
                <c:pt idx="68">
                  <c:v>KALLPA</c:v>
                </c:pt>
              </c:strCache>
            </c:strRef>
          </c:cat>
          <c:val>
            <c:numRef>
              <c:f>'9. Pot. Empresa'!$N$6:$N$74</c:f>
              <c:numCache>
                <c:formatCode>0</c:formatCode>
                <c:ptCount val="69"/>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2.7E-4</c:v>
                </c:pt>
                <c:pt idx="19">
                  <c:v>0</c:v>
                </c:pt>
                <c:pt idx="20">
                  <c:v>0</c:v>
                </c:pt>
                <c:pt idx="21">
                  <c:v>0</c:v>
                </c:pt>
                <c:pt idx="22">
                  <c:v>2.649E-2</c:v>
                </c:pt>
                <c:pt idx="23">
                  <c:v>2.0679099999999999</c:v>
                </c:pt>
                <c:pt idx="24">
                  <c:v>2.2210399999999999</c:v>
                </c:pt>
                <c:pt idx="25">
                  <c:v>3.032</c:v>
                </c:pt>
                <c:pt idx="26">
                  <c:v>3.58</c:v>
                </c:pt>
                <c:pt idx="27">
                  <c:v>3.6</c:v>
                </c:pt>
                <c:pt idx="28">
                  <c:v>5.0342399999999996</c:v>
                </c:pt>
                <c:pt idx="29">
                  <c:v>5.0380000000000003</c:v>
                </c:pt>
                <c:pt idx="30">
                  <c:v>9.864889999999999</c:v>
                </c:pt>
                <c:pt idx="31">
                  <c:v>10.270899999999997</c:v>
                </c:pt>
                <c:pt idx="32">
                  <c:v>12.38256</c:v>
                </c:pt>
                <c:pt idx="33">
                  <c:v>16.095569999999999</c:v>
                </c:pt>
                <c:pt idx="34">
                  <c:v>17.985530000000001</c:v>
                </c:pt>
                <c:pt idx="35">
                  <c:v>18.501469999999998</c:v>
                </c:pt>
                <c:pt idx="36">
                  <c:v>19.657350000000001</c:v>
                </c:pt>
                <c:pt idx="37">
                  <c:v>19.973669999999998</c:v>
                </c:pt>
                <c:pt idx="38">
                  <c:v>20.00122</c:v>
                </c:pt>
                <c:pt idx="39">
                  <c:v>20.022190000000002</c:v>
                </c:pt>
                <c:pt idx="40">
                  <c:v>20.246500000000001</c:v>
                </c:pt>
                <c:pt idx="41">
                  <c:v>20.37632</c:v>
                </c:pt>
                <c:pt idx="42">
                  <c:v>26.020320000000002</c:v>
                </c:pt>
                <c:pt idx="43">
                  <c:v>26.787649999999999</c:v>
                </c:pt>
                <c:pt idx="44">
                  <c:v>28.13064</c:v>
                </c:pt>
                <c:pt idx="45">
                  <c:v>31.895960000000002</c:v>
                </c:pt>
                <c:pt idx="46">
                  <c:v>36.528060000000004</c:v>
                </c:pt>
                <c:pt idx="47">
                  <c:v>45.776249999999997</c:v>
                </c:pt>
                <c:pt idx="48">
                  <c:v>59.223559999999992</c:v>
                </c:pt>
                <c:pt idx="49">
                  <c:v>60.31579</c:v>
                </c:pt>
                <c:pt idx="50">
                  <c:v>65.253</c:v>
                </c:pt>
                <c:pt idx="51">
                  <c:v>72.617239999999995</c:v>
                </c:pt>
                <c:pt idx="52">
                  <c:v>81.978000000000009</c:v>
                </c:pt>
                <c:pt idx="53">
                  <c:v>90.838999999999999</c:v>
                </c:pt>
                <c:pt idx="54">
                  <c:v>94.32638</c:v>
                </c:pt>
                <c:pt idx="55">
                  <c:v>110.85192000000001</c:v>
                </c:pt>
                <c:pt idx="56">
                  <c:v>132.6592</c:v>
                </c:pt>
                <c:pt idx="57">
                  <c:v>156.19240999999997</c:v>
                </c:pt>
                <c:pt idx="58">
                  <c:v>164.76600000000002</c:v>
                </c:pt>
                <c:pt idx="59">
                  <c:v>192.71899999999999</c:v>
                </c:pt>
                <c:pt idx="60">
                  <c:v>216.39893000000001</c:v>
                </c:pt>
                <c:pt idx="61">
                  <c:v>327.72549999999995</c:v>
                </c:pt>
                <c:pt idx="62">
                  <c:v>369.71732000000003</c:v>
                </c:pt>
                <c:pt idx="63">
                  <c:v>460.59131000000002</c:v>
                </c:pt>
                <c:pt idx="64">
                  <c:v>522.68199000000004</c:v>
                </c:pt>
                <c:pt idx="65">
                  <c:v>828.90970000000004</c:v>
                </c:pt>
                <c:pt idx="66">
                  <c:v>864.03710999999998</c:v>
                </c:pt>
                <c:pt idx="67">
                  <c:v>873.98500000000001</c:v>
                </c:pt>
                <c:pt idx="68">
                  <c:v>1716.9239500000001</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Empresa'!$M$6:$M$74</c:f>
              <c:strCache>
                <c:ptCount val="69"/>
                <c:pt idx="0">
                  <c:v>COGENERACIÓN OQUENDO</c:v>
                </c:pt>
                <c:pt idx="1">
                  <c:v>ENEL GENERACION PERU</c:v>
                </c:pt>
                <c:pt idx="2">
                  <c:v>INVERSIONES SHAQSHA</c:v>
                </c:pt>
                <c:pt idx="3">
                  <c:v>GR CORTARRAMA</c:v>
                </c:pt>
                <c:pt idx="4">
                  <c:v>KONDU</c:v>
                </c:pt>
                <c:pt idx="5">
                  <c:v>COLCA SOLAR</c:v>
                </c:pt>
                <c:pt idx="6">
                  <c:v>ATRIA</c:v>
                </c:pt>
                <c:pt idx="7">
                  <c:v>GR TARUCA</c:v>
                </c:pt>
                <c:pt idx="8">
                  <c:v>REPARTICION</c:v>
                </c:pt>
                <c:pt idx="9">
                  <c:v>MAJES</c:v>
                </c:pt>
                <c:pt idx="10">
                  <c:v>INVERSION DE ENERGÍA RENOVABLES</c:v>
                </c:pt>
                <c:pt idx="11">
                  <c:v>TACNA SOLAR</c:v>
                </c:pt>
                <c:pt idx="12">
                  <c:v>SHOUGESA</c:v>
                </c:pt>
                <c:pt idx="13">
                  <c:v>SAMAY I</c:v>
                </c:pt>
                <c:pt idx="14">
                  <c:v>PLANTA  ETEN</c:v>
                </c:pt>
                <c:pt idx="15">
                  <c:v>PANAMERICANA SOLAR</c:v>
                </c:pt>
                <c:pt idx="16">
                  <c:v>MOQUEGUA FV</c:v>
                </c:pt>
                <c:pt idx="17">
                  <c:v>IYEPSA</c:v>
                </c:pt>
                <c:pt idx="18">
                  <c:v>HUAURA POWER</c:v>
                </c:pt>
                <c:pt idx="19">
                  <c:v>CERRO VERDE</c:v>
                </c:pt>
                <c:pt idx="20">
                  <c:v>BIOENERGIA</c:v>
                </c:pt>
                <c:pt idx="21">
                  <c:v>AIPSA</c:v>
                </c:pt>
                <c:pt idx="22">
                  <c:v>GR PAINO</c:v>
                </c:pt>
                <c:pt idx="23">
                  <c:v>ASOCIACIÓN SANTA LUCIA DE CHACAS</c:v>
                </c:pt>
                <c:pt idx="24">
                  <c:v>CENTRALES SANTA ROSA</c:v>
                </c:pt>
                <c:pt idx="25">
                  <c:v>ELECTRICA YANAPAMPA</c:v>
                </c:pt>
                <c:pt idx="26">
                  <c:v>MAJA ENERGIA</c:v>
                </c:pt>
                <c:pt idx="27">
                  <c:v>HIDROCAÑETE</c:v>
                </c:pt>
                <c:pt idx="28">
                  <c:v>SAN JACINTO</c:v>
                </c:pt>
                <c:pt idx="29">
                  <c:v>EGECSAC</c:v>
                </c:pt>
                <c:pt idx="30">
                  <c:v>EGESUR</c:v>
                </c:pt>
                <c:pt idx="31">
                  <c:v>PETRAMAS</c:v>
                </c:pt>
                <c:pt idx="32">
                  <c:v>AGROAURORA</c:v>
                </c:pt>
                <c:pt idx="33">
                  <c:v>P.E. MARCONA</c:v>
                </c:pt>
                <c:pt idx="34">
                  <c:v>RIO DOBLE</c:v>
                </c:pt>
                <c:pt idx="35">
                  <c:v>HIDROELECTRICA HUANCHOR</c:v>
                </c:pt>
                <c:pt idx="36">
                  <c:v>CELEPSA RENOVABLES</c:v>
                </c:pt>
                <c:pt idx="37">
                  <c:v>AGUA AZUL</c:v>
                </c:pt>
                <c:pt idx="38">
                  <c:v>ENERGÍA EÓLICA</c:v>
                </c:pt>
                <c:pt idx="39">
                  <c:v>RIO BAÑOS</c:v>
                </c:pt>
                <c:pt idx="40">
                  <c:v>SANTA ANA</c:v>
                </c:pt>
                <c:pt idx="41">
                  <c:v>ANDEAN POWER</c:v>
                </c:pt>
                <c:pt idx="42">
                  <c:v>TERMOSELVA</c:v>
                </c:pt>
                <c:pt idx="43">
                  <c:v>GENERACIÓN ANDINA</c:v>
                </c:pt>
                <c:pt idx="44">
                  <c:v>SINERSA</c:v>
                </c:pt>
                <c:pt idx="45">
                  <c:v>SDF ENERGIA</c:v>
                </c:pt>
                <c:pt idx="46">
                  <c:v>GM OPERACIONES</c:v>
                </c:pt>
                <c:pt idx="47">
                  <c:v>ENEL GENERACION PIURA</c:v>
                </c:pt>
                <c:pt idx="48">
                  <c:v>GEPSA</c:v>
                </c:pt>
                <c:pt idx="49">
                  <c:v>P.E. TRES HERMANAS</c:v>
                </c:pt>
                <c:pt idx="50">
                  <c:v>ENERGIA RENOVABLE DEL SUR</c:v>
                </c:pt>
                <c:pt idx="51">
                  <c:v>EMGE JUNÍN</c:v>
                </c:pt>
                <c:pt idx="52">
                  <c:v>LA VIRGEN</c:v>
                </c:pt>
                <c:pt idx="53">
                  <c:v>INLAND</c:v>
                </c:pt>
                <c:pt idx="54">
                  <c:v>EMGE HUANZA</c:v>
                </c:pt>
                <c:pt idx="55">
                  <c:v>SAN GABAN</c:v>
                </c:pt>
                <c:pt idx="56">
                  <c:v>CELEPSA</c:v>
                </c:pt>
                <c:pt idx="57">
                  <c:v>EGASA</c:v>
                </c:pt>
                <c:pt idx="58">
                  <c:v>EGEMSA</c:v>
                </c:pt>
                <c:pt idx="59">
                  <c:v>CHINANGO</c:v>
                </c:pt>
                <c:pt idx="60">
                  <c:v>TERMOCHILCA</c:v>
                </c:pt>
                <c:pt idx="61">
                  <c:v>ORAZUL ENERGY PERÚ</c:v>
                </c:pt>
                <c:pt idx="62">
                  <c:v>STATKRAFT</c:v>
                </c:pt>
                <c:pt idx="63">
                  <c:v>EMGE HUALLAGA</c:v>
                </c:pt>
                <c:pt idx="64">
                  <c:v>FENIX POWER</c:v>
                </c:pt>
                <c:pt idx="65">
                  <c:v>ENGIE</c:v>
                </c:pt>
                <c:pt idx="66">
                  <c:v>ELECTROPERU</c:v>
                </c:pt>
                <c:pt idx="67">
                  <c:v>ORYGEN PERU</c:v>
                </c:pt>
                <c:pt idx="68">
                  <c:v>KALLPA</c:v>
                </c:pt>
              </c:strCache>
            </c:strRef>
          </c:cat>
          <c:val>
            <c:numRef>
              <c:f>'9. Pot. Empresa'!$O$6:$O$74</c:f>
              <c:numCache>
                <c:formatCode>0</c:formatCode>
                <c:ptCount val="69"/>
                <c:pt idx="0">
                  <c:v>1.82507</c:v>
                </c:pt>
                <c:pt idx="1">
                  <c:v>1120.55</c:v>
                </c:pt>
                <c:pt idx="4">
                  <c:v>0</c:v>
                </c:pt>
                <c:pt idx="5">
                  <c:v>0</c:v>
                </c:pt>
                <c:pt idx="6">
                  <c:v>0.72951999999999995</c:v>
                </c:pt>
                <c:pt idx="7">
                  <c:v>11.21918</c:v>
                </c:pt>
                <c:pt idx="8">
                  <c:v>0</c:v>
                </c:pt>
                <c:pt idx="9">
                  <c:v>0</c:v>
                </c:pt>
                <c:pt idx="10">
                  <c:v>19.772790000000001</c:v>
                </c:pt>
                <c:pt idx="11">
                  <c:v>0</c:v>
                </c:pt>
                <c:pt idx="12">
                  <c:v>0</c:v>
                </c:pt>
                <c:pt idx="13">
                  <c:v>0</c:v>
                </c:pt>
                <c:pt idx="14">
                  <c:v>0</c:v>
                </c:pt>
                <c:pt idx="15">
                  <c:v>0</c:v>
                </c:pt>
                <c:pt idx="16">
                  <c:v>0</c:v>
                </c:pt>
                <c:pt idx="17">
                  <c:v>0</c:v>
                </c:pt>
                <c:pt idx="18">
                  <c:v>18.36842</c:v>
                </c:pt>
                <c:pt idx="19">
                  <c:v>0</c:v>
                </c:pt>
                <c:pt idx="20">
                  <c:v>9.25</c:v>
                </c:pt>
                <c:pt idx="21">
                  <c:v>12.91093</c:v>
                </c:pt>
                <c:pt idx="22">
                  <c:v>8.4010700000000007</c:v>
                </c:pt>
                <c:pt idx="24">
                  <c:v>2.7463299999999999</c:v>
                </c:pt>
                <c:pt idx="25">
                  <c:v>3.4690000000000003</c:v>
                </c:pt>
                <c:pt idx="26">
                  <c:v>3.629</c:v>
                </c:pt>
                <c:pt idx="27">
                  <c:v>3.6</c:v>
                </c:pt>
                <c:pt idx="28">
                  <c:v>7.7616699999999996</c:v>
                </c:pt>
                <c:pt idx="29">
                  <c:v>5.0565300000000004</c:v>
                </c:pt>
                <c:pt idx="30">
                  <c:v>29.535799999999998</c:v>
                </c:pt>
                <c:pt idx="31">
                  <c:v>10.815399999999999</c:v>
                </c:pt>
                <c:pt idx="32">
                  <c:v>0</c:v>
                </c:pt>
                <c:pt idx="33">
                  <c:v>7.7339399999999996</c:v>
                </c:pt>
                <c:pt idx="34">
                  <c:v>18.455660000000002</c:v>
                </c:pt>
                <c:pt idx="35">
                  <c:v>18.655349999999999</c:v>
                </c:pt>
                <c:pt idx="36">
                  <c:v>19.633369999999999</c:v>
                </c:pt>
                <c:pt idx="37">
                  <c:v>19.979220000000002</c:v>
                </c:pt>
                <c:pt idx="38">
                  <c:v>40.101579999999998</c:v>
                </c:pt>
                <c:pt idx="39">
                  <c:v>19.983600000000003</c:v>
                </c:pt>
                <c:pt idx="40">
                  <c:v>20.38691</c:v>
                </c:pt>
                <c:pt idx="41">
                  <c:v>20.40146</c:v>
                </c:pt>
                <c:pt idx="42">
                  <c:v>0</c:v>
                </c:pt>
                <c:pt idx="43">
                  <c:v>29.237380000000002</c:v>
                </c:pt>
                <c:pt idx="44">
                  <c:v>26.1999</c:v>
                </c:pt>
                <c:pt idx="47">
                  <c:v>47.154000000000003</c:v>
                </c:pt>
                <c:pt idx="48">
                  <c:v>61.180200000000006</c:v>
                </c:pt>
                <c:pt idx="49">
                  <c:v>26.437239999999999</c:v>
                </c:pt>
                <c:pt idx="50">
                  <c:v>23.254999999999999</c:v>
                </c:pt>
                <c:pt idx="51">
                  <c:v>73.030670000000001</c:v>
                </c:pt>
                <c:pt idx="52">
                  <c:v>81.448999999999998</c:v>
                </c:pt>
                <c:pt idx="53">
                  <c:v>51.949440000000003</c:v>
                </c:pt>
                <c:pt idx="54">
                  <c:v>81.850880000000004</c:v>
                </c:pt>
                <c:pt idx="55">
                  <c:v>110.73872</c:v>
                </c:pt>
                <c:pt idx="56">
                  <c:v>222.90008</c:v>
                </c:pt>
                <c:pt idx="57">
                  <c:v>64.243679999999998</c:v>
                </c:pt>
                <c:pt idx="58">
                  <c:v>167.279</c:v>
                </c:pt>
                <c:pt idx="59">
                  <c:v>191.31299999999999</c:v>
                </c:pt>
                <c:pt idx="60">
                  <c:v>185.62200000000001</c:v>
                </c:pt>
                <c:pt idx="61">
                  <c:v>339.97346999999996</c:v>
                </c:pt>
                <c:pt idx="62">
                  <c:v>404.05772000000002</c:v>
                </c:pt>
                <c:pt idx="63">
                  <c:v>391.08431999999999</c:v>
                </c:pt>
                <c:pt idx="64">
                  <c:v>544.47199000000001</c:v>
                </c:pt>
                <c:pt idx="65">
                  <c:v>718.61968999999999</c:v>
                </c:pt>
                <c:pt idx="66">
                  <c:v>796.80295000000001</c:v>
                </c:pt>
                <c:pt idx="67">
                  <c:v>0</c:v>
                </c:pt>
                <c:pt idx="68">
                  <c:v>1668.1664699999999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25.332000000000001</c:v>
                </c:pt>
                <c:pt idx="1">
                  <c:v>25.331659999999999</c:v>
                </c:pt>
                <c:pt idx="2">
                  <c:v>29.128</c:v>
                </c:pt>
                <c:pt idx="3">
                  <c:v>30.821000000000002</c:v>
                </c:pt>
                <c:pt idx="4">
                  <c:v>32.676000000000002</c:v>
                </c:pt>
                <c:pt idx="5">
                  <c:v>35.290999999999997</c:v>
                </c:pt>
                <c:pt idx="6">
                  <c:v>38.713999999999999</c:v>
                </c:pt>
                <c:pt idx="7">
                  <c:v>41.018000000000001</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9.2383299999999995</c:v>
                </c:pt>
                <c:pt idx="1">
                  <c:v>5.0647000000000002</c:v>
                </c:pt>
                <c:pt idx="2">
                  <c:v>12.538220000000001</c:v>
                </c:pt>
                <c:pt idx="3">
                  <c:v>9.6545699999999997</c:v>
                </c:pt>
                <c:pt idx="4">
                  <c:v>8.2881499999999999</c:v>
                </c:pt>
                <c:pt idx="5">
                  <c:v>8.6283899999999996</c:v>
                </c:pt>
                <c:pt idx="6">
                  <c:v>8.8844399999999997</c:v>
                </c:pt>
                <c:pt idx="7">
                  <c:v>7.1190800000000003</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pt idx="4">
                  <c:v>25.4</c:v>
                </c:pt>
                <c:pt idx="5">
                  <c:v>25.253</c:v>
                </c:pt>
                <c:pt idx="6">
                  <c:v>25.24</c:v>
                </c:pt>
                <c:pt idx="7">
                  <c:v>25.184999999999999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pt idx="4">
                  <c:v>273.19499999999999</c:v>
                </c:pt>
                <c:pt idx="5">
                  <c:v>305.33800000000002</c:v>
                </c:pt>
                <c:pt idx="6">
                  <c:v>369.83100000000002</c:v>
                </c:pt>
                <c:pt idx="7">
                  <c:v>376.42599999999999</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0.000</c:formatCode>
                <c:ptCount val="7"/>
                <c:pt idx="0">
                  <c:v>3010.3477086375001</c:v>
                </c:pt>
                <c:pt idx="1">
                  <c:v>1545.6135136224998</c:v>
                </c:pt>
                <c:pt idx="2">
                  <c:v>0</c:v>
                </c:pt>
                <c:pt idx="3">
                  <c:v>6.7900895874999998</c:v>
                </c:pt>
                <c:pt idx="4">
                  <c:v>23.846949237499999</c:v>
                </c:pt>
                <c:pt idx="5">
                  <c:v>233.49556601750001</c:v>
                </c:pt>
                <c:pt idx="6">
                  <c:v>84.630934647500013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1480.4140834250002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26.237400125000001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29.042492500000002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192.03353596250003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92.66295069249999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pt idx="4">
                  <c:v>241.62200000000001</c:v>
                </c:pt>
                <c:pt idx="5">
                  <c:v>245.28</c:v>
                </c:pt>
                <c:pt idx="6">
                  <c:v>258.55500000000001</c:v>
                </c:pt>
                <c:pt idx="7">
                  <c:v>263.03699999999998</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pt idx="4">
                  <c:v>34.049999999999997</c:v>
                </c:pt>
                <c:pt idx="5">
                  <c:v>37.119999999999997</c:v>
                </c:pt>
                <c:pt idx="6">
                  <c:v>43.33</c:v>
                </c:pt>
                <c:pt idx="7">
                  <c:v>47.17</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pt idx="4">
                  <c:v>126.42</c:v>
                </c:pt>
                <c:pt idx="5">
                  <c:v>137.86000000000001</c:v>
                </c:pt>
                <c:pt idx="6">
                  <c:v>147.21</c:v>
                </c:pt>
                <c:pt idx="7">
                  <c:v>161.09</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pt idx="4">
                  <c:v>80.44</c:v>
                </c:pt>
                <c:pt idx="5">
                  <c:v>84.18</c:v>
                </c:pt>
                <c:pt idx="6">
                  <c:v>89.95</c:v>
                </c:pt>
                <c:pt idx="7">
                  <c:v>93.73</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pt idx="4">
                  <c:v>11.081910000000001</c:v>
                </c:pt>
                <c:pt idx="5">
                  <c:v>12.388479999999999</c:v>
                </c:pt>
                <c:pt idx="6">
                  <c:v>14.281929999999999</c:v>
                </c:pt>
                <c:pt idx="7">
                  <c:v>16.186679999999999</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pt idx="4">
                  <c:v>22.184999999999999</c:v>
                </c:pt>
                <c:pt idx="5">
                  <c:v>28.513999999999999</c:v>
                </c:pt>
                <c:pt idx="6">
                  <c:v>37.475000000000001</c:v>
                </c:pt>
                <c:pt idx="7">
                  <c:v>46.637999999999998</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pt idx="4">
                  <c:v>224.66800000000001</c:v>
                </c:pt>
                <c:pt idx="5">
                  <c:v>237.02699999999999</c:v>
                </c:pt>
                <c:pt idx="6">
                  <c:v>246.32400000000001</c:v>
                </c:pt>
                <c:pt idx="7">
                  <c:v>257.95</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pt idx="4">
                  <c:v>173.77799999999999</c:v>
                </c:pt>
                <c:pt idx="5">
                  <c:v>211.20599999999999</c:v>
                </c:pt>
                <c:pt idx="6">
                  <c:v>252.42599999999999</c:v>
                </c:pt>
                <c:pt idx="7">
                  <c:v>303.54399999999998</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pt idx="4">
                  <c:v>147.11559047619048</c:v>
                </c:pt>
                <c:pt idx="5">
                  <c:v>149.52542178571429</c:v>
                </c:pt>
                <c:pt idx="6">
                  <c:v>143.03125386904762</c:v>
                </c:pt>
                <c:pt idx="7">
                  <c:v>147.14297148809524</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pt idx="4">
                  <c:v>11.844642857142858</c:v>
                </c:pt>
                <c:pt idx="5">
                  <c:v>8.8458333333333332</c:v>
                </c:pt>
                <c:pt idx="6">
                  <c:v>6.4779761904761912</c:v>
                </c:pt>
                <c:pt idx="7">
                  <c:v>11.725</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generación'!$B$16:$C$16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generación'!$D$15:$E$15</c:f>
              <c:strCache>
                <c:ptCount val="2"/>
                <c:pt idx="0">
                  <c:v>FEBRERO 2025</c:v>
                </c:pt>
                <c:pt idx="1">
                  <c:v>FEBRERO 2024</c:v>
                </c:pt>
              </c:strCache>
            </c:strRef>
          </c:cat>
          <c:val>
            <c:numRef>
              <c:f>'2. Oferta de generación'!$D$16:$E$16</c:f>
              <c:numCache>
                <c:formatCode>#,##0.0</c:formatCode>
                <c:ptCount val="2"/>
                <c:pt idx="0">
                  <c:v>5252.7469330000004</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generación'!$B$17:$C$17</c:f>
              <c:strCache>
                <c:ptCount val="2"/>
                <c:pt idx="0">
                  <c:v>TERMOELÉCTRICA</c:v>
                </c:pt>
              </c:strCache>
            </c:strRef>
          </c:tx>
          <c:spPr>
            <a:solidFill>
              <a:schemeClr val="accent2"/>
            </a:solidFill>
          </c:spPr>
          <c:invertIfNegative val="0"/>
          <c:cat>
            <c:strRef>
              <c:f>'2. Oferta de generación'!$D$15:$E$15</c:f>
              <c:strCache>
                <c:ptCount val="2"/>
                <c:pt idx="0">
                  <c:v>FEBRERO 2025</c:v>
                </c:pt>
                <c:pt idx="1">
                  <c:v>FEBRERO 2024</c:v>
                </c:pt>
              </c:strCache>
            </c:strRef>
          </c:cat>
          <c:val>
            <c:numRef>
              <c:f>'2. Oferta de generación'!$D$17:$E$17</c:f>
              <c:numCache>
                <c:formatCode>#,##0.0</c:formatCode>
                <c:ptCount val="2"/>
                <c:pt idx="0">
                  <c:v>7054.3574500000004</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generación'!$B$18:$C$18</c:f>
              <c:strCache>
                <c:ptCount val="2"/>
                <c:pt idx="0">
                  <c:v>EÓLICA</c:v>
                </c:pt>
              </c:strCache>
            </c:strRef>
          </c:tx>
          <c:spPr>
            <a:solidFill>
              <a:srgbClr val="6DA6D9"/>
            </a:solidFill>
          </c:spPr>
          <c:invertIfNegative val="0"/>
          <c:cat>
            <c:strRef>
              <c:f>'2. Oferta de generación'!$D$15:$E$15</c:f>
              <c:strCache>
                <c:ptCount val="2"/>
                <c:pt idx="0">
                  <c:v>FEBRERO 2025</c:v>
                </c:pt>
                <c:pt idx="1">
                  <c:v>FEBRERO 2024</c:v>
                </c:pt>
              </c:strCache>
            </c:strRef>
          </c:cat>
          <c:val>
            <c:numRef>
              <c:f>'2. Oferta de generación'!$D$18:$E$18</c:f>
              <c:numCache>
                <c:formatCode>#,##0.0</c:formatCode>
                <c:ptCount val="2"/>
                <c:pt idx="0">
                  <c:v>1021.3</c:v>
                </c:pt>
                <c:pt idx="1">
                  <c:v>708.6</c:v>
                </c:pt>
              </c:numCache>
            </c:numRef>
          </c:val>
          <c:extLst>
            <c:ext xmlns:c16="http://schemas.microsoft.com/office/drawing/2014/chart" uri="{C3380CC4-5D6E-409C-BE32-E72D297353CC}">
              <c16:uniqueId val="{00000006-54B0-402D-913D-0304413B844F}"/>
            </c:ext>
          </c:extLst>
        </c:ser>
        <c:ser>
          <c:idx val="3"/>
          <c:order val="3"/>
          <c:tx>
            <c:strRef>
              <c:f>'2. Oferta de generación'!$B$19:$C$19</c:f>
              <c:strCache>
                <c:ptCount val="2"/>
                <c:pt idx="0">
                  <c:v>SOLAR</c:v>
                </c:pt>
              </c:strCache>
            </c:strRef>
          </c:tx>
          <c:invertIfNegative val="0"/>
          <c:cat>
            <c:strRef>
              <c:f>'2. Oferta de generación'!$D$15:$E$15</c:f>
              <c:strCache>
                <c:ptCount val="2"/>
                <c:pt idx="0">
                  <c:v>FEBRERO 2025</c:v>
                </c:pt>
                <c:pt idx="1">
                  <c:v>FEBRERO 2024</c:v>
                </c:pt>
              </c:strCache>
            </c:strRef>
          </c:cat>
          <c:val>
            <c:numRef>
              <c:f>'2. Oferta de generación'!$D$19:$E$19</c:f>
              <c:numCache>
                <c:formatCode>#,##0.0</c:formatCode>
                <c:ptCount val="2"/>
                <c:pt idx="0">
                  <c:v>477.82499999999999</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pt idx="4">
                  <c:v>84.394737804878048</c:v>
                </c:pt>
                <c:pt idx="5">
                  <c:v>97.784104938271597</c:v>
                </c:pt>
                <c:pt idx="6">
                  <c:v>126.87994927536232</c:v>
                </c:pt>
                <c:pt idx="7">
                  <c:v>142.40980487804879</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pt idx="4">
                  <c:v>47.265305476190477</c:v>
                </c:pt>
                <c:pt idx="5">
                  <c:v>69.041706973443226</c:v>
                </c:pt>
                <c:pt idx="6">
                  <c:v>80.615868125000006</c:v>
                </c:pt>
                <c:pt idx="7">
                  <c:v>92.14778011904761</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pt idx="4">
                  <c:v>179.81583928571428</c:v>
                </c:pt>
                <c:pt idx="5">
                  <c:v>278.24124404761903</c:v>
                </c:pt>
                <c:pt idx="6">
                  <c:v>327.07780357142855</c:v>
                </c:pt>
                <c:pt idx="7">
                  <c:v>360.37261309523802</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pt idx="4">
                  <c:v>84.200863095238077</c:v>
                </c:pt>
                <c:pt idx="5">
                  <c:v>171.03647619047618</c:v>
                </c:pt>
                <c:pt idx="6">
                  <c:v>88.797761904761899</c:v>
                </c:pt>
                <c:pt idx="7">
                  <c:v>208.56799404761904</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pt idx="4">
                  <c:v>5.9905714285714291</c:v>
                </c:pt>
                <c:pt idx="5">
                  <c:v>8.7311428571428564</c:v>
                </c:pt>
                <c:pt idx="6">
                  <c:v>24.413857142857143</c:v>
                </c:pt>
                <c:pt idx="7">
                  <c:v>9.0441714285714294</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pt idx="4">
                  <c:v>27.892855238095237</c:v>
                </c:pt>
                <c:pt idx="5">
                  <c:v>32.130357142857143</c:v>
                </c:pt>
                <c:pt idx="6">
                  <c:v>31.149305555555554</c:v>
                </c:pt>
                <c:pt idx="7">
                  <c:v>36.467025238095239</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pt idx="4">
                  <c:v>294.27375000000001</c:v>
                </c:pt>
                <c:pt idx="5">
                  <c:v>322.73059523809525</c:v>
                </c:pt>
                <c:pt idx="6">
                  <c:v>477.48410714285711</c:v>
                </c:pt>
                <c:pt idx="7">
                  <c:v>377.81821428571425</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pt idx="4">
                  <c:v>214.43275595238092</c:v>
                </c:pt>
                <c:pt idx="5">
                  <c:v>300.66753571428569</c:v>
                </c:pt>
                <c:pt idx="6">
                  <c:v>359.03563095238093</c:v>
                </c:pt>
                <c:pt idx="7">
                  <c:v>374.64655357142857</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pt idx="4">
                  <c:v>81.427380952380943</c:v>
                </c:pt>
                <c:pt idx="5">
                  <c:v>117.07083333333333</c:v>
                </c:pt>
                <c:pt idx="6">
                  <c:v>137.12261904761905</c:v>
                </c:pt>
                <c:pt idx="7">
                  <c:v>210.72916666666666</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5729.8286210275</c:v>
                </c:pt>
                <c:pt idx="1">
                  <c:v>3306.9034401050003</c:v>
                </c:pt>
                <c:pt idx="2">
                  <c:v>253.31870714250005</c:v>
                </c:pt>
                <c:pt idx="3">
                  <c:v>127.06221037750001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6292.8575625574986</c:v>
                </c:pt>
                <c:pt idx="1">
                  <c:v>3029.7192086075006</c:v>
                </c:pt>
                <c:pt idx="2">
                  <c:v>468.97834688750004</c:v>
                </c:pt>
                <c:pt idx="3">
                  <c:v>192.1561167925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6434.9944057499988</c:v>
                </c:pt>
                <c:pt idx="1">
                  <c:v>2876.2698878999995</c:v>
                </c:pt>
                <c:pt idx="2">
                  <c:v>514.43681065999999</c:v>
                </c:pt>
                <c:pt idx="3">
                  <c:v>210.66222780250001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pt idx="4">
                  <c:v>109.56547619047619</c:v>
                </c:pt>
                <c:pt idx="5">
                  <c:v>163.48214285714286</c:v>
                </c:pt>
                <c:pt idx="6">
                  <c:v>210.54166666666669</c:v>
                </c:pt>
                <c:pt idx="7">
                  <c:v>206.77976190476187</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pt idx="4">
                  <c:v>76.744652777777773</c:v>
                </c:pt>
                <c:pt idx="5">
                  <c:v>89.511666666666656</c:v>
                </c:pt>
                <c:pt idx="6">
                  <c:v>109.69184523809523</c:v>
                </c:pt>
                <c:pt idx="7">
                  <c:v>81.494285714285709</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pt idx="4">
                  <c:v>17.520833333333332</c:v>
                </c:pt>
                <c:pt idx="5">
                  <c:v>49.701190476190476</c:v>
                </c:pt>
                <c:pt idx="6">
                  <c:v>48.957638888888887</c:v>
                </c:pt>
                <c:pt idx="7">
                  <c:v>50.75119047619048</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pt idx="4">
                  <c:v>416.02936142857141</c:v>
                </c:pt>
                <c:pt idx="5">
                  <c:v>606.23885714285711</c:v>
                </c:pt>
                <c:pt idx="6">
                  <c:v>774.12422666666669</c:v>
                </c:pt>
                <c:pt idx="7">
                  <c:v>857.9091957142856</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0.63</c:v>
                </c:pt>
                <c:pt idx="1">
                  <c:v>0.63</c:v>
                </c:pt>
                <c:pt idx="2">
                  <c:v>0.63</c:v>
                </c:pt>
                <c:pt idx="3">
                  <c:v>0.63</c:v>
                </c:pt>
                <c:pt idx="4">
                  <c:v>0.63</c:v>
                </c:pt>
                <c:pt idx="5">
                  <c:v>0.63</c:v>
                </c:pt>
                <c:pt idx="6">
                  <c:v>0.63</c:v>
                </c:pt>
                <c:pt idx="7">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10.659880952380952</c:v>
                </c:pt>
                <c:pt idx="1">
                  <c:v>10.985714285714286</c:v>
                </c:pt>
                <c:pt idx="2">
                  <c:v>11.73267857142857</c:v>
                </c:pt>
                <c:pt idx="3">
                  <c:v>10.965654761904762</c:v>
                </c:pt>
                <c:pt idx="4">
                  <c:v>14.874702380952382</c:v>
                </c:pt>
                <c:pt idx="5">
                  <c:v>16.32</c:v>
                </c:pt>
                <c:pt idx="6">
                  <c:v>20.844345238095237</c:v>
                </c:pt>
                <c:pt idx="7">
                  <c:v>21.203095238095237</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1.417875</c:v>
                </c:pt>
                <c:pt idx="1">
                  <c:v>1.5238809523809524</c:v>
                </c:pt>
                <c:pt idx="2">
                  <c:v>1.4956785714285716</c:v>
                </c:pt>
                <c:pt idx="3">
                  <c:v>1.5192321428571429</c:v>
                </c:pt>
                <c:pt idx="4">
                  <c:v>1.5303988095238097</c:v>
                </c:pt>
                <c:pt idx="5">
                  <c:v>1.5049642857142858</c:v>
                </c:pt>
                <c:pt idx="6">
                  <c:v>1.5916666666666668</c:v>
                </c:pt>
                <c:pt idx="7">
                  <c:v>1.5198690476190477</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3.8852380952380954</c:v>
                </c:pt>
                <c:pt idx="1">
                  <c:v>6.3609090909090913</c:v>
                </c:pt>
                <c:pt idx="2">
                  <c:v>3.7113999999999998</c:v>
                </c:pt>
                <c:pt idx="3">
                  <c:v>1.595</c:v>
                </c:pt>
                <c:pt idx="4">
                  <c:v>0.54896551724137932</c:v>
                </c:pt>
                <c:pt idx="5">
                  <c:v>1.5550649350649353</c:v>
                </c:pt>
                <c:pt idx="6">
                  <c:v>5.5266666666666664</c:v>
                </c:pt>
                <c:pt idx="7">
                  <c:v>10.455265199999999</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0.372</c:v>
                </c:pt>
                <c:pt idx="1">
                  <c:v>0.372</c:v>
                </c:pt>
                <c:pt idx="2">
                  <c:v>0.372</c:v>
                </c:pt>
                <c:pt idx="3">
                  <c:v>0.372</c:v>
                </c:pt>
                <c:pt idx="4">
                  <c:v>0.372</c:v>
                </c:pt>
                <c:pt idx="5">
                  <c:v>0.372</c:v>
                </c:pt>
                <c:pt idx="6">
                  <c:v>0.372</c:v>
                </c:pt>
                <c:pt idx="7">
                  <c:v>0.372</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Recurso'!$G$6:$G$16</c:f>
              <c:numCache>
                <c:formatCode>_(* #,##0.00_);_(* \(#,##0.00\);_(* "-"??_);_(@_)</c:formatCode>
                <c:ptCount val="11"/>
                <c:pt idx="0">
                  <c:v>6434.9944057499988</c:v>
                </c:pt>
                <c:pt idx="1">
                  <c:v>2663.8351380000004</c:v>
                </c:pt>
                <c:pt idx="2">
                  <c:v>52.948612552500002</c:v>
                </c:pt>
                <c:pt idx="3">
                  <c:v>18.858044947499998</c:v>
                </c:pt>
                <c:pt idx="4">
                  <c:v>0.90280628249999995</c:v>
                </c:pt>
                <c:pt idx="5">
                  <c:v>56.715391369999999</c:v>
                </c:pt>
                <c:pt idx="6">
                  <c:v>15.8660074325</c:v>
                </c:pt>
                <c:pt idx="7">
                  <c:v>51.872410814999995</c:v>
                </c:pt>
                <c:pt idx="8">
                  <c:v>15.2714765</c:v>
                </c:pt>
                <c:pt idx="9">
                  <c:v>210.66222780250001</c:v>
                </c:pt>
                <c:pt idx="10">
                  <c:v>514.43681065999999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Recurso'!$H$6:$H$16</c:f>
              <c:numCache>
                <c:formatCode>_(* #,##0.00_);_(* \(#,##0.00\);_(* "-"??_);_(@_)</c:formatCode>
                <c:ptCount val="11"/>
                <c:pt idx="0">
                  <c:v>6292.8575625574986</c:v>
                </c:pt>
                <c:pt idx="1">
                  <c:v>2879.0991382975003</c:v>
                </c:pt>
                <c:pt idx="2">
                  <c:v>59.535154750000004</c:v>
                </c:pt>
                <c:pt idx="3">
                  <c:v>27.324257290000002</c:v>
                </c:pt>
                <c:pt idx="4">
                  <c:v>0.250351985</c:v>
                </c:pt>
                <c:pt idx="5">
                  <c:v>0</c:v>
                </c:pt>
                <c:pt idx="6">
                  <c:v>12.478984759999999</c:v>
                </c:pt>
                <c:pt idx="7">
                  <c:v>36.447349554999995</c:v>
                </c:pt>
                <c:pt idx="8">
                  <c:v>14.58397197</c:v>
                </c:pt>
                <c:pt idx="9">
                  <c:v>192.1561167925</c:v>
                </c:pt>
                <c:pt idx="10">
                  <c:v>468.97834688750004</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Recurso'!$J$6:$J$16</c:f>
              <c:numCache>
                <c:formatCode>_(* #,##0.00_);_(* \(#,##0.00\);_(* "-"??_);_(@_)</c:formatCode>
                <c:ptCount val="11"/>
                <c:pt idx="0">
                  <c:v>5729.8286210275</c:v>
                </c:pt>
                <c:pt idx="1">
                  <c:v>3122.0421100075005</c:v>
                </c:pt>
                <c:pt idx="2">
                  <c:v>115.19540450000001</c:v>
                </c:pt>
                <c:pt idx="3">
                  <c:v>19.239359425000004</c:v>
                </c:pt>
                <c:pt idx="4">
                  <c:v>0.65636402249999992</c:v>
                </c:pt>
                <c:pt idx="5">
                  <c:v>0</c:v>
                </c:pt>
                <c:pt idx="6">
                  <c:v>7.3986826474999994</c:v>
                </c:pt>
                <c:pt idx="7">
                  <c:v>29.315786577500003</c:v>
                </c:pt>
                <c:pt idx="8">
                  <c:v>13.055732925000001</c:v>
                </c:pt>
                <c:pt idx="9">
                  <c:v>127.06221037750001</c:v>
                </c:pt>
                <c:pt idx="10">
                  <c:v>253.31870714250005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10.486857142857144</c:v>
                </c:pt>
                <c:pt idx="1">
                  <c:v>10.226892857142856</c:v>
                </c:pt>
                <c:pt idx="2">
                  <c:v>7.394571428571429</c:v>
                </c:pt>
                <c:pt idx="3">
                  <c:v>4.8791428571428579</c:v>
                </c:pt>
                <c:pt idx="4">
                  <c:v>6.7685714285714287</c:v>
                </c:pt>
                <c:pt idx="5">
                  <c:v>10.744142857142856</c:v>
                </c:pt>
                <c:pt idx="6">
                  <c:v>17.193857142857144</c:v>
                </c:pt>
                <c:pt idx="7">
                  <c:v>23.831714285714284</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31.014290529888047</c:v>
                </c:pt>
                <c:pt idx="1">
                  <c:v>30.29166236005916</c:v>
                </c:pt>
                <c:pt idx="2">
                  <c:v>29.129897497389987</c:v>
                </c:pt>
                <c:pt idx="3">
                  <c:v>28.31689351563411</c:v>
                </c:pt>
                <c:pt idx="4">
                  <c:v>27.786524954383335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27.568356225171463</c:v>
                </c:pt>
                <c:pt idx="1">
                  <c:v>27.431639831153976</c:v>
                </c:pt>
                <c:pt idx="2">
                  <c:v>27.493824222032895</c:v>
                </c:pt>
                <c:pt idx="3">
                  <c:v>27.277866174964938</c:v>
                </c:pt>
                <c:pt idx="4">
                  <c:v>27.599871021476623</c:v>
                </c:pt>
                <c:pt idx="5">
                  <c:v>26.80118396158181</c:v>
                </c:pt>
                <c:pt idx="6">
                  <c:v>26.222407152331954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29.630412177229228</c:v>
                </c:pt>
                <c:pt idx="1">
                  <c:v>28.851369224994432</c:v>
                </c:pt>
                <c:pt idx="2">
                  <c:v>29.076226763613114</c:v>
                </c:pt>
                <c:pt idx="3">
                  <c:v>29.407929082039576</c:v>
                </c:pt>
                <c:pt idx="4">
                  <c:v>27.823063302937083</c:v>
                </c:pt>
                <c:pt idx="5">
                  <c:v>27.583355829814074</c:v>
                </c:pt>
                <c:pt idx="6">
                  <c:v>25.722233437415149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FEBRERO
 2025</c:v>
                </c:pt>
              </c:strCache>
            </c:strRef>
          </c:tx>
          <c:spPr>
            <a:solidFill>
              <a:schemeClr val="accent1"/>
            </a:solidFill>
            <a:ln>
              <a:noFill/>
            </a:ln>
            <a:effectLst/>
          </c:spPr>
          <c:invertIfNegative val="0"/>
          <c:cat>
            <c:strRef>
              <c:f>'16. Congestiones'!$C$7:$C$15</c:f>
              <c:strCache>
                <c:ptCount val="9"/>
                <c:pt idx="0">
                  <c:v>CARHUAQUERO - CHICLAYO OESTE</c:v>
                </c:pt>
                <c:pt idx="1">
                  <c:v>TRUJILLO NORTE - CHIMBOTE 1</c:v>
                </c:pt>
                <c:pt idx="2">
                  <c:v>PARAMONGA N. - CHIMBOTE 1</c:v>
                </c:pt>
                <c:pt idx="3">
                  <c:v>PARAGSHA II - CONOCOCHA</c:v>
                </c:pt>
                <c:pt idx="4">
                  <c:v>TINGO MARÍA - AUCAYACU</c:v>
                </c:pt>
                <c:pt idx="5">
                  <c:v>INDEPENDENCIA</c:v>
                </c:pt>
                <c:pt idx="6">
                  <c:v>CARHUAMAYO - OROYA NUEVA</c:v>
                </c:pt>
                <c:pt idx="7">
                  <c:v>PIEDRA BLANCA-TINGO MARIA</c:v>
                </c:pt>
                <c:pt idx="8">
                  <c:v>ICA - MARCONA</c:v>
                </c:pt>
              </c:strCache>
            </c:strRef>
          </c:cat>
          <c:val>
            <c:numRef>
              <c:f>'16. Congestiones'!$D$7:$D$15</c:f>
              <c:numCache>
                <c:formatCode>#,##0.00</c:formatCode>
                <c:ptCount val="9"/>
                <c:pt idx="0">
                  <c:v>38.433333333333337</c:v>
                </c:pt>
                <c:pt idx="1">
                  <c:v>9.8666666666666671</c:v>
                </c:pt>
                <c:pt idx="4">
                  <c:v>1.6500000000000021</c:v>
                </c:pt>
                <c:pt idx="5">
                  <c:v>16.366666666666667</c:v>
                </c:pt>
                <c:pt idx="6">
                  <c:v>11.683333333333334</c:v>
                </c:pt>
                <c:pt idx="8">
                  <c:v>0.49999999999999822</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FEBRERO
 2024</c:v>
                </c:pt>
              </c:strCache>
            </c:strRef>
          </c:tx>
          <c:spPr>
            <a:solidFill>
              <a:schemeClr val="accent2"/>
            </a:solidFill>
            <a:ln>
              <a:noFill/>
            </a:ln>
            <a:effectLst/>
          </c:spPr>
          <c:invertIfNegative val="0"/>
          <c:cat>
            <c:strRef>
              <c:f>'16. Congestiones'!$C$7:$C$15</c:f>
              <c:strCache>
                <c:ptCount val="9"/>
                <c:pt idx="0">
                  <c:v>CARHUAQUERO - CHICLAYO OESTE</c:v>
                </c:pt>
                <c:pt idx="1">
                  <c:v>TRUJILLO NORTE - CHIMBOTE 1</c:v>
                </c:pt>
                <c:pt idx="2">
                  <c:v>PARAMONGA N. - CHIMBOTE 1</c:v>
                </c:pt>
                <c:pt idx="3">
                  <c:v>PARAGSHA II - CONOCOCHA</c:v>
                </c:pt>
                <c:pt idx="4">
                  <c:v>TINGO MARÍA - AUCAYACU</c:v>
                </c:pt>
                <c:pt idx="5">
                  <c:v>INDEPENDENCIA</c:v>
                </c:pt>
                <c:pt idx="6">
                  <c:v>CARHUAMAYO - OROYA NUEVA</c:v>
                </c:pt>
                <c:pt idx="7">
                  <c:v>PIEDRA BLANCA-TINGO MARIA</c:v>
                </c:pt>
                <c:pt idx="8">
                  <c:v>ICA - MARCONA</c:v>
                </c:pt>
              </c:strCache>
            </c:strRef>
          </c:cat>
          <c:val>
            <c:numRef>
              <c:f>'16. Congestiones'!$E$7:$E$15</c:f>
              <c:numCache>
                <c:formatCode>#,##0.00</c:formatCode>
                <c:ptCount val="9"/>
                <c:pt idx="1">
                  <c:v>10.566666666666665</c:v>
                </c:pt>
                <c:pt idx="4">
                  <c:v>0.86666666666666625</c:v>
                </c:pt>
                <c:pt idx="6">
                  <c:v>2.6</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FEBRERO
 2023</c:v>
                </c:pt>
              </c:strCache>
            </c:strRef>
          </c:tx>
          <c:spPr>
            <a:solidFill>
              <a:schemeClr val="accent6"/>
            </a:solidFill>
            <a:ln>
              <a:noFill/>
            </a:ln>
            <a:effectLst/>
          </c:spPr>
          <c:invertIfNegative val="0"/>
          <c:val>
            <c:numRef>
              <c:f>'16. Congestiones'!$F$7:$F$15</c:f>
              <c:numCache>
                <c:formatCode>#,##0.00</c:formatCode>
                <c:ptCount val="9"/>
                <c:pt idx="0">
                  <c:v>51.38333333333334</c:v>
                </c:pt>
                <c:pt idx="1">
                  <c:v>1.3000000000000007</c:v>
                </c:pt>
                <c:pt idx="2">
                  <c:v>7.0666666666666655</c:v>
                </c:pt>
                <c:pt idx="3">
                  <c:v>8.4833333333333325</c:v>
                </c:pt>
                <c:pt idx="4">
                  <c:v>1.0333333333333323</c:v>
                </c:pt>
                <c:pt idx="7">
                  <c:v>1.9499999999999984</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733320659580428E-2"/>
                  <c:y val="4.3326612991016804E-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[PERCENTAGE]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1.01327191165682E-2"/>
                  <c:y val="-5.8226436780594498E-2"/>
                </c:manualLayout>
              </c:layout>
              <c:tx>
                <c:rich>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fld id="{95C72DD4-DF0A-4ADB-BF1F-8F6A909549B2}" type="PERCENTAGE">
                      <a:rPr lang="en-US" baseline="0">
                        <a:solidFill>
                          <a:sysClr val="windowText" lastClr="000000"/>
                        </a:solidFill>
                      </a:rPr>
                      <a:pPr>
                        <a:defRPr sz="700">
                          <a:solidFill>
                            <a:sysClr val="windowText" lastClr="000000"/>
                          </a:solidFill>
                        </a:defRPr>
                      </a:pPr>
                      <a:t>[PERCENTAGE]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4673422586707036"/>
                  <c:y val="-5.5270027268883262E-2"/>
                </c:manualLayout>
              </c:layout>
              <c:tx>
                <c:rich>
                  <a:bodyPr rot="0" spcFirstLastPara="1" vertOverflow="ellipsis" vert="horz" wrap="square" lIns="38100" tIns="19050" rIns="38100" bIns="19050" anchor="ctr" anchorCtr="1">
                    <a:noAutofit/>
                  </a:bodyPr>
                  <a:lstStyle/>
                  <a:p>
                    <a:pPr>
                      <a:defRPr sz="700" b="0" i="0" u="none" strike="noStrike" kern="1200" baseline="0">
                        <a:solidFill>
                          <a:sysClr val="windowText" lastClr="000000"/>
                        </a:solidFill>
                        <a:latin typeface="+mn-lt"/>
                        <a:ea typeface="+mn-ea"/>
                        <a:cs typeface="+mn-cs"/>
                      </a:defRPr>
                    </a:pPr>
                    <a:fld id="{27603D00-D9FB-4149-8137-F4436AFFD3A3}" type="PERCENTAGE">
                      <a:rPr lang="en-US" baseline="0">
                        <a:solidFill>
                          <a:sysClr val="windowText" lastClr="000000"/>
                        </a:solidFill>
                      </a:rPr>
                      <a:pPr>
                        <a:defRPr sz="700">
                          <a:solidFill>
                            <a:sysClr val="windowText" lastClr="000000"/>
                          </a:solidFill>
                        </a:defRPr>
                      </a:pPr>
                      <a:t>[PERCENTAGE]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ysClr val="windowText" lastClr="000000"/>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Eventos'!$B$16:$H$16</c:f>
              <c:numCache>
                <c:formatCode>General</c:formatCode>
                <c:ptCount val="7"/>
                <c:pt idx="0">
                  <c:v>37</c:v>
                </c:pt>
                <c:pt idx="1">
                  <c:v>8</c:v>
                </c:pt>
                <c:pt idx="2">
                  <c:v>6</c:v>
                </c:pt>
                <c:pt idx="3">
                  <c:v>11</c:v>
                </c:pt>
                <c:pt idx="4">
                  <c:v>7</c:v>
                </c:pt>
                <c:pt idx="5">
                  <c:v>5</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48210684225874845"/>
        </c:manualLayout>
      </c:layout>
      <c:barChart>
        <c:barDir val="col"/>
        <c:grouping val="clustered"/>
        <c:varyColors val="0"/>
        <c:ser>
          <c:idx val="0"/>
          <c:order val="0"/>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Eventos'!$J$7:$J$15</c:f>
              <c:numCache>
                <c:formatCode>#,##0.00</c:formatCode>
                <c:ptCount val="9"/>
                <c:pt idx="0">
                  <c:v>32.950000000000003</c:v>
                </c:pt>
                <c:pt idx="1">
                  <c:v>7.0000000000000007E-2</c:v>
                </c:pt>
                <c:pt idx="2">
                  <c:v>2.0299999999999998</c:v>
                </c:pt>
                <c:pt idx="3">
                  <c:v>1.69</c:v>
                </c:pt>
                <c:pt idx="4">
                  <c:v>0.87</c:v>
                </c:pt>
                <c:pt idx="5">
                  <c:v>1136.1300000000001</c:v>
                </c:pt>
                <c:pt idx="6">
                  <c:v>17.079999999999998</c:v>
                </c:pt>
                <c:pt idx="7">
                  <c:v>371.46</c:v>
                </c:pt>
                <c:pt idx="8">
                  <c:v>195.34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Eventos'!$B$7:$B$15</c:f>
              <c:numCache>
                <c:formatCode>General</c:formatCode>
                <c:ptCount val="9"/>
                <c:pt idx="2">
                  <c:v>2</c:v>
                </c:pt>
                <c:pt idx="5">
                  <c:v>35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Eventos'!$C$7:$C$15</c:f>
              <c:numCache>
                <c:formatCode>General</c:formatCode>
                <c:ptCount val="9"/>
                <c:pt idx="4">
                  <c:v>1</c:v>
                </c:pt>
                <c:pt idx="5">
                  <c:v>5</c:v>
                </c:pt>
                <c:pt idx="8">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Eventos'!$D$7:$D$15</c:f>
              <c:numCache>
                <c:formatCode>General</c:formatCode>
                <c:ptCount val="9"/>
                <c:pt idx="3">
                  <c:v>1</c:v>
                </c:pt>
                <c:pt idx="5">
                  <c:v>5</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Eventos'!$E$7:$E$15</c:f>
              <c:numCache>
                <c:formatCode>General</c:formatCode>
                <c:ptCount val="9"/>
                <c:pt idx="0">
                  <c:v>1</c:v>
                </c:pt>
                <c:pt idx="5">
                  <c:v>8</c:v>
                </c:pt>
                <c:pt idx="6">
                  <c:v>1</c:v>
                </c:pt>
                <c:pt idx="8">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Eventos'!$F$7:$F$15</c:f>
              <c:numCache>
                <c:formatCode>General</c:formatCode>
                <c:ptCount val="9"/>
                <c:pt idx="5">
                  <c:v>4</c:v>
                </c:pt>
                <c:pt idx="6">
                  <c:v>2</c:v>
                </c:pt>
                <c:pt idx="7">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Eventos'!$G$7:$G$15</c:f>
              <c:numCache>
                <c:formatCode>General</c:formatCode>
                <c:ptCount val="9"/>
                <c:pt idx="5">
                  <c:v>5</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Eventos'!$A$7:$A$15</c:f>
              <c:strCache>
                <c:ptCount val="9"/>
                <c:pt idx="0">
                  <c:v>BARRA</c:v>
                </c:pt>
                <c:pt idx="1">
                  <c:v>CELDA</c:v>
                </c:pt>
                <c:pt idx="2">
                  <c:v>CENTRAL HIDROELÉCTRICA</c:v>
                </c:pt>
                <c:pt idx="3">
                  <c:v>GENERADOR HIDROELÉCTRICO</c:v>
                </c:pt>
                <c:pt idx="4">
                  <c:v>INTERRUPTOR</c:v>
                </c:pt>
                <c:pt idx="5">
                  <c:v>LINEA DE TRANSMISION</c:v>
                </c:pt>
                <c:pt idx="6">
                  <c:v>SUBESTACION</c:v>
                </c:pt>
                <c:pt idx="7">
                  <c:v>TRANSFORMADOR 2D</c:v>
                </c:pt>
                <c:pt idx="8">
                  <c:v>TRANSFORMADOR 3D</c:v>
                </c:pt>
              </c:strCache>
            </c:strRef>
          </c:cat>
          <c:val>
            <c:numRef>
              <c:f>'17. Eventos'!$H$7:$H$15</c:f>
              <c:numCache>
                <c:formatCode>General</c:formatCode>
                <c:ptCount val="9"/>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455.06902132750014</c:v>
                </c:pt>
                <c:pt idx="1">
                  <c:v>253.31870714250005</c:v>
                </c:pt>
                <c:pt idx="2">
                  <c:v>127.06221037750001</c:v>
                </c:pt>
                <c:pt idx="3">
                  <c:v>29.315786577500003</c:v>
                </c:pt>
                <c:pt idx="4">
                  <c:v>13.055732925000001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492.71566408499996</c:v>
                </c:pt>
                <c:pt idx="1">
                  <c:v>468.97834688750004</c:v>
                </c:pt>
                <c:pt idx="2">
                  <c:v>192.1561167925</c:v>
                </c:pt>
                <c:pt idx="3">
                  <c:v>36.447349554999995</c:v>
                </c:pt>
                <c:pt idx="4">
                  <c:v>14.58397197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470.04225186499986</c:v>
                </c:pt>
                <c:pt idx="1">
                  <c:v>514.43681065999999</c:v>
                </c:pt>
                <c:pt idx="2">
                  <c:v>210.66222780250001</c:v>
                </c:pt>
                <c:pt idx="3">
                  <c:v>51.872410814999995</c:v>
                </c:pt>
                <c:pt idx="4">
                  <c:v>15.2714765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10,994</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4325.4099718574998</c:v>
                </c:pt>
                <c:pt idx="1">
                  <c:v>221.71148372749997</c:v>
                </c:pt>
                <c:pt idx="2">
                  <c:v>192.03353596250003</c:v>
                </c:pt>
                <c:pt idx="3">
                  <c:v>92.66295069249999</c:v>
                </c:pt>
                <c:pt idx="4">
                  <c:v>21.941796849999999</c:v>
                </c:pt>
                <c:pt idx="5">
                  <c:v>7.1006956499999996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RUNATULLO III</c:v>
                </c:pt>
                <c:pt idx="1">
                  <c:v>C.H. CHANCAY</c:v>
                </c:pt>
                <c:pt idx="2">
                  <c:v>C.H. ÁNGEL I</c:v>
                </c:pt>
                <c:pt idx="3">
                  <c:v>C.H. RUNATULLO II</c:v>
                </c:pt>
                <c:pt idx="4">
                  <c:v>C.H. ÁNGEL II</c:v>
                </c:pt>
                <c:pt idx="5">
                  <c:v>C.H. CARHUAC</c:v>
                </c:pt>
                <c:pt idx="6">
                  <c:v>C.H. RUCUY</c:v>
                </c:pt>
                <c:pt idx="7">
                  <c:v>C.H. POTRERO</c:v>
                </c:pt>
                <c:pt idx="8">
                  <c:v>C.H. ÁNGEL III</c:v>
                </c:pt>
                <c:pt idx="9">
                  <c:v>C.H. LAS PIZARRAS</c:v>
                </c:pt>
                <c:pt idx="10">
                  <c:v>C.H. 8 DE AGOSTO</c:v>
                </c:pt>
                <c:pt idx="11">
                  <c:v>C.H. YARUCAYA</c:v>
                </c:pt>
                <c:pt idx="12">
                  <c:v>C.H. RENOVANDES H1</c:v>
                </c:pt>
                <c:pt idx="13">
                  <c:v>C.H. MANTA I</c:v>
                </c:pt>
                <c:pt idx="14">
                  <c:v>C.H. CARHUAQUERO IV</c:v>
                </c:pt>
                <c:pt idx="15">
                  <c:v>C.H. HUASAHUASI II</c:v>
                </c:pt>
                <c:pt idx="16">
                  <c:v>C.H. HUASAHUASI I</c:v>
                </c:pt>
                <c:pt idx="17">
                  <c:v>C.H. POECHOS II</c:v>
                </c:pt>
                <c:pt idx="18">
                  <c:v>C.H. EL CARMEN</c:v>
                </c:pt>
                <c:pt idx="19">
                  <c:v>C.H. SANTA CRUZ II</c:v>
                </c:pt>
                <c:pt idx="20">
                  <c:v>C.H. SANTA CRUZ I</c:v>
                </c:pt>
                <c:pt idx="21">
                  <c:v>C.H. CAÑA BRAVA</c:v>
                </c:pt>
                <c:pt idx="22">
                  <c:v>C.H. CANCHAYLLO</c:v>
                </c:pt>
                <c:pt idx="23">
                  <c:v>C.H. IMPERIAL</c:v>
                </c:pt>
                <c:pt idx="24">
                  <c:v>C.H. RONCADOR</c:v>
                </c:pt>
                <c:pt idx="25">
                  <c:v>C.H. YANAPAMPA</c:v>
                </c:pt>
                <c:pt idx="26">
                  <c:v>C.H. HUALLIN</c:v>
                </c:pt>
                <c:pt idx="27">
                  <c:v>C.H. LA JOYA</c:v>
                </c:pt>
                <c:pt idx="28">
                  <c:v>C.H. HER 1</c:v>
                </c:pt>
                <c:pt idx="29">
                  <c:v>C.H. PURMACANA</c:v>
                </c:pt>
              </c:strCache>
            </c:strRef>
          </c:cat>
          <c:val>
            <c:numRef>
              <c:f>'6. FP RER'!$P$6:$P$35</c:f>
              <c:numCache>
                <c:formatCode>_(* #,##0.00_);_(* \(#,##0.00\);_(* "-"??_);_(@_)</c:formatCode>
                <c:ptCount val="30"/>
                <c:pt idx="0">
                  <c:v>13.582890559999999</c:v>
                </c:pt>
                <c:pt idx="1">
                  <c:v>13.3720950875</c:v>
                </c:pt>
                <c:pt idx="2">
                  <c:v>13.352511610000001</c:v>
                </c:pt>
                <c:pt idx="3">
                  <c:v>13.309294557499999</c:v>
                </c:pt>
                <c:pt idx="4">
                  <c:v>13.259869614999999</c:v>
                </c:pt>
                <c:pt idx="5">
                  <c:v>13.0524951825</c:v>
                </c:pt>
                <c:pt idx="6">
                  <c:v>13.0330665175</c:v>
                </c:pt>
                <c:pt idx="7">
                  <c:v>13.015105275</c:v>
                </c:pt>
                <c:pt idx="8">
                  <c:v>12.909134829999999</c:v>
                </c:pt>
                <c:pt idx="9">
                  <c:v>12.2640680275</c:v>
                </c:pt>
                <c:pt idx="10">
                  <c:v>12.024620000000001</c:v>
                </c:pt>
                <c:pt idx="11">
                  <c:v>10.60471925</c:v>
                </c:pt>
                <c:pt idx="12">
                  <c:v>9.0398152799999991</c:v>
                </c:pt>
                <c:pt idx="13">
                  <c:v>7.8488362775000002</c:v>
                </c:pt>
                <c:pt idx="14">
                  <c:v>6.2196447174999996</c:v>
                </c:pt>
                <c:pt idx="15">
                  <c:v>6.0150975100000004</c:v>
                </c:pt>
                <c:pt idx="16">
                  <c:v>5.836525065</c:v>
                </c:pt>
                <c:pt idx="17">
                  <c:v>5.6946131224999998</c:v>
                </c:pt>
                <c:pt idx="18">
                  <c:v>5.1266432499999999</c:v>
                </c:pt>
                <c:pt idx="19">
                  <c:v>4.3262681724999998</c:v>
                </c:pt>
                <c:pt idx="20">
                  <c:v>3.9257473850000002</c:v>
                </c:pt>
                <c:pt idx="21">
                  <c:v>3.2268697249999998</c:v>
                </c:pt>
                <c:pt idx="22">
                  <c:v>2.73833875</c:v>
                </c:pt>
                <c:pt idx="23">
                  <c:v>2.2252999999999998</c:v>
                </c:pt>
                <c:pt idx="24">
                  <c:v>2.12087</c:v>
                </c:pt>
                <c:pt idx="25">
                  <c:v>2.0177573</c:v>
                </c:pt>
                <c:pt idx="26">
                  <c:v>1.2889903325000001</c:v>
                </c:pt>
                <c:pt idx="27">
                  <c:v>1.27896937</c:v>
                </c:pt>
                <c:pt idx="28">
                  <c:v>0.24398400000000001</c:v>
                </c:pt>
                <c:pt idx="29">
                  <c:v>4.6333289999999999E-2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RUNATULLO III</c:v>
                </c:pt>
                <c:pt idx="1">
                  <c:v>C.H. CHANCAY</c:v>
                </c:pt>
                <c:pt idx="2">
                  <c:v>C.H. ÁNGEL I</c:v>
                </c:pt>
                <c:pt idx="3">
                  <c:v>C.H. RUNATULLO II</c:v>
                </c:pt>
                <c:pt idx="4">
                  <c:v>C.H. ÁNGEL II</c:v>
                </c:pt>
                <c:pt idx="5">
                  <c:v>C.H. CARHUAC</c:v>
                </c:pt>
                <c:pt idx="6">
                  <c:v>C.H. RUCUY</c:v>
                </c:pt>
                <c:pt idx="7">
                  <c:v>C.H. POTRERO</c:v>
                </c:pt>
                <c:pt idx="8">
                  <c:v>C.H. ÁNGEL III</c:v>
                </c:pt>
                <c:pt idx="9">
                  <c:v>C.H. LAS PIZARRAS</c:v>
                </c:pt>
                <c:pt idx="10">
                  <c:v>C.H. 8 DE AGOSTO</c:v>
                </c:pt>
                <c:pt idx="11">
                  <c:v>C.H. YARUCAYA</c:v>
                </c:pt>
                <c:pt idx="12">
                  <c:v>C.H. RENOVANDES H1</c:v>
                </c:pt>
                <c:pt idx="13">
                  <c:v>C.H. MANTA I</c:v>
                </c:pt>
                <c:pt idx="14">
                  <c:v>C.H. CARHUAQUERO IV</c:v>
                </c:pt>
                <c:pt idx="15">
                  <c:v>C.H. HUASAHUASI II</c:v>
                </c:pt>
                <c:pt idx="16">
                  <c:v>C.H. HUASAHUASI I</c:v>
                </c:pt>
                <c:pt idx="17">
                  <c:v>C.H. POECHOS II</c:v>
                </c:pt>
                <c:pt idx="18">
                  <c:v>C.H. EL CARMEN</c:v>
                </c:pt>
                <c:pt idx="19">
                  <c:v>C.H. SANTA CRUZ II</c:v>
                </c:pt>
                <c:pt idx="20">
                  <c:v>C.H. SANTA CRUZ I</c:v>
                </c:pt>
                <c:pt idx="21">
                  <c:v>C.H. CAÑA BRAVA</c:v>
                </c:pt>
                <c:pt idx="22">
                  <c:v>C.H. CANCHAYLLO</c:v>
                </c:pt>
                <c:pt idx="23">
                  <c:v>C.H. IMPERIAL</c:v>
                </c:pt>
                <c:pt idx="24">
                  <c:v>C.H. RONCADOR</c:v>
                </c:pt>
                <c:pt idx="25">
                  <c:v>C.H. YANAPAMPA</c:v>
                </c:pt>
                <c:pt idx="26">
                  <c:v>C.H. HUALLIN</c:v>
                </c:pt>
                <c:pt idx="27">
                  <c:v>C.H. LA JOYA</c:v>
                </c:pt>
                <c:pt idx="28">
                  <c:v>C.H. HER 1</c:v>
                </c:pt>
                <c:pt idx="29">
                  <c:v>C.H. PURMACANA</c:v>
                </c:pt>
              </c:strCache>
            </c:strRef>
          </c:cat>
          <c:val>
            <c:numRef>
              <c:f>'6. FP RER'!$Q$6:$Q$35</c:f>
              <c:numCache>
                <c:formatCode>_(* #,##0.00_);_(* \(#,##0.00\);_(* "-"??_);_(@_)</c:formatCode>
                <c:ptCount val="30"/>
                <c:pt idx="0">
                  <c:v>1</c:v>
                </c:pt>
                <c:pt idx="1">
                  <c:v>0.98043708233471993</c:v>
                </c:pt>
                <c:pt idx="2">
                  <c:v>0.99096892673853298</c:v>
                </c:pt>
                <c:pt idx="3">
                  <c:v>0.99191154672322424</c:v>
                </c:pt>
                <c:pt idx="4">
                  <c:v>0.98723075011846295</c:v>
                </c:pt>
                <c:pt idx="5">
                  <c:v>0.95371622006412105</c:v>
                </c:pt>
                <c:pt idx="6">
                  <c:v>0.95680533904638576</c:v>
                </c:pt>
                <c:pt idx="7">
                  <c:v>0.95870290976317774</c:v>
                </c:pt>
                <c:pt idx="8">
                  <c:v>0.95648101372194572</c:v>
                </c:pt>
                <c:pt idx="9">
                  <c:v>0.95055085973066022</c:v>
                </c:pt>
                <c:pt idx="10">
                  <c:v>0.86944364843067534</c:v>
                </c:pt>
                <c:pt idx="11">
                  <c:v>0.86956315942593698</c:v>
                </c:pt>
                <c:pt idx="12">
                  <c:v>0.6448138276017914</c:v>
                </c:pt>
                <c:pt idx="13">
                  <c:v>0.56252051157119587</c:v>
                </c:pt>
                <c:pt idx="14">
                  <c:v>0.92711847007472226</c:v>
                </c:pt>
                <c:pt idx="15">
                  <c:v>0.89830806098448401</c:v>
                </c:pt>
                <c:pt idx="16">
                  <c:v>0.88175686865482239</c:v>
                </c:pt>
                <c:pt idx="17">
                  <c:v>0.88585894526310949</c:v>
                </c:pt>
                <c:pt idx="18">
                  <c:v>0.88910136901572923</c:v>
                </c:pt>
                <c:pt idx="19">
                  <c:v>0.99014135131040271</c:v>
                </c:pt>
                <c:pt idx="20">
                  <c:v>0.88033242760448061</c:v>
                </c:pt>
                <c:pt idx="21">
                  <c:v>0.84689408672419586</c:v>
                </c:pt>
                <c:pt idx="22">
                  <c:v>0.78529752441061229</c:v>
                </c:pt>
                <c:pt idx="23">
                  <c:v>0.8334906451883547</c:v>
                </c:pt>
                <c:pt idx="24">
                  <c:v>0.85648828391129372</c:v>
                </c:pt>
                <c:pt idx="25">
                  <c:v>0.76671450963097099</c:v>
                </c:pt>
                <c:pt idx="26">
                  <c:v>0.95907018787202392</c:v>
                </c:pt>
                <c:pt idx="27">
                  <c:v>0.20960963418712675</c:v>
                </c:pt>
                <c:pt idx="28">
                  <c:v>0.53499620355831945</c:v>
                </c:pt>
                <c:pt idx="29">
                  <c:v>3.8967474640459618E-2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PUNTA LOMITAS</c:v>
                </c:pt>
                <c:pt idx="1">
                  <c:v>C.E. SAN JUAN</c:v>
                </c:pt>
                <c:pt idx="2">
                  <c:v>C.E. WAYRA EXTENSION</c:v>
                </c:pt>
                <c:pt idx="3">
                  <c:v>C.E. WAYRA I</c:v>
                </c:pt>
                <c:pt idx="4">
                  <c:v>C.E. TRES HERMANAS</c:v>
                </c:pt>
                <c:pt idx="5">
                  <c:v>C.E. CUPISNIQUE</c:v>
                </c:pt>
                <c:pt idx="6">
                  <c:v>C.E. MARCONA</c:v>
                </c:pt>
                <c:pt idx="7">
                  <c:v>C.E. PUNTA LOMITAS_EXP</c:v>
                </c:pt>
                <c:pt idx="8">
                  <c:v>C.E. DUNA</c:v>
                </c:pt>
                <c:pt idx="9">
                  <c:v>C.E. TALARA</c:v>
                </c:pt>
                <c:pt idx="10">
                  <c:v>C.E. HUAMBOS</c:v>
                </c:pt>
              </c:strCache>
            </c:strRef>
          </c:cat>
          <c:val>
            <c:numRef>
              <c:f>'6. FP RER'!$P$36:$P$46</c:f>
              <c:numCache>
                <c:formatCode>_(* #,##0.00_);_(* \(#,##0.00\);_(* "-"??_);_(@_)</c:formatCode>
                <c:ptCount val="11"/>
                <c:pt idx="0">
                  <c:v>59.892345939999998</c:v>
                </c:pt>
                <c:pt idx="1">
                  <c:v>32.120616249999998</c:v>
                </c:pt>
                <c:pt idx="2">
                  <c:v>22.603204250000001</c:v>
                </c:pt>
                <c:pt idx="3">
                  <c:v>22.969629879999999</c:v>
                </c:pt>
                <c:pt idx="4">
                  <c:v>20.490931742499999</c:v>
                </c:pt>
                <c:pt idx="5">
                  <c:v>14.8651714675</c:v>
                </c:pt>
                <c:pt idx="6">
                  <c:v>7.4709958475000002</c:v>
                </c:pt>
                <c:pt idx="7">
                  <c:v>3.363886715</c:v>
                </c:pt>
                <c:pt idx="8">
                  <c:v>3.0377019674999999</c:v>
                </c:pt>
                <c:pt idx="9">
                  <c:v>2.867063865</c:v>
                </c:pt>
                <c:pt idx="10">
                  <c:v>2.3519880375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PUNTA LOMITAS</c:v>
                </c:pt>
                <c:pt idx="1">
                  <c:v>C.E. SAN JUAN</c:v>
                </c:pt>
                <c:pt idx="2">
                  <c:v>C.E. WAYRA EXTENSION</c:v>
                </c:pt>
                <c:pt idx="3">
                  <c:v>C.E. WAYRA I</c:v>
                </c:pt>
                <c:pt idx="4">
                  <c:v>C.E. TRES HERMANAS</c:v>
                </c:pt>
                <c:pt idx="5">
                  <c:v>C.E. CUPISNIQUE</c:v>
                </c:pt>
                <c:pt idx="6">
                  <c:v>C.E. MARCONA</c:v>
                </c:pt>
                <c:pt idx="7">
                  <c:v>C.E. PUNTA LOMITAS_EXP</c:v>
                </c:pt>
                <c:pt idx="8">
                  <c:v>C.E. DUNA</c:v>
                </c:pt>
                <c:pt idx="9">
                  <c:v>C.E. TALARA</c:v>
                </c:pt>
                <c:pt idx="10">
                  <c:v>C.E. HUAMBOS</c:v>
                </c:pt>
              </c:strCache>
            </c:strRef>
          </c:cat>
          <c:val>
            <c:numRef>
              <c:f>'6. FP RER'!$Q$36:$Q$46</c:f>
              <c:numCache>
                <c:formatCode>_(* #,##0.00_);_(* \(#,##0.00\);_(* "-"??_);_(@_)</c:formatCode>
                <c:ptCount val="11"/>
                <c:pt idx="0">
                  <c:v>0.34279044150641025</c:v>
                </c:pt>
                <c:pt idx="1">
                  <c:v>0.35223681714303262</c:v>
                </c:pt>
                <c:pt idx="2">
                  <c:v>0.19003231983118105</c:v>
                </c:pt>
                <c:pt idx="3">
                  <c:v>0.25835976451427128</c:v>
                </c:pt>
                <c:pt idx="4">
                  <c:v>0.31386987081985396</c:v>
                </c:pt>
                <c:pt idx="5">
                  <c:v>0.26603476697842399</c:v>
                </c:pt>
                <c:pt idx="6">
                  <c:v>0.34742354201543901</c:v>
                </c:pt>
                <c:pt idx="7">
                  <c:v>0.1375215330242674</c:v>
                </c:pt>
                <c:pt idx="8">
                  <c:v>0.24607456900322733</c:v>
                </c:pt>
                <c:pt idx="9">
                  <c:v>0.13825223865267103</c:v>
                </c:pt>
                <c:pt idx="10">
                  <c:v>0.19052706579535736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42687</xdr:colOff>
      <xdr:row>2</xdr:row>
      <xdr:rowOff>68911</xdr:rowOff>
    </xdr:from>
    <xdr:to>
      <xdr:col>8</xdr:col>
      <xdr:colOff>835364</xdr:colOff>
      <xdr:row>63</xdr:row>
      <xdr:rowOff>2649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687" y="327991"/>
          <a:ext cx="5974277" cy="7835678"/>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marzo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febrero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INF-SGI-MES-02-2025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Versión:03</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75</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(27,79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(30,29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(28,32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(31,01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(27,58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(27,82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(29,41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(27,49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(28,85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(25,72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(27,57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(26,22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(29,63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(27,28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(27,43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(29,08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18</xdr:row>
      <xdr:rowOff>19877</xdr:rowOff>
    </xdr:from>
    <xdr:to>
      <xdr:col>7</xdr:col>
      <xdr:colOff>557419</xdr:colOff>
      <xdr:row>49</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20</xdr:row>
      <xdr:rowOff>72815</xdr:rowOff>
    </xdr:from>
    <xdr:to>
      <xdr:col>3</xdr:col>
      <xdr:colOff>286381</xdr:colOff>
      <xdr:row>36</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40</xdr:row>
      <xdr:rowOff>5953</xdr:rowOff>
    </xdr:from>
    <xdr:to>
      <xdr:col>9</xdr:col>
      <xdr:colOff>246184</xdr:colOff>
      <xdr:row>54</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20</xdr:row>
      <xdr:rowOff>38663</xdr:rowOff>
    </xdr:from>
    <xdr:to>
      <xdr:col>10</xdr:col>
      <xdr:colOff>164123</xdr:colOff>
      <xdr:row>36</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29</xdr:row>
      <xdr:rowOff>66261</xdr:rowOff>
    </xdr:from>
    <xdr:to>
      <xdr:col>9</xdr:col>
      <xdr:colOff>581525</xdr:colOff>
      <xdr:row>63</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24</xdr:row>
      <xdr:rowOff>45027</xdr:rowOff>
    </xdr:from>
    <xdr:to>
      <xdr:col>10</xdr:col>
      <xdr:colOff>379614</xdr:colOff>
      <xdr:row>57</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75</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M35" sqref="M35"/>
    </sheetView>
  </sheetViews>
  <sheetFormatPr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P61"/>
  <sheetViews>
    <sheetView showGridLines="0" view="pageBreakPreview" zoomScale="115" zoomScaleNormal="100" zoomScaleSheetLayoutView="115" zoomScalePageLayoutView="115" workbookViewId="0">
      <selection activeCell="E22" sqref="E22"/>
    </sheetView>
  </sheetViews>
  <sheetFormatPr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46" t="s">
        <v>195</v>
      </c>
      <c r="B2" s="846"/>
      <c r="C2" s="846"/>
      <c r="D2" s="846"/>
      <c r="E2" s="846"/>
      <c r="F2" s="846"/>
      <c r="G2" s="846"/>
      <c r="H2" s="846"/>
      <c r="I2" s="846"/>
      <c r="J2" s="846"/>
      <c r="K2" s="846"/>
    </row>
    <row r="3" spans="1:16" ht="11.25" customHeight="1">
      <c r="A3" s="14"/>
      <c r="B3" s="14"/>
      <c r="C3" s="14"/>
      <c r="D3" s="14"/>
      <c r="E3" s="14"/>
      <c r="F3" s="14"/>
      <c r="G3" s="14"/>
      <c r="H3" s="14"/>
      <c r="I3" s="14"/>
      <c r="J3" s="14"/>
      <c r="K3" s="14"/>
      <c r="L3" s="31"/>
    </row>
    <row r="4" spans="1:16" ht="11.25" customHeight="1">
      <c r="A4" s="847" t="s">
        <v>291</v>
      </c>
      <c r="B4" s="847"/>
      <c r="C4" s="847"/>
      <c r="D4" s="847"/>
      <c r="E4" s="847"/>
      <c r="F4" s="847"/>
      <c r="G4" s="847"/>
      <c r="H4" s="847"/>
      <c r="I4" s="847"/>
      <c r="J4" s="847"/>
      <c r="K4" s="847"/>
      <c r="L4" s="31"/>
    </row>
    <row r="5" spans="1:16" ht="11.25" customHeight="1">
      <c r="A5" s="14"/>
      <c r="B5" s="61"/>
      <c r="C5" s="62"/>
      <c r="D5" s="63"/>
      <c r="E5" s="63"/>
      <c r="F5" s="63"/>
      <c r="G5" s="63"/>
      <c r="H5" s="64"/>
      <c r="I5" s="60"/>
      <c r="J5" s="60"/>
      <c r="K5" s="65"/>
      <c r="L5" s="6"/>
    </row>
    <row r="6" spans="1:16" ht="12.75" customHeight="1">
      <c r="A6" s="853" t="s">
        <v>164</v>
      </c>
      <c r="B6" s="848" t="s">
        <v>198</v>
      </c>
      <c r="C6" s="849"/>
      <c r="D6" s="849"/>
      <c r="E6" s="849" t="s">
        <v>32</v>
      </c>
      <c r="F6" s="849"/>
      <c r="G6" s="850" t="s">
        <v>197</v>
      </c>
      <c r="H6" s="850"/>
      <c r="I6" s="850"/>
      <c r="J6" s="850"/>
      <c r="K6" s="850"/>
      <c r="L6" s="12"/>
    </row>
    <row r="7" spans="1:16" ht="12.75" customHeight="1">
      <c r="A7" s="853"/>
      <c r="B7" s="362">
        <v>45629.8125</v>
      </c>
      <c r="C7" s="362">
        <v>45684.822916666664</v>
      </c>
      <c r="D7" s="362">
        <v>45713.8125</v>
      </c>
      <c r="E7" s="362">
        <v>45329.854166666664</v>
      </c>
      <c r="F7" s="851" t="s">
        <v>114</v>
      </c>
      <c r="G7" s="481">
        <v>2025</v>
      </c>
      <c r="H7" s="481">
        <v>2024</v>
      </c>
      <c r="I7" s="851" t="s">
        <v>756</v>
      </c>
      <c r="J7" s="481">
        <v>2023</v>
      </c>
      <c r="K7" s="851" t="s">
        <v>405</v>
      </c>
      <c r="L7" s="10"/>
    </row>
    <row r="8" spans="1:16" ht="12.75" customHeight="1">
      <c r="A8" s="853"/>
      <c r="B8" s="363">
        <v>45629.8125</v>
      </c>
      <c r="C8" s="363">
        <v>45684.822916666664</v>
      </c>
      <c r="D8" s="363">
        <v>45713.8125</v>
      </c>
      <c r="E8" s="363">
        <v>45329.854166666664</v>
      </c>
      <c r="F8" s="852"/>
      <c r="G8" s="364">
        <v>45713.8125</v>
      </c>
      <c r="H8" s="364">
        <v>45329.854166666664</v>
      </c>
      <c r="I8" s="852"/>
      <c r="J8" s="364">
        <v>44959.71875</v>
      </c>
      <c r="K8" s="852"/>
      <c r="L8" s="11"/>
    </row>
    <row r="9" spans="1:16" ht="12.75" customHeight="1">
      <c r="A9" s="853"/>
      <c r="B9" s="365">
        <v>45629.8125</v>
      </c>
      <c r="C9" s="365">
        <v>45684.822916666664</v>
      </c>
      <c r="D9" s="365">
        <v>45713.8125</v>
      </c>
      <c r="E9" s="365">
        <v>45329.854166666664</v>
      </c>
      <c r="F9" s="852"/>
      <c r="G9" s="365">
        <v>45713.8125</v>
      </c>
      <c r="H9" s="365">
        <v>45329.854166666664</v>
      </c>
      <c r="I9" s="852"/>
      <c r="J9" s="366">
        <v>44959.71875</v>
      </c>
      <c r="K9" s="852"/>
      <c r="L9" s="11"/>
    </row>
    <row r="10" spans="1:16" ht="12.75" customHeight="1">
      <c r="A10" s="367" t="s">
        <v>34</v>
      </c>
      <c r="B10" s="368">
        <v>4682.042690000002</v>
      </c>
      <c r="C10" s="369">
        <v>4846.4855799999987</v>
      </c>
      <c r="D10" s="789">
        <v>4654.7128500000017</v>
      </c>
      <c r="E10" s="368">
        <v>4475.6376299999984</v>
      </c>
      <c r="F10" s="370">
        <f t="shared" ref="F10:F15" si="0">+IF(E10=0,"",D10/E10-1)</f>
        <v>4.0011107869786011E-2</v>
      </c>
      <c r="G10" s="368">
        <v>4654.7128500000017</v>
      </c>
      <c r="H10" s="369">
        <v>4475.6376299999984</v>
      </c>
      <c r="I10" s="370">
        <f>+IF(H10=0,"",G10/H10-1)</f>
        <v>4.0011107869786011E-2</v>
      </c>
      <c r="J10" s="368">
        <v>3984.4396500000003</v>
      </c>
      <c r="K10" s="370">
        <f>+IF(J10=0,"",H10/J10-1)</f>
        <v>0.12327906133551259</v>
      </c>
      <c r="L10" s="11"/>
    </row>
    <row r="11" spans="1:16" ht="12.75" customHeight="1">
      <c r="A11" s="371" t="s">
        <v>35</v>
      </c>
      <c r="B11" s="372">
        <v>2479.6764899999998</v>
      </c>
      <c r="C11" s="373">
        <v>2297.89986</v>
      </c>
      <c r="D11" s="790">
        <v>2737.96702</v>
      </c>
      <c r="E11" s="372">
        <v>3005.9687100000001</v>
      </c>
      <c r="F11" s="374">
        <f t="shared" si="0"/>
        <v>-8.9156513542018923E-2</v>
      </c>
      <c r="G11" s="372">
        <v>2737.96702</v>
      </c>
      <c r="H11" s="373">
        <v>3005.9687099999996</v>
      </c>
      <c r="I11" s="374">
        <f>+IF(H11=0,"",G11/H11-1)</f>
        <v>-8.91565135420187E-2</v>
      </c>
      <c r="J11" s="372">
        <v>3116.3002300000003</v>
      </c>
      <c r="K11" s="374">
        <f>+IF(J11=0,"",H11/J11-1)</f>
        <v>-3.5404650340766675E-2</v>
      </c>
      <c r="L11" s="11"/>
    </row>
    <row r="12" spans="1:16" ht="12.75" customHeight="1">
      <c r="A12" s="375" t="s">
        <v>36</v>
      </c>
      <c r="B12" s="376">
        <v>537.11186999999995</v>
      </c>
      <c r="C12" s="377">
        <v>601.40330000000006</v>
      </c>
      <c r="D12" s="791">
        <v>506.7782499999999</v>
      </c>
      <c r="E12" s="376">
        <v>280.52343999999999</v>
      </c>
      <c r="F12" s="378">
        <f t="shared" si="0"/>
        <v>0.80654511437618148</v>
      </c>
      <c r="G12" s="376">
        <v>506.7782499999999</v>
      </c>
      <c r="H12" s="377">
        <v>280.52343999999999</v>
      </c>
      <c r="I12" s="378">
        <f>+IF(H12=0,"",G12/H12-1)</f>
        <v>0.80654511437618148</v>
      </c>
      <c r="J12" s="376">
        <v>276.00648000000001</v>
      </c>
      <c r="K12" s="378">
        <f>+IF(J12=0,"",H12/J12-1)</f>
        <v>1.6365412870016582E-2</v>
      </c>
      <c r="L12" s="10"/>
    </row>
    <row r="13" spans="1:16" ht="12.75" customHeight="1">
      <c r="A13" s="371" t="s">
        <v>28</v>
      </c>
      <c r="B13" s="372">
        <v>0</v>
      </c>
      <c r="C13" s="606">
        <v>0</v>
      </c>
      <c r="D13" s="790">
        <v>0</v>
      </c>
      <c r="E13" s="372">
        <v>0</v>
      </c>
      <c r="F13" s="374" t="str">
        <f t="shared" si="0"/>
        <v/>
      </c>
      <c r="G13" s="372">
        <v>0</v>
      </c>
      <c r="H13" s="606"/>
      <c r="I13" s="374" t="str">
        <f>+IF(H13=0,"",G13/H13-1)</f>
        <v/>
      </c>
      <c r="J13" s="372">
        <v>20.307559999999999</v>
      </c>
      <c r="K13" s="374">
        <f>+IF(J13=0,"",H13/J13-1)</f>
        <v>-1</v>
      </c>
      <c r="L13" s="11"/>
    </row>
    <row r="14" spans="1:16" ht="12.75" customHeight="1">
      <c r="A14" s="607" t="s">
        <v>393</v>
      </c>
      <c r="B14" s="608">
        <v>0.1092899999985093</v>
      </c>
      <c r="C14" s="609">
        <v>8.3519999999999997E-2</v>
      </c>
      <c r="D14" s="792">
        <v>4.9689999999999984E-2</v>
      </c>
      <c r="E14" s="608">
        <v>-0.14118</v>
      </c>
      <c r="F14" s="610">
        <f t="shared" si="0"/>
        <v>-1.3519620342824761</v>
      </c>
      <c r="G14" s="608">
        <v>4.9689999999999984E-2</v>
      </c>
      <c r="H14" s="609">
        <v>-0.14118</v>
      </c>
      <c r="I14" s="610"/>
      <c r="J14" s="608"/>
      <c r="K14" s="610"/>
      <c r="L14" s="11"/>
    </row>
    <row r="15" spans="1:16" ht="12.75" customHeight="1">
      <c r="A15" s="379" t="s">
        <v>40</v>
      </c>
      <c r="B15" s="360">
        <f>+SUM(B10:B14)</f>
        <v>7698.9403400000001</v>
      </c>
      <c r="C15" s="360">
        <f t="shared" ref="C15:E15" si="1">+SUM(C10:C14)</f>
        <v>7745.8722599999983</v>
      </c>
      <c r="D15" s="360">
        <f>+SUM(D10:D14)</f>
        <v>7899.5078100000019</v>
      </c>
      <c r="E15" s="360">
        <f t="shared" si="1"/>
        <v>7761.9885999999988</v>
      </c>
      <c r="F15" s="404">
        <f t="shared" si="0"/>
        <v>1.7717007468937007E-2</v>
      </c>
      <c r="G15" s="401">
        <f>+SUM(G10:G14)</f>
        <v>7899.5078100000019</v>
      </c>
      <c r="H15" s="401">
        <f>+SUM(H10:H14)</f>
        <v>7761.9885999999988</v>
      </c>
      <c r="I15" s="404">
        <f>+IF(H15=0,"",G15/H15-1)</f>
        <v>1.7717007468937007E-2</v>
      </c>
      <c r="J15" s="359">
        <f t="shared" ref="J15" si="2">+SUM(J10:J13)</f>
        <v>7397.0539200000012</v>
      </c>
      <c r="K15" s="404">
        <f>+IF(J15=0,"",H15/J15-1)</f>
        <v>4.9335138549321034E-2</v>
      </c>
      <c r="L15" s="11"/>
    </row>
    <row r="16" spans="1:16" ht="6.75" customHeight="1">
      <c r="A16" s="380"/>
      <c r="B16" s="380"/>
      <c r="C16" s="380"/>
      <c r="D16" s="380"/>
      <c r="E16" s="380"/>
      <c r="F16" s="381"/>
      <c r="G16" s="380"/>
      <c r="H16" s="380"/>
      <c r="I16" s="381"/>
      <c r="J16" s="380"/>
      <c r="K16" s="381"/>
      <c r="L16" s="11"/>
      <c r="O16" s="750"/>
      <c r="P16" s="750"/>
    </row>
    <row r="17" spans="1:12" ht="12.75" customHeight="1">
      <c r="A17" s="382" t="s">
        <v>37</v>
      </c>
      <c r="B17" s="383">
        <v>0</v>
      </c>
      <c r="C17" s="384">
        <v>0</v>
      </c>
      <c r="D17" s="385">
        <v>0</v>
      </c>
      <c r="E17" s="383">
        <v>0</v>
      </c>
      <c r="F17" s="671">
        <f>+IF(E17=0,0,D17/E17-1)</f>
        <v>0</v>
      </c>
      <c r="G17" s="383">
        <v>0</v>
      </c>
      <c r="H17" s="384">
        <v>0</v>
      </c>
      <c r="I17" s="385">
        <f>+IF(H17=0,0,G17/H17-1)</f>
        <v>0</v>
      </c>
      <c r="J17" s="383">
        <v>0</v>
      </c>
      <c r="K17" s="386">
        <f>+IF(J17=0,0,H17/J17-1)</f>
        <v>0</v>
      </c>
      <c r="L17" s="12"/>
    </row>
    <row r="18" spans="1:12" ht="12.75" customHeight="1">
      <c r="A18" s="387" t="s">
        <v>38</v>
      </c>
      <c r="B18" s="388">
        <v>0</v>
      </c>
      <c r="C18" s="389">
        <v>0</v>
      </c>
      <c r="D18" s="390">
        <v>0</v>
      </c>
      <c r="E18" s="388">
        <v>0</v>
      </c>
      <c r="F18" s="672">
        <f>+IF(E18=0,0,D18/E18-1)</f>
        <v>0</v>
      </c>
      <c r="G18" s="388">
        <v>0</v>
      </c>
      <c r="H18" s="389">
        <v>0</v>
      </c>
      <c r="I18" s="390">
        <f>+IF(H18=0,0,G18/H18-1)</f>
        <v>0</v>
      </c>
      <c r="J18" s="388">
        <v>0</v>
      </c>
      <c r="K18" s="391">
        <f>+IF(J18=0,0,H18/J18-1)</f>
        <v>0</v>
      </c>
      <c r="L18" s="12"/>
    </row>
    <row r="19" spans="1:12" ht="24" customHeight="1">
      <c r="A19" s="392" t="s">
        <v>39</v>
      </c>
      <c r="B19" s="393">
        <f t="shared" ref="B19:I19" si="3">+B18-B17</f>
        <v>0</v>
      </c>
      <c r="C19" s="394">
        <f t="shared" si="3"/>
        <v>0</v>
      </c>
      <c r="D19" s="395">
        <f t="shared" si="3"/>
        <v>0</v>
      </c>
      <c r="E19" s="393">
        <f t="shared" si="3"/>
        <v>0</v>
      </c>
      <c r="F19" s="396">
        <f t="shared" si="3"/>
        <v>0</v>
      </c>
      <c r="G19" s="393">
        <f t="shared" si="3"/>
        <v>0</v>
      </c>
      <c r="H19" s="394">
        <f t="shared" si="3"/>
        <v>0</v>
      </c>
      <c r="I19" s="395">
        <f t="shared" si="3"/>
        <v>0</v>
      </c>
      <c r="J19" s="393">
        <v>0</v>
      </c>
      <c r="K19" s="396">
        <f>+IF(J19=0,0,H19/J19-1)</f>
        <v>0</v>
      </c>
      <c r="L19" s="12"/>
    </row>
    <row r="20" spans="1:12" ht="6" customHeight="1">
      <c r="A20" s="397"/>
      <c r="B20" s="397"/>
      <c r="C20" s="397"/>
      <c r="D20" s="397"/>
      <c r="E20" s="397"/>
      <c r="F20" s="398"/>
      <c r="G20" s="397"/>
      <c r="H20" s="397"/>
      <c r="I20" s="398"/>
      <c r="J20" s="397"/>
      <c r="K20" s="398"/>
      <c r="L20" s="12"/>
    </row>
    <row r="21" spans="1:12" ht="24" customHeight="1">
      <c r="A21" s="399" t="s">
        <v>196</v>
      </c>
      <c r="B21" s="630">
        <f>+B15-B19</f>
        <v>7698.9403400000001</v>
      </c>
      <c r="C21" s="629">
        <f t="shared" ref="C21" si="4">+C15-C19</f>
        <v>7745.8722599999983</v>
      </c>
      <c r="D21" s="629">
        <f>+D15-D19</f>
        <v>7899.5078100000019</v>
      </c>
      <c r="E21" s="400">
        <f>+E15-E19</f>
        <v>7761.9885999999988</v>
      </c>
      <c r="F21" s="361">
        <f>+IF(E21=0,"",D21/E21-1)</f>
        <v>1.7717007468937007E-2</v>
      </c>
      <c r="G21" s="400">
        <f>+G15-G19</f>
        <v>7899.5078100000019</v>
      </c>
      <c r="H21" s="400">
        <f>+H15-H19</f>
        <v>7761.9885999999988</v>
      </c>
      <c r="I21" s="361">
        <f>+IF(H21=0,"",G21/H21-1)</f>
        <v>1.7717007468937007E-2</v>
      </c>
      <c r="J21" s="400">
        <f>+J15-J19</f>
        <v>7397.0539200000012</v>
      </c>
      <c r="K21" s="361">
        <f>+IF(J21=0,"",H21/J21-1)</f>
        <v>4.9335138549321034E-2</v>
      </c>
      <c r="L21" s="12"/>
    </row>
    <row r="22" spans="1:12" ht="11.25" customHeight="1">
      <c r="A22" s="228" t="s">
        <v>312</v>
      </c>
      <c r="B22" s="130"/>
      <c r="C22" s="130"/>
      <c r="D22" s="130"/>
      <c r="E22" s="130"/>
      <c r="F22" s="130"/>
      <c r="G22" s="130"/>
      <c r="H22" s="130"/>
      <c r="I22" s="130"/>
      <c r="J22" s="130"/>
      <c r="K22" s="130"/>
      <c r="L22" s="13"/>
    </row>
    <row r="23" spans="1:12" ht="40.200000000000003" customHeight="1">
      <c r="A23" s="844" t="s">
        <v>544</v>
      </c>
      <c r="B23" s="844"/>
      <c r="C23" s="844"/>
      <c r="D23" s="844"/>
      <c r="E23" s="844"/>
      <c r="F23" s="844"/>
      <c r="G23" s="844"/>
      <c r="H23" s="844"/>
      <c r="I23" s="844"/>
      <c r="J23" s="844"/>
      <c r="K23" s="844"/>
      <c r="L23" s="12"/>
    </row>
    <row r="24" spans="1:12" ht="11.25" customHeight="1">
      <c r="A24" s="141"/>
      <c r="B24" s="141"/>
      <c r="C24" s="141"/>
      <c r="D24" s="141"/>
      <c r="E24" s="141"/>
      <c r="F24" s="141"/>
      <c r="G24" s="141"/>
      <c r="H24" s="141"/>
      <c r="I24" s="141"/>
      <c r="J24" s="141"/>
      <c r="K24" s="141"/>
      <c r="L24" s="12"/>
    </row>
    <row r="25" spans="1:12" ht="11.25" customHeight="1">
      <c r="A25" s="129"/>
      <c r="B25" s="129"/>
      <c r="C25" s="129"/>
      <c r="D25" s="129"/>
      <c r="E25" s="129"/>
      <c r="F25" s="129"/>
      <c r="G25" s="129"/>
      <c r="H25" s="129"/>
      <c r="I25" s="129"/>
      <c r="J25" s="129"/>
      <c r="K25" s="130"/>
      <c r="L25" s="12"/>
    </row>
    <row r="26" spans="1:12" ht="11.25" customHeight="1">
      <c r="A26" s="128"/>
      <c r="B26" s="130"/>
      <c r="C26" s="130"/>
      <c r="D26" s="130"/>
      <c r="E26" s="130"/>
      <c r="F26" s="130"/>
      <c r="G26" s="130"/>
      <c r="H26" s="130"/>
      <c r="I26" s="130"/>
      <c r="J26" s="130"/>
      <c r="K26" s="130"/>
      <c r="L26" s="13"/>
    </row>
    <row r="27" spans="1:12" ht="11.25" customHeight="1">
      <c r="A27" s="128"/>
      <c r="B27" s="130"/>
      <c r="C27" s="130"/>
      <c r="D27" s="130"/>
      <c r="E27" s="130"/>
      <c r="F27" s="130"/>
      <c r="G27" s="130"/>
      <c r="H27" s="130"/>
      <c r="I27" s="130"/>
      <c r="J27" s="130"/>
      <c r="K27" s="130"/>
      <c r="L27" s="12"/>
    </row>
    <row r="28" spans="1:12" ht="11.25" customHeight="1">
      <c r="A28" s="128"/>
      <c r="B28" s="130"/>
      <c r="C28" s="130"/>
      <c r="D28" s="130"/>
      <c r="E28" s="130"/>
      <c r="F28" s="130"/>
      <c r="G28" s="130"/>
      <c r="H28" s="130"/>
      <c r="I28" s="130"/>
      <c r="J28" s="130"/>
      <c r="K28" s="130"/>
      <c r="L28" s="12"/>
    </row>
    <row r="29" spans="1:12" ht="11.25" customHeight="1">
      <c r="A29" s="128"/>
      <c r="B29" s="130"/>
      <c r="C29" s="130"/>
      <c r="D29" s="130"/>
      <c r="E29" s="130"/>
      <c r="F29" s="130"/>
      <c r="G29" s="130"/>
      <c r="H29" s="130"/>
      <c r="I29" s="130"/>
      <c r="J29" s="130"/>
      <c r="K29" s="130"/>
      <c r="L29" s="12"/>
    </row>
    <row r="30" spans="1:12" ht="11.25" customHeight="1">
      <c r="A30" s="128"/>
      <c r="B30" s="130"/>
      <c r="C30" s="130"/>
      <c r="D30" s="130"/>
      <c r="E30" s="130"/>
      <c r="F30" s="130"/>
      <c r="G30" s="130"/>
      <c r="H30" s="130"/>
      <c r="I30" s="130"/>
      <c r="J30" s="130"/>
      <c r="K30" s="130"/>
      <c r="L30" s="12"/>
    </row>
    <row r="31" spans="1:12" ht="11.25" customHeight="1">
      <c r="A31" s="128"/>
      <c r="B31" s="130"/>
      <c r="C31" s="130"/>
      <c r="D31" s="130"/>
      <c r="E31" s="130"/>
      <c r="F31" s="130"/>
      <c r="G31" s="130"/>
      <c r="H31" s="130"/>
      <c r="I31" s="130"/>
      <c r="J31" s="130"/>
      <c r="K31" s="130"/>
      <c r="L31" s="12"/>
    </row>
    <row r="32" spans="1:12" ht="11.25" customHeight="1">
      <c r="A32" s="128"/>
      <c r="B32" s="130"/>
      <c r="C32" s="130"/>
      <c r="D32" s="130"/>
      <c r="E32" s="130"/>
      <c r="F32" s="130"/>
      <c r="G32" s="130"/>
      <c r="H32" s="130"/>
      <c r="I32" s="130"/>
      <c r="J32" s="130"/>
      <c r="K32" s="130"/>
      <c r="L32" s="12"/>
    </row>
    <row r="33" spans="1:12" ht="11.25" customHeight="1">
      <c r="A33" s="128"/>
      <c r="B33" s="130"/>
      <c r="C33" s="130"/>
      <c r="D33" s="130"/>
      <c r="E33" s="130"/>
      <c r="F33" s="130"/>
      <c r="G33" s="130"/>
      <c r="H33" s="130"/>
      <c r="I33" s="130"/>
      <c r="J33" s="130"/>
      <c r="K33" s="130"/>
      <c r="L33" s="12"/>
    </row>
    <row r="34" spans="1:12" ht="11.25" customHeight="1">
      <c r="A34" s="128"/>
      <c r="B34" s="130"/>
      <c r="C34" s="130"/>
      <c r="D34" s="130"/>
      <c r="E34" s="130"/>
      <c r="F34" s="130"/>
      <c r="G34" s="130"/>
      <c r="H34" s="130"/>
      <c r="I34" s="130"/>
      <c r="J34" s="130"/>
      <c r="K34" s="130"/>
      <c r="L34" s="12"/>
    </row>
    <row r="35" spans="1:12" ht="11.25" customHeight="1">
      <c r="A35" s="128"/>
      <c r="B35" s="130"/>
      <c r="C35" s="130"/>
      <c r="D35" s="130"/>
      <c r="E35" s="130"/>
      <c r="F35" s="130"/>
      <c r="G35" s="130"/>
      <c r="H35" s="130"/>
      <c r="I35" s="130"/>
      <c r="J35" s="130"/>
      <c r="K35" s="130"/>
      <c r="L35" s="12"/>
    </row>
    <row r="36" spans="1:12" ht="11.25" customHeight="1">
      <c r="A36" s="128"/>
      <c r="B36" s="130"/>
      <c r="C36" s="130"/>
      <c r="D36" s="130"/>
      <c r="E36" s="130"/>
      <c r="F36" s="130"/>
      <c r="G36" s="130"/>
      <c r="H36" s="130"/>
      <c r="I36" s="130"/>
      <c r="J36" s="130"/>
      <c r="K36" s="130"/>
      <c r="L36" s="12"/>
    </row>
    <row r="37" spans="1:12" ht="11.25" customHeight="1">
      <c r="A37" s="128"/>
      <c r="B37" s="130"/>
      <c r="C37" s="130"/>
      <c r="D37" s="130"/>
      <c r="E37" s="130"/>
      <c r="F37" s="130"/>
      <c r="G37" s="130"/>
      <c r="H37" s="130"/>
      <c r="I37" s="130"/>
      <c r="J37" s="130"/>
      <c r="K37" s="130"/>
      <c r="L37" s="12"/>
    </row>
    <row r="38" spans="1:12" ht="11.25" customHeight="1">
      <c r="A38" s="128"/>
      <c r="B38" s="130"/>
      <c r="C38" s="130"/>
      <c r="D38" s="130"/>
      <c r="E38" s="130"/>
      <c r="F38" s="130"/>
      <c r="G38" s="130"/>
      <c r="H38" s="130"/>
      <c r="I38" s="130"/>
      <c r="J38" s="130"/>
      <c r="K38" s="130"/>
      <c r="L38" s="12"/>
    </row>
    <row r="39" spans="1:12" ht="11.25" customHeight="1">
      <c r="A39" s="128"/>
      <c r="B39" s="130"/>
      <c r="C39" s="130"/>
      <c r="D39" s="130"/>
      <c r="E39" s="130"/>
      <c r="F39" s="130"/>
      <c r="G39" s="130"/>
      <c r="H39" s="130"/>
      <c r="I39" s="130"/>
      <c r="J39" s="130"/>
      <c r="K39" s="130"/>
      <c r="L39" s="12"/>
    </row>
    <row r="40" spans="1:12" ht="11.25" customHeight="1">
      <c r="A40" s="128"/>
      <c r="B40" s="130"/>
      <c r="C40" s="130"/>
      <c r="D40" s="130"/>
      <c r="E40" s="130"/>
      <c r="F40" s="130"/>
      <c r="G40" s="130"/>
      <c r="H40" s="130"/>
      <c r="I40" s="130"/>
      <c r="J40" s="130"/>
      <c r="K40" s="130"/>
      <c r="L40" s="12"/>
    </row>
    <row r="41" spans="1:12" ht="11.25" customHeight="1">
      <c r="A41" s="128"/>
      <c r="B41" s="130"/>
      <c r="C41" s="130"/>
      <c r="D41" s="130"/>
      <c r="E41" s="130"/>
      <c r="F41" s="130"/>
      <c r="G41" s="130"/>
      <c r="H41" s="130"/>
      <c r="I41" s="130"/>
      <c r="J41" s="130"/>
      <c r="K41" s="130"/>
      <c r="L41" s="12"/>
    </row>
    <row r="42" spans="1:12" ht="11.25" customHeight="1">
      <c r="A42" s="128"/>
      <c r="B42" s="130"/>
      <c r="C42" s="130"/>
      <c r="D42" s="130"/>
      <c r="E42" s="130"/>
      <c r="F42" s="130"/>
      <c r="G42" s="130"/>
      <c r="H42" s="130"/>
      <c r="I42" s="130"/>
      <c r="J42" s="130"/>
      <c r="K42" s="130"/>
      <c r="L42" s="12"/>
    </row>
    <row r="43" spans="1:12" ht="11.25" customHeight="1">
      <c r="A43" s="128"/>
      <c r="B43" s="130"/>
      <c r="C43" s="130"/>
      <c r="D43" s="130"/>
      <c r="E43" s="130"/>
      <c r="F43" s="130"/>
      <c r="G43" s="130"/>
      <c r="H43" s="130"/>
      <c r="I43" s="130"/>
      <c r="J43" s="130"/>
      <c r="K43" s="130"/>
      <c r="L43" s="12"/>
    </row>
    <row r="44" spans="1:12" ht="11.25" customHeight="1">
      <c r="A44" s="128"/>
      <c r="B44" s="130"/>
      <c r="C44" s="130"/>
      <c r="D44" s="130"/>
      <c r="E44" s="130"/>
      <c r="F44" s="130"/>
      <c r="G44" s="130"/>
      <c r="H44" s="130"/>
      <c r="I44" s="130"/>
      <c r="J44" s="130"/>
      <c r="K44" s="130"/>
      <c r="L44" s="12"/>
    </row>
    <row r="45" spans="1:12" ht="11.25" customHeight="1">
      <c r="A45" s="128"/>
      <c r="B45" s="130"/>
      <c r="C45" s="130"/>
      <c r="D45" s="130"/>
      <c r="E45" s="130"/>
      <c r="F45" s="130"/>
      <c r="G45" s="130"/>
      <c r="H45" s="130"/>
      <c r="I45" s="130"/>
      <c r="J45" s="130"/>
      <c r="K45" s="130"/>
      <c r="L45" s="12"/>
    </row>
    <row r="46" spans="1:12" ht="11.25" customHeight="1">
      <c r="A46" s="128"/>
      <c r="B46" s="130"/>
      <c r="C46" s="130"/>
      <c r="D46" s="130"/>
      <c r="E46" s="130"/>
      <c r="F46" s="130"/>
      <c r="G46" s="130"/>
      <c r="H46" s="130"/>
      <c r="I46" s="130"/>
      <c r="J46" s="130"/>
      <c r="K46" s="130"/>
      <c r="L46" s="12"/>
    </row>
    <row r="47" spans="1:12" ht="11.25" customHeight="1">
      <c r="A47" s="128"/>
      <c r="B47" s="130"/>
      <c r="C47" s="130"/>
      <c r="D47" s="130"/>
      <c r="E47" s="130"/>
      <c r="F47" s="130"/>
      <c r="G47" s="130"/>
      <c r="H47" s="130"/>
      <c r="I47" s="130"/>
      <c r="J47" s="130"/>
      <c r="K47" s="130"/>
      <c r="L47" s="33"/>
    </row>
    <row r="48" spans="1:12" ht="11.25" customHeight="1">
      <c r="A48" s="128"/>
      <c r="B48" s="130"/>
      <c r="C48" s="130"/>
      <c r="D48" s="130"/>
      <c r="E48" s="130"/>
      <c r="F48" s="130"/>
      <c r="G48" s="130"/>
      <c r="H48" s="130"/>
      <c r="I48" s="130"/>
      <c r="J48" s="130"/>
      <c r="K48" s="130"/>
      <c r="L48" s="12"/>
    </row>
    <row r="49" spans="1:12" ht="11.25" customHeight="1">
      <c r="A49" s="128"/>
      <c r="B49" s="130"/>
      <c r="C49" s="130"/>
      <c r="D49" s="130"/>
      <c r="E49" s="130"/>
      <c r="F49" s="130"/>
      <c r="G49" s="130"/>
      <c r="H49" s="130"/>
      <c r="I49" s="130"/>
      <c r="J49" s="130"/>
      <c r="K49" s="130"/>
      <c r="L49" s="12"/>
    </row>
    <row r="50" spans="1:12" ht="11.25" customHeight="1">
      <c r="A50" s="128"/>
      <c r="B50" s="130"/>
      <c r="C50" s="130"/>
      <c r="D50" s="130"/>
      <c r="E50" s="130"/>
      <c r="F50" s="130"/>
      <c r="G50" s="130"/>
      <c r="H50" s="130"/>
      <c r="I50" s="130"/>
      <c r="J50" s="130"/>
      <c r="K50" s="130"/>
      <c r="L50" s="12"/>
    </row>
    <row r="51" spans="1:12" ht="11.25" customHeight="1">
      <c r="A51" s="128"/>
      <c r="B51" s="130"/>
      <c r="C51" s="130"/>
      <c r="D51" s="130"/>
      <c r="E51" s="130"/>
      <c r="F51" s="130"/>
      <c r="G51" s="130"/>
      <c r="H51" s="130"/>
      <c r="I51" s="130"/>
      <c r="J51" s="130"/>
      <c r="K51" s="130"/>
      <c r="L51" s="12"/>
    </row>
    <row r="52" spans="1:12" ht="11.25" customHeight="1">
      <c r="A52" s="128"/>
      <c r="B52" s="130"/>
      <c r="C52" s="130"/>
      <c r="D52" s="130"/>
      <c r="E52" s="130"/>
      <c r="F52" s="130"/>
      <c r="G52" s="130"/>
      <c r="H52" s="130"/>
      <c r="I52" s="130"/>
      <c r="J52" s="130"/>
      <c r="K52" s="130"/>
      <c r="L52" s="12"/>
    </row>
    <row r="53" spans="1:12" ht="11.25" customHeight="1">
      <c r="A53" s="142"/>
      <c r="B53" s="142"/>
      <c r="C53" s="142"/>
      <c r="D53" s="142"/>
      <c r="E53" s="142"/>
      <c r="F53" s="142"/>
      <c r="G53" s="142"/>
      <c r="H53" s="142"/>
      <c r="I53" s="142"/>
      <c r="J53" s="142"/>
      <c r="K53" s="142"/>
      <c r="L53" s="12"/>
    </row>
    <row r="54" spans="1:12" ht="11.25" customHeight="1">
      <c r="L54" s="8"/>
    </row>
    <row r="55" spans="1:12" ht="11.25" customHeight="1">
      <c r="A55" s="143"/>
      <c r="B55" s="130"/>
      <c r="C55" s="130"/>
      <c r="D55" s="130"/>
      <c r="E55" s="130"/>
      <c r="F55" s="130"/>
      <c r="G55" s="130"/>
      <c r="H55" s="130"/>
      <c r="I55" s="130"/>
      <c r="J55" s="130"/>
      <c r="K55" s="130"/>
      <c r="L55" s="8"/>
    </row>
    <row r="56" spans="1:12" ht="11.25" customHeight="1">
      <c r="A56" s="143"/>
      <c r="B56" s="144"/>
      <c r="C56" s="144"/>
      <c r="D56" s="144"/>
      <c r="E56" s="144"/>
      <c r="F56" s="144"/>
      <c r="G56" s="130"/>
      <c r="H56" s="130"/>
      <c r="I56" s="130"/>
      <c r="J56" s="130"/>
      <c r="K56" s="130"/>
      <c r="L56" s="8"/>
    </row>
    <row r="57" spans="1:12" ht="11.25" customHeight="1">
      <c r="A57" s="124"/>
      <c r="B57" s="145"/>
      <c r="C57" s="145"/>
      <c r="D57" s="146"/>
      <c r="E57" s="146"/>
      <c r="F57" s="146"/>
      <c r="G57" s="130"/>
      <c r="H57" s="130"/>
      <c r="I57" s="130"/>
      <c r="J57" s="130"/>
      <c r="K57" s="130"/>
      <c r="L57" s="8"/>
    </row>
    <row r="58" spans="1:12" ht="11.25" customHeight="1">
      <c r="L58" s="8"/>
    </row>
    <row r="59" spans="1:12" ht="11.4">
      <c r="A59" s="845" t="str">
        <f>"Gráfico N° 11: Comparación de la máxima potencia coincidente (MW) anual por tipo de generación en el SEIN."</f>
        <v>Gráfico N° 11: Comparación de la máxima potencia coincidente (MW) anual por tipo de generación en el SEIN.</v>
      </c>
      <c r="B59" s="845"/>
      <c r="C59" s="845"/>
      <c r="D59" s="845"/>
      <c r="E59" s="845"/>
      <c r="F59" s="845"/>
      <c r="G59" s="845"/>
      <c r="H59" s="845"/>
      <c r="I59" s="845"/>
      <c r="J59" s="845"/>
      <c r="K59" s="845"/>
      <c r="L59" s="8"/>
    </row>
    <row r="60" spans="1:12" ht="11.4">
      <c r="A60" s="124"/>
      <c r="B60" s="145"/>
      <c r="C60" s="145"/>
      <c r="D60" s="146"/>
      <c r="E60" s="146"/>
      <c r="F60" s="146"/>
      <c r="G60" s="130"/>
      <c r="H60" s="130"/>
      <c r="I60" s="130"/>
      <c r="J60" s="130"/>
      <c r="K60" s="130"/>
      <c r="L60" s="8"/>
    </row>
    <row r="61" spans="1:12" ht="11.4">
      <c r="A61" s="124"/>
      <c r="B61" s="145"/>
      <c r="C61" s="145"/>
      <c r="D61" s="146"/>
      <c r="E61" s="146"/>
      <c r="F61" s="146"/>
      <c r="G61" s="130"/>
      <c r="H61" s="130"/>
      <c r="I61" s="130"/>
      <c r="J61" s="130"/>
      <c r="K61" s="130"/>
      <c r="L61" s="8"/>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9"/>
  <sheetViews>
    <sheetView showGridLines="0" view="pageBreakPreview" zoomScale="115" zoomScaleNormal="100" zoomScaleSheetLayoutView="115" zoomScalePageLayoutView="120" workbookViewId="0">
      <selection activeCell="B7" sqref="B7"/>
    </sheetView>
  </sheetViews>
  <sheetFormatPr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54" customWidth="1"/>
    <col min="14" max="15" width="9.28515625" style="241"/>
    <col min="16" max="16" width="9.28515625" style="452"/>
  </cols>
  <sheetData>
    <row r="1" spans="1:16" ht="25.5" customHeight="1">
      <c r="A1" s="856" t="s">
        <v>200</v>
      </c>
      <c r="B1" s="856"/>
      <c r="C1" s="856"/>
      <c r="D1" s="856"/>
      <c r="E1" s="856"/>
      <c r="F1" s="856"/>
      <c r="G1" s="856"/>
      <c r="H1" s="856"/>
      <c r="I1" s="856"/>
      <c r="J1" s="856"/>
      <c r="K1" s="856"/>
    </row>
    <row r="2" spans="1:16" ht="11.25" customHeight="1">
      <c r="A2" s="857" t="s">
        <v>115</v>
      </c>
      <c r="B2" s="859" t="str">
        <f>+'1. Resumen'!Q4</f>
        <v>febrero</v>
      </c>
      <c r="C2" s="860"/>
      <c r="D2" s="861"/>
      <c r="E2" s="130"/>
      <c r="F2" s="130"/>
      <c r="G2" s="130"/>
      <c r="H2" s="862" t="s">
        <v>754</v>
      </c>
      <c r="I2" s="862"/>
      <c r="J2" s="862"/>
      <c r="K2" s="130"/>
      <c r="L2" s="559"/>
      <c r="M2" s="762"/>
    </row>
    <row r="3" spans="1:16" ht="11.25" customHeight="1">
      <c r="A3" s="857"/>
      <c r="B3" s="742">
        <v>2025</v>
      </c>
      <c r="C3" s="741">
        <v>2024</v>
      </c>
      <c r="D3" s="861" t="s">
        <v>33</v>
      </c>
      <c r="E3" s="130"/>
      <c r="F3" s="130"/>
      <c r="G3" s="130"/>
      <c r="H3" s="130"/>
      <c r="I3" s="130"/>
      <c r="J3" s="130"/>
      <c r="K3" s="130"/>
      <c r="L3" s="425"/>
      <c r="M3" s="763"/>
    </row>
    <row r="4" spans="1:16" ht="11.25" customHeight="1">
      <c r="A4" s="857"/>
      <c r="B4" s="743">
        <f>+'8. Max Potencia'!D8</f>
        <v>45713.8125</v>
      </c>
      <c r="C4" s="743">
        <f>+'8. Max Potencia'!E8</f>
        <v>45329.854166666664</v>
      </c>
      <c r="D4" s="861"/>
      <c r="E4" s="130"/>
      <c r="F4" s="130"/>
      <c r="G4" s="130"/>
      <c r="H4" s="130"/>
      <c r="I4" s="130"/>
      <c r="J4" s="130"/>
      <c r="K4" s="130"/>
      <c r="L4" s="425"/>
      <c r="M4" s="764"/>
    </row>
    <row r="5" spans="1:16" ht="11.25" customHeight="1" thickBot="1">
      <c r="A5" s="858"/>
      <c r="B5" s="744">
        <f>+'8. Max Potencia'!D9</f>
        <v>45713.8125</v>
      </c>
      <c r="C5" s="744">
        <f>+'8. Max Potencia'!E9</f>
        <v>45329.854166666664</v>
      </c>
      <c r="D5" s="863"/>
      <c r="E5" s="130"/>
      <c r="F5" s="130"/>
      <c r="G5" s="130"/>
      <c r="H5" s="130"/>
      <c r="I5" s="130"/>
      <c r="J5" s="130"/>
      <c r="K5" s="130"/>
      <c r="M5" s="763" t="s">
        <v>199</v>
      </c>
      <c r="N5" s="454">
        <v>2025</v>
      </c>
      <c r="O5" s="454">
        <v>2024</v>
      </c>
    </row>
    <row r="6" spans="1:16" ht="9" customHeight="1">
      <c r="A6" s="501" t="s">
        <v>317</v>
      </c>
      <c r="B6" s="586">
        <v>1716.9239500000001</v>
      </c>
      <c r="C6" s="586">
        <v>1668.1664699999999</v>
      </c>
      <c r="D6" s="502">
        <f>IF(C6=0,"",B6/C6-1)</f>
        <v>2.9228186081452723E-2</v>
      </c>
      <c r="E6" s="130"/>
      <c r="F6" s="130"/>
      <c r="G6" s="130"/>
      <c r="H6" s="130"/>
      <c r="I6" s="130"/>
      <c r="J6" s="130"/>
      <c r="K6" s="130"/>
      <c r="L6" s="555"/>
      <c r="M6" s="760" t="s">
        <v>707</v>
      </c>
      <c r="N6" s="765"/>
      <c r="O6" s="765">
        <v>1.82507</v>
      </c>
      <c r="P6" s="761"/>
    </row>
    <row r="7" spans="1:16" ht="9" customHeight="1">
      <c r="A7" s="503" t="s">
        <v>563</v>
      </c>
      <c r="B7" s="587">
        <v>885.6635</v>
      </c>
      <c r="C7" s="587">
        <v>0</v>
      </c>
      <c r="D7" s="504" t="str">
        <f t="shared" ref="D7:D70" si="0">IF(C7=0,"",B7/C7-1)</f>
        <v/>
      </c>
      <c r="E7" s="130"/>
      <c r="F7" s="130"/>
      <c r="G7" s="130"/>
      <c r="H7" s="130"/>
      <c r="I7" s="130"/>
      <c r="J7" s="130"/>
      <c r="K7" s="130"/>
      <c r="L7" s="556"/>
      <c r="M7" s="760" t="s">
        <v>83</v>
      </c>
      <c r="N7" s="764"/>
      <c r="O7" s="764">
        <v>1120.55</v>
      </c>
      <c r="P7" s="761"/>
    </row>
    <row r="8" spans="1:16" ht="9" customHeight="1">
      <c r="A8" s="505" t="s">
        <v>84</v>
      </c>
      <c r="B8" s="588">
        <v>864.03710999999998</v>
      </c>
      <c r="C8" s="588">
        <v>796.80295000000001</v>
      </c>
      <c r="D8" s="506">
        <f t="shared" si="0"/>
        <v>8.4379908483019461E-2</v>
      </c>
      <c r="E8" s="273"/>
      <c r="F8" s="130"/>
      <c r="G8" s="130"/>
      <c r="H8" s="130"/>
      <c r="I8" s="130"/>
      <c r="J8" s="130"/>
      <c r="K8" s="130"/>
      <c r="M8" s="760" t="s">
        <v>1016</v>
      </c>
      <c r="N8" s="765">
        <v>0</v>
      </c>
      <c r="O8" s="765"/>
      <c r="P8" s="761"/>
    </row>
    <row r="9" spans="1:16" ht="9" customHeight="1">
      <c r="A9" s="503" t="s">
        <v>82</v>
      </c>
      <c r="B9" s="587">
        <v>828.90970000000004</v>
      </c>
      <c r="C9" s="587">
        <v>718.61968999999999</v>
      </c>
      <c r="D9" s="504">
        <f t="shared" si="0"/>
        <v>0.15347479554867194</v>
      </c>
      <c r="E9" s="130"/>
      <c r="F9" s="130"/>
      <c r="G9" s="130"/>
      <c r="H9" s="130"/>
      <c r="I9" s="130"/>
      <c r="J9" s="130"/>
      <c r="K9" s="130"/>
      <c r="M9" s="760" t="s">
        <v>560</v>
      </c>
      <c r="N9" s="764">
        <v>0</v>
      </c>
      <c r="O9" s="764"/>
      <c r="P9" s="761"/>
    </row>
    <row r="10" spans="1:16" ht="9" customHeight="1">
      <c r="A10" s="505" t="s">
        <v>188</v>
      </c>
      <c r="B10" s="588">
        <v>522.68199000000004</v>
      </c>
      <c r="C10" s="588">
        <v>544.47199000000001</v>
      </c>
      <c r="D10" s="506">
        <f t="shared" si="0"/>
        <v>-4.0020424191150705E-2</v>
      </c>
      <c r="E10" s="130"/>
      <c r="F10" s="130"/>
      <c r="G10" s="130"/>
      <c r="H10" s="130"/>
      <c r="I10" s="130"/>
      <c r="J10" s="130"/>
      <c r="K10" s="130"/>
      <c r="M10" s="760" t="s">
        <v>398</v>
      </c>
      <c r="N10" s="764">
        <v>0</v>
      </c>
      <c r="O10" s="764">
        <v>0</v>
      </c>
      <c r="P10" s="761"/>
    </row>
    <row r="11" spans="1:16" ht="9" customHeight="1">
      <c r="A11" s="503" t="s">
        <v>186</v>
      </c>
      <c r="B11" s="587">
        <v>460.59131000000002</v>
      </c>
      <c r="C11" s="587">
        <v>391.08431999999999</v>
      </c>
      <c r="D11" s="504">
        <f t="shared" si="0"/>
        <v>0.17772891022580506</v>
      </c>
      <c r="E11" s="130"/>
      <c r="F11" s="130"/>
      <c r="G11" s="130"/>
      <c r="H11" s="130"/>
      <c r="I11" s="130"/>
      <c r="J11" s="130"/>
      <c r="K11" s="130"/>
      <c r="L11" s="555"/>
      <c r="M11" s="760" t="s">
        <v>383</v>
      </c>
      <c r="N11" s="764">
        <v>0</v>
      </c>
      <c r="O11" s="764">
        <v>0</v>
      </c>
      <c r="P11" s="761"/>
    </row>
    <row r="12" spans="1:16" ht="9" customHeight="1">
      <c r="A12" s="505" t="s">
        <v>85</v>
      </c>
      <c r="B12" s="588">
        <v>369.71732000000003</v>
      </c>
      <c r="C12" s="588">
        <v>404.05772000000002</v>
      </c>
      <c r="D12" s="506">
        <f t="shared" si="0"/>
        <v>-8.4988847632956999E-2</v>
      </c>
      <c r="E12" s="130"/>
      <c r="F12" s="130"/>
      <c r="G12" s="130"/>
      <c r="H12" s="130"/>
      <c r="I12" s="130"/>
      <c r="J12" s="130"/>
      <c r="K12" s="130"/>
      <c r="L12" s="556"/>
      <c r="M12" s="760" t="s">
        <v>364</v>
      </c>
      <c r="N12" s="764">
        <v>0</v>
      </c>
      <c r="O12" s="764">
        <v>0.72951999999999995</v>
      </c>
      <c r="P12" s="761"/>
    </row>
    <row r="13" spans="1:16" ht="9" customHeight="1">
      <c r="A13" s="503" t="s">
        <v>190</v>
      </c>
      <c r="B13" s="587">
        <v>327.72549999999995</v>
      </c>
      <c r="C13" s="587">
        <v>339.97346999999996</v>
      </c>
      <c r="D13" s="504">
        <f t="shared" si="0"/>
        <v>-3.6026252283744453E-2</v>
      </c>
      <c r="E13" s="130"/>
      <c r="F13" s="130"/>
      <c r="G13" s="130"/>
      <c r="H13" s="130"/>
      <c r="I13" s="130"/>
      <c r="J13" s="130"/>
      <c r="K13" s="130"/>
      <c r="L13" s="556"/>
      <c r="M13" s="760" t="s">
        <v>363</v>
      </c>
      <c r="N13" s="765">
        <v>0</v>
      </c>
      <c r="O13" s="765">
        <v>11.21918</v>
      </c>
      <c r="P13" s="761"/>
    </row>
    <row r="14" spans="1:16" ht="9" customHeight="1">
      <c r="A14" s="505" t="s">
        <v>94</v>
      </c>
      <c r="B14" s="588">
        <v>216.39893000000001</v>
      </c>
      <c r="C14" s="588">
        <v>185.62200000000001</v>
      </c>
      <c r="D14" s="506">
        <f t="shared" si="0"/>
        <v>0.16580432276346557</v>
      </c>
      <c r="E14" s="130"/>
      <c r="F14" s="130"/>
      <c r="G14" s="130"/>
      <c r="H14" s="130"/>
      <c r="I14" s="130"/>
      <c r="J14" s="130"/>
      <c r="K14" s="130"/>
      <c r="L14" s="556"/>
      <c r="M14" s="760" t="s">
        <v>361</v>
      </c>
      <c r="N14" s="764">
        <v>0</v>
      </c>
      <c r="O14" s="764">
        <v>0</v>
      </c>
      <c r="P14" s="761"/>
    </row>
    <row r="15" spans="1:16" ht="9" customHeight="1">
      <c r="A15" s="503" t="s">
        <v>88</v>
      </c>
      <c r="B15" s="587">
        <v>192.71899999999999</v>
      </c>
      <c r="C15" s="587">
        <v>191.31299999999999</v>
      </c>
      <c r="D15" s="504">
        <f t="shared" si="0"/>
        <v>7.3492130696817259E-3</v>
      </c>
      <c r="E15" s="130"/>
      <c r="F15" s="130"/>
      <c r="G15" s="130"/>
      <c r="H15" s="130"/>
      <c r="I15" s="130"/>
      <c r="J15" s="130"/>
      <c r="K15" s="130"/>
      <c r="L15" s="556"/>
      <c r="M15" s="760" t="s">
        <v>360</v>
      </c>
      <c r="N15" s="764">
        <v>0</v>
      </c>
      <c r="O15" s="764">
        <v>0</v>
      </c>
      <c r="P15" s="761"/>
    </row>
    <row r="16" spans="1:16" ht="9" customHeight="1">
      <c r="A16" s="505" t="s">
        <v>87</v>
      </c>
      <c r="B16" s="588">
        <v>164.76600000000002</v>
      </c>
      <c r="C16" s="588">
        <v>167.279</v>
      </c>
      <c r="D16" s="506">
        <f t="shared" si="0"/>
        <v>-1.5022806209984418E-2</v>
      </c>
      <c r="E16" s="130"/>
      <c r="F16" s="130"/>
      <c r="G16" s="130"/>
      <c r="H16" s="130"/>
      <c r="I16" s="130"/>
      <c r="J16" s="130"/>
      <c r="K16" s="130"/>
      <c r="L16" s="556"/>
      <c r="M16" s="760" t="s">
        <v>355</v>
      </c>
      <c r="N16" s="764">
        <v>0</v>
      </c>
      <c r="O16" s="764">
        <v>19.772790000000001</v>
      </c>
      <c r="P16" s="761"/>
    </row>
    <row r="17" spans="1:16" ht="9" customHeight="1">
      <c r="A17" s="503" t="s">
        <v>86</v>
      </c>
      <c r="B17" s="587">
        <v>156.19240999999997</v>
      </c>
      <c r="C17" s="587">
        <v>64.243679999999998</v>
      </c>
      <c r="D17" s="504">
        <f t="shared" si="0"/>
        <v>1.431249424067861</v>
      </c>
      <c r="E17" s="130"/>
      <c r="F17" s="130"/>
      <c r="G17" s="130"/>
      <c r="H17" s="130"/>
      <c r="I17" s="130"/>
      <c r="J17" s="130"/>
      <c r="K17" s="130"/>
      <c r="L17" s="556"/>
      <c r="M17" s="760" t="s">
        <v>103</v>
      </c>
      <c r="N17" s="765">
        <v>0</v>
      </c>
      <c r="O17" s="765">
        <v>0</v>
      </c>
      <c r="P17" s="761"/>
    </row>
    <row r="18" spans="1:16" ht="9" customHeight="1">
      <c r="A18" s="505" t="s">
        <v>89</v>
      </c>
      <c r="B18" s="588">
        <v>132.6592</v>
      </c>
      <c r="C18" s="588">
        <v>222.90008</v>
      </c>
      <c r="D18" s="506">
        <f t="shared" si="0"/>
        <v>-0.40484902472892792</v>
      </c>
      <c r="E18" s="130"/>
      <c r="F18" s="130"/>
      <c r="G18" s="130"/>
      <c r="H18" s="130"/>
      <c r="I18" s="130"/>
      <c r="J18" s="130"/>
      <c r="K18" s="130"/>
      <c r="L18" s="556"/>
      <c r="M18" s="760" t="s">
        <v>111</v>
      </c>
      <c r="N18" s="765">
        <v>0</v>
      </c>
      <c r="O18" s="765">
        <v>0</v>
      </c>
      <c r="P18" s="761"/>
    </row>
    <row r="19" spans="1:16" ht="9" customHeight="1">
      <c r="A19" s="503" t="s">
        <v>90</v>
      </c>
      <c r="B19" s="587">
        <v>110.85192000000001</v>
      </c>
      <c r="C19" s="587">
        <v>110.73872</v>
      </c>
      <c r="D19" s="504">
        <f t="shared" si="0"/>
        <v>1.0222260109202796E-3</v>
      </c>
      <c r="E19" s="130"/>
      <c r="F19" s="130"/>
      <c r="G19" s="130"/>
      <c r="H19" s="130"/>
      <c r="I19" s="130"/>
      <c r="J19" s="130"/>
      <c r="K19" s="130"/>
      <c r="L19" s="557"/>
      <c r="M19" s="760" t="s">
        <v>193</v>
      </c>
      <c r="N19" s="764">
        <v>0</v>
      </c>
      <c r="O19" s="764">
        <v>0</v>
      </c>
      <c r="P19" s="761"/>
    </row>
    <row r="20" spans="1:16" ht="9" customHeight="1">
      <c r="A20" s="505" t="s">
        <v>187</v>
      </c>
      <c r="B20" s="588">
        <v>94.32638</v>
      </c>
      <c r="C20" s="588">
        <v>81.850880000000004</v>
      </c>
      <c r="D20" s="506">
        <f t="shared" si="0"/>
        <v>0.1524174205579707</v>
      </c>
      <c r="E20" s="130"/>
      <c r="F20" s="130"/>
      <c r="G20" s="130"/>
      <c r="H20" s="130"/>
      <c r="I20" s="130"/>
      <c r="J20" s="130"/>
      <c r="K20" s="130"/>
      <c r="L20" s="556"/>
      <c r="M20" s="760" t="s">
        <v>192</v>
      </c>
      <c r="N20" s="764">
        <v>0</v>
      </c>
      <c r="O20" s="764">
        <v>0</v>
      </c>
      <c r="P20" s="761"/>
    </row>
    <row r="21" spans="1:16" ht="9" customHeight="1">
      <c r="A21" s="503" t="s">
        <v>330</v>
      </c>
      <c r="B21" s="587">
        <v>90.838999999999999</v>
      </c>
      <c r="C21" s="587">
        <v>51.949440000000003</v>
      </c>
      <c r="D21" s="504">
        <f t="shared" si="0"/>
        <v>0.74860402730039044</v>
      </c>
      <c r="E21" s="130"/>
      <c r="F21" s="130"/>
      <c r="G21" s="130"/>
      <c r="H21" s="130"/>
      <c r="I21" s="130"/>
      <c r="J21" s="130"/>
      <c r="K21" s="130"/>
      <c r="L21" s="556"/>
      <c r="M21" s="760" t="s">
        <v>101</v>
      </c>
      <c r="N21" s="765">
        <v>0</v>
      </c>
      <c r="O21" s="765">
        <v>0</v>
      </c>
      <c r="P21" s="761"/>
    </row>
    <row r="22" spans="1:16" ht="9" customHeight="1">
      <c r="A22" s="505" t="s">
        <v>369</v>
      </c>
      <c r="B22" s="588">
        <v>81.978000000000009</v>
      </c>
      <c r="C22" s="588">
        <v>81.448999999999998</v>
      </c>
      <c r="D22" s="506">
        <f t="shared" si="0"/>
        <v>6.4948618153692905E-3</v>
      </c>
      <c r="E22" s="130"/>
      <c r="F22" s="130"/>
      <c r="G22" s="130"/>
      <c r="H22" s="130"/>
      <c r="I22" s="130"/>
      <c r="J22" s="130"/>
      <c r="K22" s="130"/>
      <c r="L22" s="556"/>
      <c r="M22" s="760" t="s">
        <v>104</v>
      </c>
      <c r="N22" s="764">
        <v>0</v>
      </c>
      <c r="O22" s="764">
        <v>0</v>
      </c>
      <c r="P22" s="761"/>
    </row>
    <row r="23" spans="1:16" ht="9" customHeight="1">
      <c r="A23" s="503" t="s">
        <v>365</v>
      </c>
      <c r="B23" s="587">
        <v>72.617239999999995</v>
      </c>
      <c r="C23" s="587">
        <v>73.030670000000001</v>
      </c>
      <c r="D23" s="504">
        <f t="shared" si="0"/>
        <v>-5.6610462426266439E-3</v>
      </c>
      <c r="E23" s="130"/>
      <c r="F23" s="130"/>
      <c r="G23" s="130"/>
      <c r="H23" s="130"/>
      <c r="I23" s="130"/>
      <c r="J23" s="130"/>
      <c r="K23" s="130"/>
      <c r="L23" s="557"/>
      <c r="M23" s="760" t="s">
        <v>110</v>
      </c>
      <c r="N23" s="764">
        <v>0</v>
      </c>
      <c r="O23" s="764">
        <v>0</v>
      </c>
      <c r="P23" s="761"/>
    </row>
    <row r="24" spans="1:16" ht="9" customHeight="1">
      <c r="A24" s="505" t="s">
        <v>394</v>
      </c>
      <c r="B24" s="588">
        <v>65.253</v>
      </c>
      <c r="C24" s="588">
        <v>23.254999999999999</v>
      </c>
      <c r="D24" s="506">
        <f t="shared" si="0"/>
        <v>1.8059772092023221</v>
      </c>
      <c r="E24" s="130"/>
      <c r="F24" s="130"/>
      <c r="G24" s="130"/>
      <c r="H24" s="130"/>
      <c r="I24" s="130"/>
      <c r="J24" s="130"/>
      <c r="K24" s="130"/>
      <c r="L24" s="556"/>
      <c r="M24" s="760" t="s">
        <v>189</v>
      </c>
      <c r="N24" s="764">
        <v>2.7E-4</v>
      </c>
      <c r="O24" s="764">
        <v>18.36842</v>
      </c>
      <c r="P24" s="761"/>
    </row>
    <row r="25" spans="1:16" ht="9" customHeight="1">
      <c r="A25" s="503" t="s">
        <v>93</v>
      </c>
      <c r="B25" s="587">
        <v>60.31579</v>
      </c>
      <c r="C25" s="587">
        <v>26.437239999999999</v>
      </c>
      <c r="D25" s="504">
        <f t="shared" si="0"/>
        <v>1.2814707586722367</v>
      </c>
      <c r="E25" s="130"/>
      <c r="F25" s="130"/>
      <c r="G25" s="130"/>
      <c r="H25" s="130"/>
      <c r="I25" s="130"/>
      <c r="J25" s="130"/>
      <c r="K25" s="130"/>
      <c r="L25" s="556"/>
      <c r="M25" s="760" t="s">
        <v>185</v>
      </c>
      <c r="N25" s="764">
        <v>0</v>
      </c>
      <c r="O25" s="764">
        <v>0</v>
      </c>
      <c r="P25" s="761"/>
    </row>
    <row r="26" spans="1:16" ht="9" customHeight="1">
      <c r="A26" s="505" t="s">
        <v>102</v>
      </c>
      <c r="B26" s="588">
        <v>59.223559999999992</v>
      </c>
      <c r="C26" s="588">
        <v>61.180200000000006</v>
      </c>
      <c r="D26" s="506">
        <f t="shared" si="0"/>
        <v>-3.198158881468216E-2</v>
      </c>
      <c r="E26" s="130"/>
      <c r="F26" s="130"/>
      <c r="G26" s="130"/>
      <c r="H26" s="130"/>
      <c r="I26" s="130"/>
      <c r="J26" s="130"/>
      <c r="K26" s="130"/>
      <c r="L26" s="556"/>
      <c r="M26" s="760" t="s">
        <v>346</v>
      </c>
      <c r="N26" s="764">
        <v>0</v>
      </c>
      <c r="O26" s="764">
        <v>9.25</v>
      </c>
      <c r="P26" s="761"/>
    </row>
    <row r="27" spans="1:16" ht="9" customHeight="1">
      <c r="A27" s="503" t="s">
        <v>91</v>
      </c>
      <c r="B27" s="587">
        <v>45.776249999999997</v>
      </c>
      <c r="C27" s="587">
        <v>47.154000000000003</v>
      </c>
      <c r="D27" s="504">
        <f t="shared" si="0"/>
        <v>-2.9218093905077125E-2</v>
      </c>
      <c r="E27" s="130"/>
      <c r="F27" s="130"/>
      <c r="G27" s="130"/>
      <c r="H27" s="130"/>
      <c r="I27" s="130"/>
      <c r="J27" s="130"/>
      <c r="K27" s="130"/>
      <c r="L27" s="556"/>
      <c r="M27" s="760" t="s">
        <v>100</v>
      </c>
      <c r="N27" s="764">
        <v>0</v>
      </c>
      <c r="O27" s="764">
        <v>12.91093</v>
      </c>
      <c r="P27" s="761"/>
    </row>
    <row r="28" spans="1:16" ht="9" customHeight="1">
      <c r="A28" s="507" t="s">
        <v>554</v>
      </c>
      <c r="B28" s="589">
        <v>36.528060000000004</v>
      </c>
      <c r="C28" s="589"/>
      <c r="D28" s="508" t="str">
        <f t="shared" si="0"/>
        <v/>
      </c>
      <c r="E28" s="130"/>
      <c r="F28" s="130"/>
      <c r="G28" s="130"/>
      <c r="H28" s="130"/>
      <c r="I28" s="130"/>
      <c r="J28" s="130"/>
      <c r="K28" s="130"/>
      <c r="L28" s="556"/>
      <c r="M28" s="760" t="s">
        <v>362</v>
      </c>
      <c r="N28" s="764">
        <v>2.649E-2</v>
      </c>
      <c r="O28" s="764">
        <v>8.4010700000000007</v>
      </c>
      <c r="P28" s="761"/>
    </row>
    <row r="29" spans="1:16" ht="9" customHeight="1">
      <c r="A29" s="509" t="s">
        <v>96</v>
      </c>
      <c r="B29" s="590">
        <v>31.895960000000002</v>
      </c>
      <c r="C29" s="590"/>
      <c r="D29" s="510" t="str">
        <f t="shared" si="0"/>
        <v/>
      </c>
      <c r="E29" s="130"/>
      <c r="F29" s="130"/>
      <c r="G29" s="130"/>
      <c r="H29" s="130"/>
      <c r="I29" s="130"/>
      <c r="J29" s="130"/>
      <c r="K29" s="130"/>
      <c r="L29" s="556"/>
      <c r="M29" s="760" t="s">
        <v>555</v>
      </c>
      <c r="N29" s="764">
        <v>2.0679099999999999</v>
      </c>
      <c r="O29" s="764"/>
      <c r="P29" s="761"/>
    </row>
    <row r="30" spans="1:16" ht="9" customHeight="1">
      <c r="A30" s="511" t="s">
        <v>105</v>
      </c>
      <c r="B30" s="591">
        <v>28.13064</v>
      </c>
      <c r="C30" s="591">
        <v>26.1999</v>
      </c>
      <c r="D30" s="512">
        <f t="shared" si="0"/>
        <v>7.3692647681861345E-2</v>
      </c>
      <c r="E30" s="130"/>
      <c r="F30" s="130"/>
      <c r="G30" s="130"/>
      <c r="H30" s="130"/>
      <c r="I30" s="130"/>
      <c r="J30" s="130"/>
      <c r="K30" s="130"/>
      <c r="L30" s="556"/>
      <c r="M30" s="760" t="s">
        <v>382</v>
      </c>
      <c r="N30" s="764">
        <v>2.2210399999999999</v>
      </c>
      <c r="O30" s="764">
        <v>2.7463299999999999</v>
      </c>
      <c r="P30" s="761"/>
    </row>
    <row r="31" spans="1:16" ht="9" customHeight="1">
      <c r="A31" s="509" t="s">
        <v>347</v>
      </c>
      <c r="B31" s="590">
        <v>26.787649999999999</v>
      </c>
      <c r="C31" s="590">
        <v>29.237380000000002</v>
      </c>
      <c r="D31" s="510">
        <f t="shared" si="0"/>
        <v>-8.3787603403588262E-2</v>
      </c>
      <c r="E31" s="130"/>
      <c r="F31" s="130"/>
      <c r="G31" s="130"/>
      <c r="H31" s="130"/>
      <c r="I31" s="130"/>
      <c r="J31" s="130"/>
      <c r="K31" s="130"/>
      <c r="L31" s="556"/>
      <c r="M31" s="760" t="s">
        <v>107</v>
      </c>
      <c r="N31" s="764">
        <v>3.032</v>
      </c>
      <c r="O31" s="764">
        <v>3.4690000000000003</v>
      </c>
      <c r="P31" s="761"/>
    </row>
    <row r="32" spans="1:16" ht="9" customHeight="1">
      <c r="A32" s="513" t="s">
        <v>99</v>
      </c>
      <c r="B32" s="591">
        <v>26.020320000000002</v>
      </c>
      <c r="C32" s="591">
        <v>0</v>
      </c>
      <c r="D32" s="512" t="str">
        <f t="shared" si="0"/>
        <v/>
      </c>
      <c r="E32" s="130"/>
      <c r="F32" s="130"/>
      <c r="G32" s="130"/>
      <c r="H32" s="130"/>
      <c r="I32" s="130"/>
      <c r="J32" s="130"/>
      <c r="K32" s="130"/>
      <c r="L32" s="556"/>
      <c r="M32" s="760" t="s">
        <v>109</v>
      </c>
      <c r="N32" s="764">
        <v>3.58</v>
      </c>
      <c r="O32" s="764">
        <v>3.629</v>
      </c>
      <c r="P32" s="761"/>
    </row>
    <row r="33" spans="1:16" ht="9" customHeight="1">
      <c r="A33" s="509" t="s">
        <v>323</v>
      </c>
      <c r="B33" s="590">
        <v>20.37632</v>
      </c>
      <c r="C33" s="590">
        <v>20.40146</v>
      </c>
      <c r="D33" s="510">
        <f t="shared" si="0"/>
        <v>-1.2322647496797456E-3</v>
      </c>
      <c r="E33" s="130"/>
      <c r="F33" s="130"/>
      <c r="G33" s="130"/>
      <c r="H33" s="130"/>
      <c r="I33" s="130"/>
      <c r="J33" s="130"/>
      <c r="K33" s="130"/>
      <c r="L33" s="556"/>
      <c r="M33" s="760" t="s">
        <v>108</v>
      </c>
      <c r="N33" s="764">
        <v>3.6</v>
      </c>
      <c r="O33" s="764">
        <v>3.6</v>
      </c>
      <c r="P33" s="761"/>
    </row>
    <row r="34" spans="1:16" ht="9" customHeight="1">
      <c r="A34" s="513" t="s">
        <v>310</v>
      </c>
      <c r="B34" s="591">
        <v>20.246500000000001</v>
      </c>
      <c r="C34" s="591">
        <v>20.38691</v>
      </c>
      <c r="D34" s="512">
        <f t="shared" si="0"/>
        <v>-6.8872624640026192E-3</v>
      </c>
      <c r="E34" s="130"/>
      <c r="F34" s="130"/>
      <c r="G34" s="130"/>
      <c r="H34" s="130"/>
      <c r="I34" s="130"/>
      <c r="J34" s="130"/>
      <c r="K34" s="130"/>
      <c r="L34" s="556"/>
      <c r="M34" s="760" t="s">
        <v>331</v>
      </c>
      <c r="N34" s="764">
        <v>5.0342399999999996</v>
      </c>
      <c r="O34" s="764">
        <v>7.7616699999999996</v>
      </c>
      <c r="P34" s="761"/>
    </row>
    <row r="35" spans="1:16" ht="9" customHeight="1">
      <c r="A35" s="514" t="s">
        <v>341</v>
      </c>
      <c r="B35" s="590">
        <v>20.022190000000002</v>
      </c>
      <c r="C35" s="590">
        <v>19.983600000000003</v>
      </c>
      <c r="D35" s="510">
        <f t="shared" si="0"/>
        <v>1.9310834884604944E-3</v>
      </c>
      <c r="E35" s="130"/>
      <c r="F35" s="130"/>
      <c r="G35" s="130"/>
      <c r="H35" s="130"/>
      <c r="I35" s="130"/>
      <c r="J35" s="130"/>
      <c r="K35" s="130"/>
      <c r="L35" s="556"/>
      <c r="M35" s="760" t="s">
        <v>106</v>
      </c>
      <c r="N35" s="765">
        <v>5.0380000000000003</v>
      </c>
      <c r="O35" s="765">
        <v>5.0565300000000004</v>
      </c>
      <c r="P35" s="761"/>
    </row>
    <row r="36" spans="1:16" ht="9" customHeight="1">
      <c r="A36" s="513" t="s">
        <v>92</v>
      </c>
      <c r="B36" s="591">
        <v>20.00122</v>
      </c>
      <c r="C36" s="591">
        <v>40.101579999999998</v>
      </c>
      <c r="D36" s="512">
        <f t="shared" si="0"/>
        <v>-0.50123611089637865</v>
      </c>
      <c r="E36" s="130"/>
      <c r="F36" s="130"/>
      <c r="G36" s="130"/>
      <c r="H36" s="130"/>
      <c r="I36" s="130"/>
      <c r="J36" s="130"/>
      <c r="K36" s="130"/>
      <c r="L36" s="556"/>
      <c r="M36" s="760" t="s">
        <v>95</v>
      </c>
      <c r="N36" s="764">
        <v>9.864889999999999</v>
      </c>
      <c r="O36" s="764">
        <v>29.535799999999998</v>
      </c>
      <c r="P36" s="761"/>
    </row>
    <row r="37" spans="1:16" ht="9" customHeight="1">
      <c r="A37" s="509" t="s">
        <v>112</v>
      </c>
      <c r="B37" s="590">
        <v>19.973669999999998</v>
      </c>
      <c r="C37" s="590">
        <v>19.979220000000002</v>
      </c>
      <c r="D37" s="510">
        <f t="shared" si="0"/>
        <v>-2.7778862237881619E-4</v>
      </c>
      <c r="E37" s="130"/>
      <c r="F37" s="130"/>
      <c r="G37" s="130"/>
      <c r="H37" s="130"/>
      <c r="I37" s="130"/>
      <c r="J37" s="130"/>
      <c r="K37" s="130"/>
      <c r="L37" s="558"/>
      <c r="M37" s="760" t="s">
        <v>318</v>
      </c>
      <c r="N37" s="764">
        <v>10.270899999999997</v>
      </c>
      <c r="O37" s="764">
        <v>10.815399999999999</v>
      </c>
      <c r="P37" s="761"/>
    </row>
    <row r="38" spans="1:16" ht="9" customHeight="1">
      <c r="A38" s="513" t="s">
        <v>366</v>
      </c>
      <c r="B38" s="591">
        <v>19.657350000000001</v>
      </c>
      <c r="C38" s="591">
        <v>19.633369999999999</v>
      </c>
      <c r="D38" s="512">
        <f t="shared" si="0"/>
        <v>1.2213899091191305E-3</v>
      </c>
      <c r="E38" s="130"/>
      <c r="F38" s="130"/>
      <c r="G38" s="130"/>
      <c r="H38" s="130"/>
      <c r="I38" s="130"/>
      <c r="J38" s="130"/>
      <c r="K38" s="130"/>
      <c r="L38" s="558"/>
      <c r="M38" s="760" t="s">
        <v>113</v>
      </c>
      <c r="N38" s="764">
        <v>12.38256</v>
      </c>
      <c r="O38" s="764">
        <v>0</v>
      </c>
      <c r="P38" s="761"/>
    </row>
    <row r="39" spans="1:16" ht="9" customHeight="1">
      <c r="A39" s="514" t="s">
        <v>97</v>
      </c>
      <c r="B39" s="590">
        <v>18.501469999999998</v>
      </c>
      <c r="C39" s="590">
        <v>18.655349999999999</v>
      </c>
      <c r="D39" s="510">
        <f t="shared" si="0"/>
        <v>-8.2485721254225153E-3</v>
      </c>
      <c r="E39" s="130"/>
      <c r="F39" s="130"/>
      <c r="G39" s="130"/>
      <c r="H39" s="130"/>
      <c r="I39" s="130"/>
      <c r="J39" s="130"/>
      <c r="K39" s="130"/>
      <c r="L39" s="557"/>
      <c r="M39" s="760" t="s">
        <v>191</v>
      </c>
      <c r="N39" s="764">
        <v>16.095569999999999</v>
      </c>
      <c r="O39" s="764">
        <v>7.7339399999999996</v>
      </c>
      <c r="P39" s="761"/>
    </row>
    <row r="40" spans="1:16" ht="9" customHeight="1">
      <c r="A40" s="513" t="s">
        <v>98</v>
      </c>
      <c r="B40" s="591">
        <v>17.985530000000001</v>
      </c>
      <c r="C40" s="591">
        <v>18.455660000000002</v>
      </c>
      <c r="D40" s="512">
        <f t="shared" si="0"/>
        <v>-2.5473486182558736E-2</v>
      </c>
      <c r="E40" s="130"/>
      <c r="F40" s="130"/>
      <c r="G40" s="130"/>
      <c r="H40" s="130"/>
      <c r="I40" s="130"/>
      <c r="J40" s="130"/>
      <c r="K40" s="130"/>
      <c r="L40" s="557"/>
      <c r="M40" s="760" t="s">
        <v>98</v>
      </c>
      <c r="N40" s="764">
        <v>17.985530000000001</v>
      </c>
      <c r="O40" s="764">
        <v>18.455660000000002</v>
      </c>
      <c r="P40" s="761"/>
    </row>
    <row r="41" spans="1:16" ht="9" customHeight="1">
      <c r="A41" s="515" t="s">
        <v>191</v>
      </c>
      <c r="B41" s="590">
        <v>16.095569999999999</v>
      </c>
      <c r="C41" s="590">
        <v>7.7339399999999996</v>
      </c>
      <c r="D41" s="510">
        <f t="shared" si="0"/>
        <v>1.0811604434479709</v>
      </c>
      <c r="E41" s="130"/>
      <c r="F41" s="130"/>
      <c r="G41" s="130"/>
      <c r="H41" s="130"/>
      <c r="I41" s="130"/>
      <c r="J41" s="130"/>
      <c r="K41" s="130"/>
      <c r="L41" s="557"/>
      <c r="M41" s="760" t="s">
        <v>97</v>
      </c>
      <c r="N41" s="764">
        <v>18.501469999999998</v>
      </c>
      <c r="O41" s="764">
        <v>18.655349999999999</v>
      </c>
      <c r="P41" s="761"/>
    </row>
    <row r="42" spans="1:16" ht="9" customHeight="1">
      <c r="A42" s="511" t="s">
        <v>113</v>
      </c>
      <c r="B42" s="591">
        <v>12.38256</v>
      </c>
      <c r="C42" s="591">
        <v>0</v>
      </c>
      <c r="D42" s="512" t="str">
        <f t="shared" si="0"/>
        <v/>
      </c>
      <c r="E42" s="130"/>
      <c r="F42" s="130"/>
      <c r="G42" s="130"/>
      <c r="H42" s="130"/>
      <c r="I42" s="130"/>
      <c r="J42" s="130"/>
      <c r="K42" s="130"/>
      <c r="L42" s="558"/>
      <c r="M42" s="760" t="s">
        <v>366</v>
      </c>
      <c r="N42" s="764">
        <v>19.657350000000001</v>
      </c>
      <c r="O42" s="764">
        <v>19.633369999999999</v>
      </c>
      <c r="P42" s="761"/>
    </row>
    <row r="43" spans="1:16" ht="9" customHeight="1">
      <c r="A43" s="509" t="s">
        <v>318</v>
      </c>
      <c r="B43" s="590">
        <v>10.270899999999997</v>
      </c>
      <c r="C43" s="590">
        <v>10.815399999999999</v>
      </c>
      <c r="D43" s="510">
        <f t="shared" si="0"/>
        <v>-5.0344878599034804E-2</v>
      </c>
      <c r="E43" s="130"/>
      <c r="F43" s="130"/>
      <c r="G43" s="130"/>
      <c r="H43" s="130"/>
      <c r="I43" s="130"/>
      <c r="J43" s="130"/>
      <c r="K43" s="130"/>
      <c r="L43" s="558"/>
      <c r="M43" s="760" t="s">
        <v>112</v>
      </c>
      <c r="N43" s="764">
        <v>19.973669999999998</v>
      </c>
      <c r="O43" s="764">
        <v>19.979220000000002</v>
      </c>
      <c r="P43" s="761"/>
    </row>
    <row r="44" spans="1:16" ht="9" customHeight="1">
      <c r="A44" s="511" t="s">
        <v>95</v>
      </c>
      <c r="B44" s="591">
        <v>9.864889999999999</v>
      </c>
      <c r="C44" s="591">
        <v>29.535799999999998</v>
      </c>
      <c r="D44" s="512">
        <f t="shared" si="0"/>
        <v>-0.66600227520500543</v>
      </c>
      <c r="E44" s="130"/>
      <c r="F44" s="130"/>
      <c r="G44" s="130"/>
      <c r="H44" s="130"/>
      <c r="I44" s="130"/>
      <c r="J44" s="130"/>
      <c r="K44" s="130"/>
      <c r="L44" s="558"/>
      <c r="M44" s="760" t="s">
        <v>92</v>
      </c>
      <c r="N44" s="764">
        <v>20.00122</v>
      </c>
      <c r="O44" s="764">
        <v>40.101579999999998</v>
      </c>
      <c r="P44" s="761"/>
    </row>
    <row r="45" spans="1:16" ht="9" customHeight="1">
      <c r="A45" s="509" t="s">
        <v>106</v>
      </c>
      <c r="B45" s="590">
        <v>5.0380000000000003</v>
      </c>
      <c r="C45" s="590">
        <v>5.0565300000000004</v>
      </c>
      <c r="D45" s="510">
        <f t="shared" si="0"/>
        <v>-3.6645683897851278E-3</v>
      </c>
      <c r="E45" s="130"/>
      <c r="F45" s="130"/>
      <c r="G45" s="130"/>
      <c r="H45" s="130"/>
      <c r="I45" s="130"/>
      <c r="J45" s="130"/>
      <c r="K45" s="130"/>
      <c r="M45" s="760" t="s">
        <v>341</v>
      </c>
      <c r="N45" s="764">
        <v>20.022190000000002</v>
      </c>
      <c r="O45" s="764">
        <v>19.983600000000003</v>
      </c>
      <c r="P45" s="761"/>
    </row>
    <row r="46" spans="1:16" ht="9" customHeight="1">
      <c r="A46" s="511" t="s">
        <v>331</v>
      </c>
      <c r="B46" s="591">
        <v>5.0342399999999996</v>
      </c>
      <c r="C46" s="591">
        <v>7.7616699999999996</v>
      </c>
      <c r="D46" s="512">
        <f t="shared" si="0"/>
        <v>-0.35139731526849249</v>
      </c>
      <c r="E46" s="130"/>
      <c r="F46" s="130"/>
      <c r="G46" s="130"/>
      <c r="H46" s="130"/>
      <c r="I46" s="130"/>
      <c r="J46" s="130"/>
      <c r="K46" s="130"/>
      <c r="M46" s="760" t="s">
        <v>310</v>
      </c>
      <c r="N46" s="764">
        <v>20.246500000000001</v>
      </c>
      <c r="O46" s="764">
        <v>20.38691</v>
      </c>
      <c r="P46" s="761"/>
    </row>
    <row r="47" spans="1:16" ht="9" customHeight="1">
      <c r="A47" s="514" t="s">
        <v>108</v>
      </c>
      <c r="B47" s="590">
        <v>3.6</v>
      </c>
      <c r="C47" s="590">
        <v>3.6</v>
      </c>
      <c r="D47" s="510">
        <f t="shared" si="0"/>
        <v>0</v>
      </c>
      <c r="E47" s="130"/>
      <c r="F47" s="130"/>
      <c r="G47" s="130"/>
      <c r="H47" s="130"/>
      <c r="I47" s="130"/>
      <c r="J47" s="130"/>
      <c r="K47" s="130"/>
      <c r="M47" s="760" t="s">
        <v>323</v>
      </c>
      <c r="N47" s="764">
        <v>20.37632</v>
      </c>
      <c r="O47" s="764">
        <v>20.40146</v>
      </c>
      <c r="P47" s="761"/>
    </row>
    <row r="48" spans="1:16" ht="9" customHeight="1">
      <c r="A48" s="511" t="s">
        <v>109</v>
      </c>
      <c r="B48" s="591">
        <v>3.58</v>
      </c>
      <c r="C48" s="591">
        <v>3.629</v>
      </c>
      <c r="D48" s="512">
        <f t="shared" si="0"/>
        <v>-1.3502342243042142E-2</v>
      </c>
      <c r="E48" s="130"/>
      <c r="F48" s="130"/>
      <c r="G48" s="130"/>
      <c r="H48" s="130"/>
      <c r="I48" s="130"/>
      <c r="J48" s="130"/>
      <c r="K48" s="130"/>
      <c r="M48" s="760" t="s">
        <v>99</v>
      </c>
      <c r="N48" s="764">
        <v>26.020320000000002</v>
      </c>
      <c r="O48" s="764">
        <v>0</v>
      </c>
      <c r="P48" s="761"/>
    </row>
    <row r="49" spans="1:16" ht="9" customHeight="1">
      <c r="A49" s="514" t="s">
        <v>107</v>
      </c>
      <c r="B49" s="590">
        <v>3.032</v>
      </c>
      <c r="C49" s="590">
        <v>3.4690000000000003</v>
      </c>
      <c r="D49" s="510">
        <f t="shared" si="0"/>
        <v>-0.12597290285384843</v>
      </c>
      <c r="E49" s="130"/>
      <c r="F49" s="130"/>
      <c r="G49" s="130"/>
      <c r="H49" s="130"/>
      <c r="I49" s="130"/>
      <c r="J49" s="130"/>
      <c r="K49" s="130"/>
      <c r="M49" s="760" t="s">
        <v>347</v>
      </c>
      <c r="N49" s="764">
        <v>26.787649999999999</v>
      </c>
      <c r="O49" s="764">
        <v>29.237380000000002</v>
      </c>
      <c r="P49" s="761"/>
    </row>
    <row r="50" spans="1:16" ht="9" customHeight="1">
      <c r="A50" s="513" t="s">
        <v>382</v>
      </c>
      <c r="B50" s="591">
        <v>2.2210399999999999</v>
      </c>
      <c r="C50" s="591">
        <v>2.7463299999999999</v>
      </c>
      <c r="D50" s="512">
        <f t="shared" si="0"/>
        <v>-0.19126980370166735</v>
      </c>
      <c r="E50" s="130"/>
      <c r="F50" s="130"/>
      <c r="G50" s="130"/>
      <c r="H50" s="130"/>
      <c r="I50" s="130"/>
      <c r="J50" s="130"/>
      <c r="K50" s="130"/>
      <c r="M50" s="760" t="s">
        <v>105</v>
      </c>
      <c r="N50" s="764">
        <v>28.13064</v>
      </c>
      <c r="O50" s="764">
        <v>26.1999</v>
      </c>
      <c r="P50" s="761"/>
    </row>
    <row r="51" spans="1:16" ht="9" customHeight="1">
      <c r="A51" s="514" t="s">
        <v>555</v>
      </c>
      <c r="B51" s="590">
        <v>2.0679099999999999</v>
      </c>
      <c r="C51" s="590"/>
      <c r="D51" s="510" t="str">
        <f t="shared" si="0"/>
        <v/>
      </c>
      <c r="E51" s="130"/>
      <c r="F51" s="130"/>
      <c r="G51" s="130"/>
      <c r="H51" s="130"/>
      <c r="I51" s="130"/>
      <c r="J51" s="130"/>
      <c r="K51" s="130"/>
      <c r="M51" s="760" t="s">
        <v>96</v>
      </c>
      <c r="N51" s="764">
        <v>31.895960000000002</v>
      </c>
      <c r="O51" s="764"/>
      <c r="P51" s="761"/>
    </row>
    <row r="52" spans="1:16" ht="9" customHeight="1">
      <c r="A52" s="513" t="s">
        <v>362</v>
      </c>
      <c r="B52" s="591">
        <v>2.649E-2</v>
      </c>
      <c r="C52" s="591">
        <v>8.4010700000000007</v>
      </c>
      <c r="D52" s="512">
        <f t="shared" si="0"/>
        <v>-0.99684683022519749</v>
      </c>
      <c r="E52" s="130"/>
      <c r="F52" s="130"/>
      <c r="G52" s="130"/>
      <c r="H52" s="130"/>
      <c r="I52" s="130"/>
      <c r="J52" s="130"/>
      <c r="K52" s="130"/>
      <c r="M52" s="760" t="s">
        <v>554</v>
      </c>
      <c r="N52" s="764">
        <v>36.528060000000004</v>
      </c>
      <c r="O52" s="764"/>
      <c r="P52" s="761"/>
    </row>
    <row r="53" spans="1:16" ht="9" customHeight="1">
      <c r="A53" s="509" t="s">
        <v>100</v>
      </c>
      <c r="B53" s="590">
        <v>0</v>
      </c>
      <c r="C53" s="590">
        <v>12.91093</v>
      </c>
      <c r="D53" s="510">
        <f t="shared" si="0"/>
        <v>-1</v>
      </c>
      <c r="E53" s="130"/>
      <c r="F53" s="130"/>
      <c r="G53" s="130"/>
      <c r="H53" s="130"/>
      <c r="I53" s="130"/>
      <c r="J53" s="130"/>
      <c r="K53" s="130"/>
      <c r="M53" s="760" t="s">
        <v>91</v>
      </c>
      <c r="N53" s="764">
        <v>45.776249999999997</v>
      </c>
      <c r="O53" s="764">
        <v>47.154000000000003</v>
      </c>
      <c r="P53" s="761"/>
    </row>
    <row r="54" spans="1:16" ht="9" customHeight="1">
      <c r="A54" s="511" t="s">
        <v>346</v>
      </c>
      <c r="B54" s="591">
        <v>0</v>
      </c>
      <c r="C54" s="591">
        <v>9.25</v>
      </c>
      <c r="D54" s="512">
        <f t="shared" si="0"/>
        <v>-1</v>
      </c>
      <c r="E54" s="130"/>
      <c r="F54" s="130"/>
      <c r="G54" s="130"/>
      <c r="H54" s="130"/>
      <c r="I54" s="130"/>
      <c r="J54" s="130"/>
      <c r="K54" s="130"/>
      <c r="M54" s="760" t="s">
        <v>102</v>
      </c>
      <c r="N54" s="764">
        <v>59.223559999999992</v>
      </c>
      <c r="O54" s="764">
        <v>61.180200000000006</v>
      </c>
      <c r="P54" s="761"/>
    </row>
    <row r="55" spans="1:16" ht="9" customHeight="1">
      <c r="A55" s="509" t="s">
        <v>185</v>
      </c>
      <c r="B55" s="590">
        <v>0</v>
      </c>
      <c r="C55" s="590">
        <v>0</v>
      </c>
      <c r="D55" s="510" t="str">
        <f t="shared" si="0"/>
        <v/>
      </c>
      <c r="E55" s="130"/>
      <c r="F55" s="130"/>
      <c r="G55" s="130"/>
      <c r="H55" s="130"/>
      <c r="I55" s="130"/>
      <c r="J55" s="130"/>
      <c r="K55" s="130"/>
      <c r="M55" s="760" t="s">
        <v>93</v>
      </c>
      <c r="N55" s="764">
        <v>60.31579</v>
      </c>
      <c r="O55" s="764">
        <v>26.437239999999999</v>
      </c>
      <c r="P55" s="761"/>
    </row>
    <row r="56" spans="1:16" ht="9" customHeight="1">
      <c r="A56" s="511" t="s">
        <v>189</v>
      </c>
      <c r="B56" s="591">
        <v>2.7E-4</v>
      </c>
      <c r="C56" s="591">
        <v>18.36842</v>
      </c>
      <c r="D56" s="512">
        <f t="shared" si="0"/>
        <v>-0.99998530085875648</v>
      </c>
      <c r="E56" s="130"/>
      <c r="F56" s="130"/>
      <c r="G56" s="130"/>
      <c r="H56" s="130"/>
      <c r="I56" s="130"/>
      <c r="J56" s="130"/>
      <c r="K56" s="130"/>
      <c r="M56" s="760" t="s">
        <v>394</v>
      </c>
      <c r="N56" s="764">
        <v>65.253</v>
      </c>
      <c r="O56" s="764">
        <v>23.254999999999999</v>
      </c>
      <c r="P56" s="761"/>
    </row>
    <row r="57" spans="1:16" ht="9" customHeight="1">
      <c r="A57" s="509" t="s">
        <v>110</v>
      </c>
      <c r="B57" s="590">
        <v>0</v>
      </c>
      <c r="C57" s="590">
        <v>0</v>
      </c>
      <c r="D57" s="510" t="str">
        <f t="shared" si="0"/>
        <v/>
      </c>
      <c r="E57" s="130"/>
      <c r="F57" s="130"/>
      <c r="G57" s="130"/>
      <c r="H57" s="130"/>
      <c r="I57" s="130"/>
      <c r="J57" s="130"/>
      <c r="K57" s="130"/>
      <c r="M57" s="760" t="s">
        <v>365</v>
      </c>
      <c r="N57" s="764">
        <v>72.617239999999995</v>
      </c>
      <c r="O57" s="764">
        <v>73.030670000000001</v>
      </c>
      <c r="P57" s="761"/>
    </row>
    <row r="58" spans="1:16" ht="9" customHeight="1">
      <c r="A58" s="511" t="s">
        <v>104</v>
      </c>
      <c r="B58" s="591">
        <v>0</v>
      </c>
      <c r="C58" s="591">
        <v>0</v>
      </c>
      <c r="D58" s="512" t="str">
        <f t="shared" si="0"/>
        <v/>
      </c>
      <c r="E58" s="130"/>
      <c r="F58" s="130"/>
      <c r="G58" s="130"/>
      <c r="H58" s="130"/>
      <c r="I58" s="130"/>
      <c r="J58" s="130"/>
      <c r="K58" s="130"/>
      <c r="M58" s="760" t="s">
        <v>369</v>
      </c>
      <c r="N58" s="764">
        <v>81.978000000000009</v>
      </c>
      <c r="O58" s="764">
        <v>81.448999999999998</v>
      </c>
      <c r="P58" s="761"/>
    </row>
    <row r="59" spans="1:16" ht="9" customHeight="1">
      <c r="A59" s="509" t="s">
        <v>101</v>
      </c>
      <c r="B59" s="590">
        <v>0</v>
      </c>
      <c r="C59" s="590">
        <v>0</v>
      </c>
      <c r="D59" s="510" t="str">
        <f t="shared" si="0"/>
        <v/>
      </c>
      <c r="E59" s="130"/>
      <c r="F59" s="130"/>
      <c r="G59" s="130"/>
      <c r="H59" s="130"/>
      <c r="I59" s="130"/>
      <c r="J59" s="130"/>
      <c r="K59" s="130"/>
      <c r="M59" s="760" t="s">
        <v>330</v>
      </c>
      <c r="N59" s="764">
        <v>90.838999999999999</v>
      </c>
      <c r="O59" s="764">
        <v>51.949440000000003</v>
      </c>
      <c r="P59" s="761"/>
    </row>
    <row r="60" spans="1:16" ht="9" customHeight="1">
      <c r="A60" s="516" t="s">
        <v>192</v>
      </c>
      <c r="B60" s="592">
        <v>0</v>
      </c>
      <c r="C60" s="592">
        <v>0</v>
      </c>
      <c r="D60" s="512" t="str">
        <f t="shared" si="0"/>
        <v/>
      </c>
      <c r="E60" s="130"/>
      <c r="F60" s="130"/>
      <c r="G60" s="130"/>
      <c r="H60" s="130"/>
      <c r="I60" s="130"/>
      <c r="J60" s="130"/>
      <c r="K60" s="130"/>
      <c r="M60" s="760" t="s">
        <v>187</v>
      </c>
      <c r="N60" s="764">
        <v>94.32638</v>
      </c>
      <c r="O60" s="764">
        <v>81.850880000000004</v>
      </c>
      <c r="P60" s="761"/>
    </row>
    <row r="61" spans="1:16" ht="9" customHeight="1">
      <c r="A61" s="517" t="s">
        <v>193</v>
      </c>
      <c r="B61" s="593">
        <v>0</v>
      </c>
      <c r="C61" s="593">
        <v>0</v>
      </c>
      <c r="D61" s="518" t="str">
        <f t="shared" si="0"/>
        <v/>
      </c>
      <c r="E61" s="130"/>
      <c r="F61" s="130"/>
      <c r="G61" s="130"/>
      <c r="H61" s="130"/>
      <c r="I61" s="130"/>
      <c r="J61" s="130"/>
      <c r="K61" s="130"/>
      <c r="M61" s="760" t="s">
        <v>90</v>
      </c>
      <c r="N61" s="764">
        <v>110.85192000000001</v>
      </c>
      <c r="O61" s="764">
        <v>110.73872</v>
      </c>
      <c r="P61" s="761"/>
    </row>
    <row r="62" spans="1:16" ht="9" customHeight="1">
      <c r="A62" s="516" t="s">
        <v>111</v>
      </c>
      <c r="B62" s="592">
        <v>0</v>
      </c>
      <c r="C62" s="592">
        <v>0</v>
      </c>
      <c r="D62" s="506" t="str">
        <f t="shared" si="0"/>
        <v/>
      </c>
      <c r="E62" s="130"/>
      <c r="F62" s="130"/>
      <c r="G62" s="130"/>
      <c r="H62" s="130"/>
      <c r="I62" s="130"/>
      <c r="J62" s="130"/>
      <c r="K62" s="130"/>
      <c r="M62" s="760" t="s">
        <v>89</v>
      </c>
      <c r="N62" s="764">
        <v>132.6592</v>
      </c>
      <c r="O62" s="764">
        <v>222.90008</v>
      </c>
      <c r="P62" s="761"/>
    </row>
    <row r="63" spans="1:16" ht="9" customHeight="1">
      <c r="A63" s="517" t="s">
        <v>103</v>
      </c>
      <c r="B63" s="593">
        <v>0</v>
      </c>
      <c r="C63" s="593">
        <v>0</v>
      </c>
      <c r="D63" s="518" t="str">
        <f t="shared" si="0"/>
        <v/>
      </c>
      <c r="E63" s="130"/>
      <c r="F63" s="130"/>
      <c r="G63" s="130"/>
      <c r="H63" s="130"/>
      <c r="I63" s="130"/>
      <c r="J63" s="130"/>
      <c r="K63" s="130"/>
      <c r="M63" s="760" t="s">
        <v>86</v>
      </c>
      <c r="N63" s="764">
        <v>156.19240999999997</v>
      </c>
      <c r="O63" s="764">
        <v>64.243679999999998</v>
      </c>
      <c r="P63" s="761"/>
    </row>
    <row r="64" spans="1:16" ht="9" customHeight="1">
      <c r="A64" s="516" t="s">
        <v>355</v>
      </c>
      <c r="B64" s="592">
        <v>0</v>
      </c>
      <c r="C64" s="592">
        <v>19.772790000000001</v>
      </c>
      <c r="D64" s="506">
        <f t="shared" si="0"/>
        <v>-1</v>
      </c>
      <c r="E64" s="130"/>
      <c r="F64" s="130"/>
      <c r="G64" s="130"/>
      <c r="H64" s="130"/>
      <c r="I64" s="130"/>
      <c r="J64" s="130"/>
      <c r="K64" s="130"/>
      <c r="M64" s="760" t="s">
        <v>87</v>
      </c>
      <c r="N64" s="764">
        <v>164.76600000000002</v>
      </c>
      <c r="O64" s="764">
        <v>167.279</v>
      </c>
      <c r="P64" s="761"/>
    </row>
    <row r="65" spans="1:16" ht="9" customHeight="1">
      <c r="A65" s="517" t="s">
        <v>360</v>
      </c>
      <c r="B65" s="593">
        <v>0</v>
      </c>
      <c r="C65" s="593">
        <v>0</v>
      </c>
      <c r="D65" s="518" t="str">
        <f t="shared" si="0"/>
        <v/>
      </c>
      <c r="E65" s="130"/>
      <c r="F65" s="130"/>
      <c r="G65" s="130"/>
      <c r="H65" s="130"/>
      <c r="I65" s="130"/>
      <c r="J65" s="130"/>
      <c r="K65" s="130"/>
      <c r="M65" s="760" t="s">
        <v>88</v>
      </c>
      <c r="N65" s="766">
        <v>192.71899999999999</v>
      </c>
      <c r="O65" s="766">
        <v>191.31299999999999</v>
      </c>
      <c r="P65" s="761"/>
    </row>
    <row r="66" spans="1:16" ht="9" customHeight="1">
      <c r="A66" s="516" t="s">
        <v>361</v>
      </c>
      <c r="B66" s="592">
        <v>0</v>
      </c>
      <c r="C66" s="592">
        <v>0</v>
      </c>
      <c r="D66" s="506" t="str">
        <f t="shared" si="0"/>
        <v/>
      </c>
      <c r="E66" s="130"/>
      <c r="F66" s="130"/>
      <c r="G66" s="130"/>
      <c r="H66" s="130"/>
      <c r="I66" s="130"/>
      <c r="J66" s="130"/>
      <c r="K66" s="130"/>
      <c r="M66" s="760" t="s">
        <v>94</v>
      </c>
      <c r="N66" s="766">
        <v>216.39893000000001</v>
      </c>
      <c r="O66" s="766">
        <v>185.62200000000001</v>
      </c>
      <c r="P66" s="761"/>
    </row>
    <row r="67" spans="1:16" ht="9" customHeight="1">
      <c r="A67" s="517" t="s">
        <v>363</v>
      </c>
      <c r="B67" s="593">
        <v>0</v>
      </c>
      <c r="C67" s="593">
        <v>11.21918</v>
      </c>
      <c r="D67" s="518">
        <f t="shared" si="0"/>
        <v>-1</v>
      </c>
      <c r="E67" s="130"/>
      <c r="F67" s="130"/>
      <c r="G67" s="130"/>
      <c r="H67" s="130"/>
      <c r="I67" s="130"/>
      <c r="J67" s="130"/>
      <c r="K67" s="130"/>
      <c r="M67" s="760" t="s">
        <v>190</v>
      </c>
      <c r="N67" s="766">
        <v>327.72549999999995</v>
      </c>
      <c r="O67" s="766">
        <v>339.97346999999996</v>
      </c>
      <c r="P67" s="761"/>
    </row>
    <row r="68" spans="1:16" ht="9" customHeight="1">
      <c r="A68" s="516" t="s">
        <v>364</v>
      </c>
      <c r="B68" s="592">
        <v>0</v>
      </c>
      <c r="C68" s="592">
        <v>0.72951999999999995</v>
      </c>
      <c r="D68" s="506">
        <f t="shared" si="0"/>
        <v>-1</v>
      </c>
      <c r="E68" s="130"/>
      <c r="F68" s="130"/>
      <c r="G68" s="130"/>
      <c r="H68" s="130"/>
      <c r="I68" s="130"/>
      <c r="J68" s="130"/>
      <c r="K68" s="130"/>
      <c r="M68" s="760" t="s">
        <v>85</v>
      </c>
      <c r="N68" s="766">
        <v>369.71732000000003</v>
      </c>
      <c r="O68" s="766">
        <v>404.05772000000002</v>
      </c>
      <c r="P68" s="761"/>
    </row>
    <row r="69" spans="1:16" ht="9" customHeight="1">
      <c r="A69" s="517" t="s">
        <v>383</v>
      </c>
      <c r="B69" s="593">
        <v>0</v>
      </c>
      <c r="C69" s="593">
        <v>0</v>
      </c>
      <c r="D69" s="612" t="str">
        <f t="shared" si="0"/>
        <v/>
      </c>
      <c r="E69" s="130"/>
      <c r="F69" s="130"/>
      <c r="G69" s="130"/>
      <c r="H69" s="130"/>
      <c r="I69" s="130"/>
      <c r="J69" s="130"/>
      <c r="K69" s="130"/>
      <c r="M69" s="760" t="s">
        <v>186</v>
      </c>
      <c r="N69" s="766">
        <v>460.59131000000002</v>
      </c>
      <c r="O69" s="766">
        <v>391.08431999999999</v>
      </c>
      <c r="P69" s="761"/>
    </row>
    <row r="70" spans="1:16" ht="9" customHeight="1">
      <c r="A70" s="516" t="s">
        <v>398</v>
      </c>
      <c r="B70" s="592">
        <v>0</v>
      </c>
      <c r="C70" s="592">
        <v>0</v>
      </c>
      <c r="D70" s="506" t="str">
        <f t="shared" si="0"/>
        <v/>
      </c>
      <c r="E70" s="130"/>
      <c r="F70" s="130"/>
      <c r="G70" s="130"/>
      <c r="H70" s="130"/>
      <c r="I70" s="130"/>
      <c r="J70" s="130"/>
      <c r="K70" s="130"/>
      <c r="M70" s="760" t="s">
        <v>188</v>
      </c>
      <c r="N70" s="766">
        <v>522.68199000000004</v>
      </c>
      <c r="O70" s="766">
        <v>544.47199000000001</v>
      </c>
      <c r="P70" s="761"/>
    </row>
    <row r="71" spans="1:16" ht="9" customHeight="1">
      <c r="A71" s="517" t="s">
        <v>560</v>
      </c>
      <c r="B71" s="593">
        <v>0</v>
      </c>
      <c r="C71" s="593"/>
      <c r="D71" s="612" t="str">
        <f t="shared" ref="D71:D73" si="1">IF(C71=0,"",B71/C71-1)</f>
        <v/>
      </c>
      <c r="E71" s="130"/>
      <c r="F71" s="130"/>
      <c r="G71" s="130"/>
      <c r="H71" s="130"/>
      <c r="I71" s="130"/>
      <c r="J71" s="130"/>
      <c r="K71" s="130"/>
      <c r="M71" s="760" t="s">
        <v>82</v>
      </c>
      <c r="N71" s="766">
        <v>828.90970000000004</v>
      </c>
      <c r="O71" s="766">
        <v>718.61968999999999</v>
      </c>
      <c r="P71" s="761"/>
    </row>
    <row r="72" spans="1:16" ht="9" customHeight="1">
      <c r="A72" s="516" t="s">
        <v>1016</v>
      </c>
      <c r="B72" s="592">
        <v>0</v>
      </c>
      <c r="C72" s="592"/>
      <c r="D72" s="506" t="str">
        <f t="shared" si="1"/>
        <v/>
      </c>
      <c r="E72" s="130"/>
      <c r="F72" s="130"/>
      <c r="G72" s="130"/>
      <c r="H72" s="130"/>
      <c r="I72" s="130"/>
      <c r="J72" s="130"/>
      <c r="K72" s="130"/>
      <c r="M72" s="760" t="s">
        <v>84</v>
      </c>
      <c r="N72" s="766">
        <v>864.03710999999998</v>
      </c>
      <c r="O72" s="766">
        <v>796.80295000000001</v>
      </c>
      <c r="P72" s="761"/>
    </row>
    <row r="73" spans="1:16" ht="9" customHeight="1">
      <c r="A73" s="517" t="s">
        <v>83</v>
      </c>
      <c r="B73" s="593"/>
      <c r="C73" s="593">
        <v>1120.55</v>
      </c>
      <c r="D73" s="612">
        <f t="shared" si="1"/>
        <v>-1</v>
      </c>
      <c r="E73" s="130"/>
      <c r="F73" s="130"/>
      <c r="G73" s="130"/>
      <c r="H73" s="130"/>
      <c r="I73" s="130"/>
      <c r="J73" s="130"/>
      <c r="K73" s="130"/>
      <c r="M73" s="760" t="s">
        <v>563</v>
      </c>
      <c r="N73" s="766">
        <v>873.98500000000001</v>
      </c>
      <c r="O73" s="766">
        <v>0</v>
      </c>
      <c r="P73" s="761"/>
    </row>
    <row r="74" spans="1:16" ht="9" customHeight="1">
      <c r="A74" s="516" t="s">
        <v>707</v>
      </c>
      <c r="B74" s="592"/>
      <c r="C74" s="592">
        <v>1.82507</v>
      </c>
      <c r="D74" s="506">
        <f t="shared" ref="D74" si="2">IF(C74=0,"",B74/C74-1)</f>
        <v>-1</v>
      </c>
      <c r="E74" s="130"/>
      <c r="F74" s="130"/>
      <c r="G74" s="130"/>
      <c r="H74" s="130"/>
      <c r="I74" s="130"/>
      <c r="J74" s="130"/>
      <c r="K74" s="130"/>
      <c r="M74" s="760" t="s">
        <v>317</v>
      </c>
      <c r="N74" s="766">
        <v>1716.9239500000001</v>
      </c>
      <c r="O74" s="766">
        <v>1668.1664699999999</v>
      </c>
      <c r="P74" s="761"/>
    </row>
    <row r="75" spans="1:16" ht="9" customHeight="1">
      <c r="A75" s="519" t="s">
        <v>40</v>
      </c>
      <c r="B75" s="520">
        <f>+SUM(B6:B74)</f>
        <v>7899.5078100000001</v>
      </c>
      <c r="C75" s="520">
        <f>+SUM(C6:C74)</f>
        <v>7761.9885999999988</v>
      </c>
      <c r="D75" s="521">
        <f>IF(C75=0,"",B75/C75-1)</f>
        <v>1.7717007468936563E-2</v>
      </c>
      <c r="M75" s="760"/>
      <c r="N75" s="761"/>
      <c r="O75" s="761"/>
      <c r="P75" s="761"/>
    </row>
    <row r="76" spans="1:16" ht="9.75" customHeight="1">
      <c r="E76" s="130"/>
      <c r="F76" s="130"/>
      <c r="G76" s="130"/>
      <c r="H76" s="130"/>
      <c r="I76" s="130"/>
      <c r="J76" s="130"/>
      <c r="K76" s="130"/>
      <c r="P76" s="761"/>
    </row>
    <row r="77" spans="1:16" ht="25.2" customHeight="1">
      <c r="A77" s="842" t="str">
        <f>"Cuadro N° 8: Participación de las empresas generadoras del COES en la máxima potencia coincidente (MW) en "&amp;'1. Resumen'!Q4&amp;"."</f>
        <v>Cuadro N° 8: Participación de las empresas generadoras del COES en la máxima potencia coincidente (MW) en febrero.</v>
      </c>
      <c r="B77" s="842"/>
      <c r="C77" s="842"/>
      <c r="D77" s="842"/>
      <c r="E77" s="124"/>
      <c r="F77" s="842" t="str">
        <f>"Gráfico N° 12: Comparación de la máxima potencia coincidente  (MW) de las empresas generadoras del COES en "&amp;'1. Resumen'!Q4&amp;"."</f>
        <v>Gráfico N° 12: Comparación de la máxima potencia coincidente  (MW) de las empresas generadoras del COES en febrero.</v>
      </c>
      <c r="G77" s="842"/>
      <c r="H77" s="842"/>
      <c r="I77" s="842"/>
      <c r="J77" s="842"/>
      <c r="K77" s="842"/>
    </row>
    <row r="78" spans="1:16">
      <c r="A78" s="855"/>
      <c r="B78" s="855"/>
      <c r="C78" s="855"/>
      <c r="D78" s="855"/>
      <c r="E78" s="855"/>
      <c r="F78" s="855"/>
      <c r="G78" s="855"/>
      <c r="H78" s="855"/>
      <c r="I78" s="855"/>
      <c r="J78" s="855"/>
      <c r="K78" s="855"/>
    </row>
    <row r="79" spans="1:16">
      <c r="A79" s="854"/>
      <c r="B79" s="854"/>
      <c r="C79" s="854"/>
      <c r="D79" s="854"/>
      <c r="E79" s="854"/>
      <c r="F79" s="854"/>
      <c r="G79" s="854"/>
      <c r="H79" s="854"/>
      <c r="I79" s="854"/>
      <c r="J79" s="854"/>
      <c r="K79" s="854"/>
    </row>
  </sheetData>
  <mergeCells count="9">
    <mergeCell ref="A79:K79"/>
    <mergeCell ref="A78:K78"/>
    <mergeCell ref="A77:D77"/>
    <mergeCell ref="F77:K77"/>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workbookViewId="0">
      <selection activeCell="C11" sqref="C11"/>
    </sheetView>
  </sheetViews>
  <sheetFormatPr defaultColWidth="11.7109375" defaultRowHeight="14.4"/>
  <cols>
    <col min="1" max="1" width="3" style="632" customWidth="1"/>
    <col min="2" max="2" width="7.7109375" style="632" customWidth="1"/>
    <col min="3" max="3" width="48" style="632" customWidth="1"/>
    <col min="4" max="6" width="16.42578125" style="632" customWidth="1"/>
    <col min="7" max="7" width="15.42578125" style="632" customWidth="1"/>
    <col min="8" max="9" width="11.7109375" style="632"/>
    <col min="10" max="10" width="65.42578125" style="632" customWidth="1"/>
    <col min="11" max="16384" width="11.7109375" style="632"/>
  </cols>
  <sheetData>
    <row r="1" spans="1:30" ht="58.5" customHeight="1">
      <c r="A1" s="864"/>
      <c r="B1" s="864"/>
      <c r="C1" s="631" t="s">
        <v>407</v>
      </c>
    </row>
    <row r="2" spans="1:30" ht="9.75" customHeight="1"/>
    <row r="3" spans="1:30" ht="15.6">
      <c r="A3" s="633" t="s">
        <v>201</v>
      </c>
      <c r="B3" s="684"/>
      <c r="C3" s="684"/>
    </row>
    <row r="4" spans="1:30">
      <c r="A4" s="684"/>
      <c r="B4" s="684"/>
      <c r="C4" s="684"/>
    </row>
    <row r="5" spans="1:30">
      <c r="A5" s="684"/>
      <c r="B5" s="683" t="s">
        <v>408</v>
      </c>
      <c r="C5" s="684"/>
    </row>
    <row r="6" spans="1:30">
      <c r="A6" s="684"/>
      <c r="B6" s="684"/>
      <c r="C6" s="684"/>
    </row>
    <row r="7" spans="1:30" ht="47.25" customHeight="1">
      <c r="C7" s="675" t="s">
        <v>409</v>
      </c>
      <c r="D7" s="675" t="s">
        <v>1006</v>
      </c>
      <c r="E7" s="675" t="s">
        <v>1007</v>
      </c>
      <c r="F7" s="675" t="s">
        <v>410</v>
      </c>
    </row>
    <row r="8" spans="1:30" ht="13.8" customHeight="1">
      <c r="C8" s="676" t="s">
        <v>411</v>
      </c>
      <c r="D8" s="677">
        <v>16.186679999999999</v>
      </c>
      <c r="E8" s="677">
        <v>11.91244</v>
      </c>
      <c r="F8" s="678">
        <v>0.30399999999999999</v>
      </c>
    </row>
    <row r="9" spans="1:30" ht="15.6" customHeight="1">
      <c r="C9" s="676" t="s">
        <v>412</v>
      </c>
      <c r="D9" s="677">
        <v>18.623999999999999</v>
      </c>
      <c r="E9" s="677">
        <v>22.003</v>
      </c>
      <c r="F9" s="678">
        <v>0.28000000000000003</v>
      </c>
      <c r="W9" s="634"/>
      <c r="X9" s="665" t="s">
        <v>541</v>
      </c>
      <c r="Y9" s="635"/>
      <c r="Z9" s="635"/>
      <c r="AA9" s="635"/>
      <c r="AB9" s="635"/>
      <c r="AC9" s="634"/>
      <c r="AD9" s="634"/>
    </row>
    <row r="10" spans="1:30" ht="20.399999999999999" customHeight="1">
      <c r="C10" s="676" t="s">
        <v>413</v>
      </c>
      <c r="D10" s="677">
        <v>22.393999999999998</v>
      </c>
      <c r="E10" s="677">
        <v>22.324999999999999</v>
      </c>
      <c r="F10" s="678">
        <v>0.36359999999999998</v>
      </c>
      <c r="W10" s="634"/>
      <c r="X10" s="665" t="s">
        <v>542</v>
      </c>
      <c r="Y10" s="635"/>
      <c r="Z10" s="635"/>
      <c r="AA10" s="635"/>
      <c r="AB10" s="635"/>
      <c r="AC10" s="634"/>
      <c r="AD10" s="634"/>
    </row>
    <row r="11" spans="1:30" ht="13.8" customHeight="1">
      <c r="C11" s="676" t="s">
        <v>414</v>
      </c>
      <c r="D11" s="677">
        <v>7.1289999999999996</v>
      </c>
      <c r="E11" s="677">
        <v>6.6</v>
      </c>
      <c r="F11" s="678">
        <v>0.08</v>
      </c>
      <c r="W11" s="634"/>
      <c r="X11" s="635"/>
      <c r="Y11" s="636"/>
      <c r="Z11" s="667"/>
      <c r="AA11" s="636"/>
      <c r="AB11" s="636"/>
      <c r="AC11" s="634"/>
      <c r="AD11" s="634"/>
    </row>
    <row r="12" spans="1:30" ht="13.8" customHeight="1">
      <c r="C12" s="676" t="s">
        <v>415</v>
      </c>
      <c r="D12" s="677">
        <v>7.6219999999999999</v>
      </c>
      <c r="E12" s="677">
        <v>6.1479999999999997</v>
      </c>
      <c r="F12" s="678">
        <v>0.1</v>
      </c>
      <c r="W12" s="634"/>
      <c r="X12" s="637">
        <v>1</v>
      </c>
      <c r="Y12" s="638"/>
      <c r="Z12" s="668"/>
      <c r="AA12" s="639"/>
      <c r="AB12" s="635"/>
      <c r="AC12" s="634"/>
      <c r="AD12" s="634"/>
    </row>
    <row r="13" spans="1:30" ht="13.8" customHeight="1">
      <c r="C13" s="676" t="s">
        <v>416</v>
      </c>
      <c r="D13" s="677">
        <v>10.433999999999999</v>
      </c>
      <c r="E13" s="677">
        <v>6.0140000000000002</v>
      </c>
      <c r="F13" s="678">
        <v>0.1</v>
      </c>
      <c r="W13" s="634"/>
      <c r="X13" s="637">
        <v>3</v>
      </c>
      <c r="Y13" s="638"/>
      <c r="Z13" s="668"/>
      <c r="AA13" s="639"/>
      <c r="AB13" s="635"/>
      <c r="AC13" s="634"/>
      <c r="AD13" s="634"/>
    </row>
    <row r="14" spans="1:30" ht="13.8" customHeight="1">
      <c r="C14" s="676" t="s">
        <v>417</v>
      </c>
      <c r="D14" s="677">
        <v>102.39100000000001</v>
      </c>
      <c r="E14" s="677">
        <v>73.355000000000004</v>
      </c>
      <c r="F14" s="678">
        <v>0.98</v>
      </c>
      <c r="W14" s="634"/>
      <c r="X14" s="637">
        <v>4</v>
      </c>
      <c r="Y14" s="638"/>
      <c r="Z14" s="668"/>
      <c r="AA14" s="639"/>
      <c r="AB14" s="635"/>
      <c r="AC14" s="634"/>
      <c r="AD14" s="634"/>
    </row>
    <row r="15" spans="1:30" ht="13.8" customHeight="1">
      <c r="C15" s="676" t="s">
        <v>418</v>
      </c>
      <c r="D15" s="677">
        <v>23.474</v>
      </c>
      <c r="E15" s="677">
        <v>18.698</v>
      </c>
      <c r="F15" s="678">
        <v>0.4</v>
      </c>
      <c r="W15" s="634"/>
      <c r="X15" s="637">
        <v>5</v>
      </c>
      <c r="Y15" s="638"/>
      <c r="Z15" s="668"/>
      <c r="AA15" s="639"/>
      <c r="AB15" s="635"/>
      <c r="AC15" s="634"/>
      <c r="AD15" s="634"/>
    </row>
    <row r="16" spans="1:30" ht="13.8" customHeight="1">
      <c r="C16" s="676" t="s">
        <v>419</v>
      </c>
      <c r="D16" s="677">
        <v>9.6020000000000003</v>
      </c>
      <c r="E16" s="677">
        <v>6.13</v>
      </c>
      <c r="F16" s="678">
        <v>0.13</v>
      </c>
      <c r="W16" s="634"/>
      <c r="X16" s="637">
        <v>6</v>
      </c>
      <c r="Y16" s="638"/>
      <c r="Z16" s="668"/>
      <c r="AA16" s="639"/>
      <c r="AB16" s="635"/>
      <c r="AC16" s="634"/>
      <c r="AD16" s="634"/>
    </row>
    <row r="17" spans="3:30" ht="13.8" customHeight="1">
      <c r="C17" s="676" t="s">
        <v>420</v>
      </c>
      <c r="D17" s="677">
        <v>26</v>
      </c>
      <c r="E17" s="677">
        <v>19.239999999999998</v>
      </c>
      <c r="F17" s="678">
        <v>0.25</v>
      </c>
      <c r="W17" s="634"/>
      <c r="X17" s="637">
        <v>7</v>
      </c>
      <c r="Y17" s="638"/>
      <c r="Z17" s="668"/>
      <c r="AA17" s="639"/>
      <c r="AB17" s="635"/>
      <c r="AC17" s="634"/>
      <c r="AD17" s="634"/>
    </row>
    <row r="18" spans="3:30" ht="13.8" customHeight="1">
      <c r="C18" s="676" t="s">
        <v>421</v>
      </c>
      <c r="D18" s="677">
        <v>77.802000000000007</v>
      </c>
      <c r="E18" s="677">
        <v>37.478000000000002</v>
      </c>
      <c r="F18" s="678">
        <v>0.76890000000000003</v>
      </c>
      <c r="W18" s="634"/>
      <c r="X18" s="637">
        <v>8</v>
      </c>
      <c r="Y18" s="638"/>
      <c r="Z18" s="668"/>
      <c r="AA18" s="639"/>
      <c r="AB18" s="635"/>
      <c r="AC18" s="634"/>
      <c r="AD18" s="634"/>
    </row>
    <row r="19" spans="3:30" ht="13.8" customHeight="1">
      <c r="C19" s="676" t="s">
        <v>422</v>
      </c>
      <c r="D19" s="677">
        <v>119.828</v>
      </c>
      <c r="E19" s="677">
        <v>88.909000000000006</v>
      </c>
      <c r="F19" s="678">
        <v>1.35</v>
      </c>
      <c r="W19" s="634"/>
      <c r="X19" s="637">
        <v>9</v>
      </c>
      <c r="Y19" s="638"/>
      <c r="Z19" s="668"/>
      <c r="AA19" s="639"/>
      <c r="AB19" s="635"/>
      <c r="AC19" s="634"/>
      <c r="AD19" s="634"/>
    </row>
    <row r="20" spans="3:30" ht="13.8" customHeight="1">
      <c r="C20" s="676" t="s">
        <v>423</v>
      </c>
      <c r="D20" s="677">
        <v>17.329000000000001</v>
      </c>
      <c r="E20" s="677">
        <v>13.651</v>
      </c>
      <c r="F20" s="678">
        <v>0.3</v>
      </c>
      <c r="W20" s="634"/>
      <c r="X20" s="637">
        <v>10</v>
      </c>
      <c r="Y20" s="638"/>
      <c r="Z20" s="668"/>
      <c r="AA20" s="639"/>
      <c r="AB20" s="635"/>
      <c r="AC20" s="634"/>
      <c r="AD20" s="634"/>
    </row>
    <row r="21" spans="3:30" ht="13.8" customHeight="1">
      <c r="C21" s="676" t="s">
        <v>424</v>
      </c>
      <c r="D21" s="677">
        <v>263.03699999999998</v>
      </c>
      <c r="E21" s="677">
        <v>228.78</v>
      </c>
      <c r="F21" s="678">
        <v>2.5</v>
      </c>
      <c r="W21" s="640"/>
      <c r="X21" s="637">
        <v>11</v>
      </c>
      <c r="Y21" s="638"/>
      <c r="Z21" s="668"/>
      <c r="AA21" s="639"/>
      <c r="AB21" s="641"/>
      <c r="AC21" s="640"/>
      <c r="AD21" s="640"/>
    </row>
    <row r="22" spans="3:30" ht="33.6" customHeight="1">
      <c r="C22" s="676" t="s">
        <v>425</v>
      </c>
      <c r="D22" s="677">
        <v>68.739999999999995</v>
      </c>
      <c r="E22" s="677">
        <v>62.34</v>
      </c>
      <c r="F22" s="678">
        <v>0.74650000000000005</v>
      </c>
      <c r="W22" s="640"/>
      <c r="X22" s="637">
        <v>12</v>
      </c>
      <c r="Y22" s="638"/>
      <c r="Z22" s="668"/>
      <c r="AA22" s="639"/>
      <c r="AB22" s="641"/>
      <c r="AC22" s="640"/>
      <c r="AD22" s="640"/>
    </row>
    <row r="23" spans="3:30" ht="14.4" customHeight="1">
      <c r="C23" s="676" t="s">
        <v>426</v>
      </c>
      <c r="D23" s="677">
        <v>0</v>
      </c>
      <c r="E23" s="677">
        <v>22.16</v>
      </c>
      <c r="F23" s="678">
        <v>0.246</v>
      </c>
      <c r="W23" s="640"/>
      <c r="X23" s="637">
        <v>13</v>
      </c>
      <c r="Y23" s="638"/>
      <c r="Z23" s="668"/>
      <c r="AA23" s="639"/>
      <c r="AB23" s="641"/>
      <c r="AC23" s="640"/>
      <c r="AD23" s="640"/>
    </row>
    <row r="24" spans="3:30" ht="14.4" customHeight="1">
      <c r="C24" s="676" t="s">
        <v>427</v>
      </c>
      <c r="D24" s="677">
        <v>126.301</v>
      </c>
      <c r="E24" s="677">
        <v>132.185</v>
      </c>
      <c r="F24" s="678">
        <v>1.3480000000000001</v>
      </c>
      <c r="W24" s="640"/>
      <c r="X24" s="637">
        <v>14</v>
      </c>
      <c r="Y24" s="638"/>
      <c r="Z24" s="668"/>
      <c r="AA24" s="639"/>
      <c r="AB24" s="641"/>
      <c r="AC24" s="640"/>
      <c r="AD24" s="640"/>
    </row>
    <row r="25" spans="3:30" ht="13.8" customHeight="1">
      <c r="C25" s="676" t="s">
        <v>428</v>
      </c>
      <c r="D25" s="677">
        <v>44.268999999999998</v>
      </c>
      <c r="E25" s="677">
        <v>44.268999999999998</v>
      </c>
      <c r="F25" s="678">
        <v>0.48299999999999998</v>
      </c>
      <c r="W25" s="640"/>
      <c r="X25" s="637">
        <v>15</v>
      </c>
      <c r="Y25" s="638"/>
      <c r="Z25" s="668"/>
      <c r="AA25" s="639"/>
      <c r="AB25" s="641"/>
      <c r="AC25" s="640"/>
      <c r="AD25" s="640"/>
    </row>
    <row r="26" spans="3:30" ht="20.399999999999999" customHeight="1">
      <c r="C26" s="676" t="s">
        <v>429</v>
      </c>
      <c r="D26" s="677">
        <v>47.17</v>
      </c>
      <c r="E26" s="677">
        <v>33.86</v>
      </c>
      <c r="F26" s="678">
        <v>3.76</v>
      </c>
      <c r="W26" s="640"/>
      <c r="X26" s="637">
        <v>16</v>
      </c>
      <c r="Y26" s="638"/>
      <c r="Z26" s="668"/>
      <c r="AA26" s="639"/>
      <c r="AB26" s="641"/>
      <c r="AC26" s="640"/>
      <c r="AD26" s="640"/>
    </row>
    <row r="27" spans="3:30" ht="20.399999999999999" customHeight="1">
      <c r="C27" s="676" t="s">
        <v>430</v>
      </c>
      <c r="D27" s="677">
        <v>34.140999999999998</v>
      </c>
      <c r="E27" s="677">
        <v>41.277999999999999</v>
      </c>
      <c r="F27" s="678">
        <v>0.28399999999999997</v>
      </c>
      <c r="W27" s="640"/>
      <c r="X27" s="637">
        <v>17</v>
      </c>
      <c r="Y27" s="638"/>
      <c r="Z27" s="668"/>
      <c r="AA27" s="639"/>
      <c r="AB27" s="641"/>
      <c r="AC27" s="640"/>
      <c r="AD27" s="640"/>
    </row>
    <row r="28" spans="3:30" ht="28.8" customHeight="1">
      <c r="C28" s="676" t="s">
        <v>431</v>
      </c>
      <c r="D28" s="677">
        <v>37.700000000000003</v>
      </c>
      <c r="E28" s="677">
        <v>32.07</v>
      </c>
      <c r="F28" s="678">
        <v>0.30399999999999999</v>
      </c>
      <c r="W28" s="640"/>
      <c r="X28" s="637">
        <v>18</v>
      </c>
      <c r="Y28" s="638"/>
      <c r="Z28" s="668"/>
      <c r="AA28" s="639"/>
      <c r="AB28" s="641"/>
      <c r="AC28" s="640"/>
      <c r="AD28" s="640"/>
    </row>
    <row r="29" spans="3:30" ht="22.2" customHeight="1">
      <c r="C29" s="676" t="s">
        <v>432</v>
      </c>
      <c r="D29" s="677">
        <v>12.1</v>
      </c>
      <c r="E29" s="677">
        <v>7.97</v>
      </c>
      <c r="F29" s="678">
        <v>0.14149999999999999</v>
      </c>
      <c r="W29" s="640"/>
      <c r="X29" s="637">
        <v>19</v>
      </c>
      <c r="Y29" s="638"/>
      <c r="Z29" s="668"/>
      <c r="AA29" s="639"/>
      <c r="AB29" s="641"/>
      <c r="AC29" s="640"/>
      <c r="AD29" s="640"/>
    </row>
    <row r="30" spans="3:30" ht="20.399999999999999" customHeight="1">
      <c r="C30" s="676" t="s">
        <v>433</v>
      </c>
      <c r="D30" s="677">
        <v>56.29</v>
      </c>
      <c r="E30" s="677">
        <v>57.03</v>
      </c>
      <c r="F30" s="678">
        <v>0.64800000000000002</v>
      </c>
      <c r="W30" s="640"/>
      <c r="X30" s="637">
        <v>20</v>
      </c>
      <c r="Y30" s="638"/>
      <c r="Z30" s="668"/>
      <c r="AA30" s="639"/>
      <c r="AB30" s="641"/>
      <c r="AC30" s="640"/>
      <c r="AD30" s="640"/>
    </row>
    <row r="31" spans="3:30" ht="13.8" customHeight="1">
      <c r="C31" s="676" t="s">
        <v>434</v>
      </c>
      <c r="D31" s="677">
        <v>22.11</v>
      </c>
      <c r="E31" s="677">
        <v>19.87</v>
      </c>
      <c r="F31" s="678">
        <v>0.42780000000000001</v>
      </c>
      <c r="W31" s="640"/>
      <c r="X31" s="637">
        <v>21</v>
      </c>
      <c r="Y31" s="638"/>
      <c r="Z31" s="668"/>
      <c r="AA31" s="639"/>
      <c r="AB31" s="641"/>
      <c r="AC31" s="640"/>
      <c r="AD31" s="640"/>
    </row>
    <row r="32" spans="3:30" ht="20.399999999999999" customHeight="1">
      <c r="C32" s="676" t="s">
        <v>435</v>
      </c>
      <c r="D32" s="677">
        <v>32.89</v>
      </c>
      <c r="E32" s="677">
        <v>33.67</v>
      </c>
      <c r="F32" s="678">
        <v>0.56000000000000005</v>
      </c>
      <c r="W32" s="640"/>
      <c r="X32" s="637">
        <v>22</v>
      </c>
      <c r="Y32" s="638"/>
      <c r="Z32" s="668"/>
      <c r="AA32" s="639"/>
      <c r="AB32" s="641"/>
      <c r="AC32" s="640"/>
      <c r="AD32" s="640"/>
    </row>
    <row r="33" spans="3:30" ht="13.8" customHeight="1">
      <c r="C33" s="676" t="s">
        <v>436</v>
      </c>
      <c r="D33" s="677">
        <v>303.54399999999998</v>
      </c>
      <c r="E33" s="677">
        <v>282.14499999999998</v>
      </c>
      <c r="F33" s="678">
        <v>3.76</v>
      </c>
      <c r="W33" s="640"/>
      <c r="X33" s="637">
        <v>23</v>
      </c>
      <c r="Y33" s="638"/>
      <c r="Z33" s="668"/>
      <c r="AA33" s="639"/>
      <c r="AB33" s="641"/>
      <c r="AC33" s="640"/>
      <c r="AD33" s="640"/>
    </row>
    <row r="34" spans="3:30" ht="13.8" customHeight="1">
      <c r="C34" s="676" t="s">
        <v>437</v>
      </c>
      <c r="D34" s="677">
        <v>93.73</v>
      </c>
      <c r="E34" s="677">
        <v>71.010000000000005</v>
      </c>
      <c r="F34" s="678">
        <v>1.1000000000000001</v>
      </c>
      <c r="W34" s="640"/>
      <c r="X34" s="637">
        <v>24</v>
      </c>
      <c r="Y34" s="638"/>
      <c r="Z34" s="668"/>
      <c r="AA34" s="639"/>
      <c r="AB34" s="641"/>
      <c r="AC34" s="640"/>
      <c r="AD34" s="640"/>
    </row>
    <row r="35" spans="3:30" ht="13.8" customHeight="1">
      <c r="C35" s="676" t="s">
        <v>438</v>
      </c>
      <c r="D35" s="677">
        <v>7.1190800000000003</v>
      </c>
      <c r="E35" s="677">
        <v>9.5478900000000007</v>
      </c>
      <c r="F35" s="678">
        <v>0.15</v>
      </c>
      <c r="W35" s="640"/>
      <c r="X35" s="637">
        <v>25</v>
      </c>
      <c r="Y35" s="638"/>
      <c r="Z35" s="668"/>
      <c r="AA35" s="639"/>
      <c r="AB35" s="641"/>
      <c r="AC35" s="640"/>
      <c r="AD35" s="640"/>
    </row>
    <row r="36" spans="3:30" ht="13.8" customHeight="1">
      <c r="C36" s="676" t="s">
        <v>439</v>
      </c>
      <c r="D36" s="677">
        <v>46.637999999999998</v>
      </c>
      <c r="E36" s="677">
        <v>26.876000000000001</v>
      </c>
      <c r="F36" s="678">
        <v>0.7</v>
      </c>
      <c r="W36" s="640"/>
      <c r="X36" s="637">
        <v>26</v>
      </c>
      <c r="Y36" s="638"/>
      <c r="Z36" s="668"/>
      <c r="AA36" s="639"/>
      <c r="AB36" s="641"/>
      <c r="AC36" s="640"/>
      <c r="AD36" s="640"/>
    </row>
    <row r="37" spans="3:30">
      <c r="C37" s="682" t="s">
        <v>758</v>
      </c>
      <c r="W37" s="640"/>
      <c r="X37" s="637">
        <v>27</v>
      </c>
      <c r="Y37" s="638"/>
      <c r="Z37" s="668"/>
      <c r="AA37" s="639"/>
      <c r="AB37" s="641"/>
      <c r="AC37" s="640"/>
      <c r="AD37" s="640"/>
    </row>
    <row r="38" spans="3:30">
      <c r="W38" s="640"/>
      <c r="X38" s="637">
        <v>28</v>
      </c>
      <c r="Y38" s="638"/>
      <c r="Z38" s="669"/>
      <c r="AA38" s="639"/>
      <c r="AB38" s="641"/>
      <c r="AC38" s="640"/>
      <c r="AD38" s="640"/>
    </row>
    <row r="39" spans="3:30">
      <c r="I39" s="642"/>
      <c r="J39" s="642"/>
      <c r="K39" s="642"/>
      <c r="W39" s="640"/>
      <c r="X39" s="637">
        <v>29</v>
      </c>
      <c r="Y39" s="638"/>
      <c r="Z39" s="668"/>
      <c r="AA39" s="639"/>
      <c r="AB39" s="641"/>
      <c r="AC39" s="640"/>
      <c r="AD39" s="640"/>
    </row>
    <row r="40" spans="3:30">
      <c r="I40" s="643"/>
      <c r="J40" s="643"/>
      <c r="K40" s="643"/>
      <c r="W40" s="640"/>
      <c r="X40" s="637">
        <v>30</v>
      </c>
      <c r="Y40" s="638"/>
      <c r="Z40" s="668"/>
      <c r="AA40" s="639"/>
      <c r="AB40" s="641"/>
      <c r="AC40" s="640"/>
      <c r="AD40" s="640"/>
    </row>
    <row r="41" spans="3:30">
      <c r="I41" s="643"/>
      <c r="J41" s="643"/>
      <c r="K41" s="643"/>
      <c r="W41" s="640"/>
      <c r="X41" s="637">
        <v>31</v>
      </c>
      <c r="Y41" s="638"/>
      <c r="Z41" s="668"/>
      <c r="AA41" s="639"/>
      <c r="AB41" s="641"/>
      <c r="AC41" s="640"/>
      <c r="AD41" s="640"/>
    </row>
    <row r="42" spans="3:30">
      <c r="I42" s="643"/>
      <c r="J42" s="643"/>
      <c r="K42" s="643"/>
      <c r="W42" s="640"/>
      <c r="X42" s="637">
        <v>32</v>
      </c>
      <c r="Y42" s="638"/>
      <c r="Z42" s="668"/>
      <c r="AA42" s="639"/>
      <c r="AB42" s="641"/>
      <c r="AC42" s="640"/>
      <c r="AD42" s="640"/>
    </row>
    <row r="43" spans="3:30">
      <c r="W43" s="640"/>
      <c r="X43" s="637">
        <v>33</v>
      </c>
      <c r="Y43" s="638"/>
      <c r="Z43" s="668"/>
      <c r="AA43" s="639"/>
      <c r="AB43" s="641"/>
      <c r="AC43" s="640"/>
      <c r="AD43" s="640"/>
    </row>
    <row r="44" spans="3:30">
      <c r="W44" s="640"/>
      <c r="X44" s="637">
        <v>34</v>
      </c>
      <c r="Y44" s="638"/>
      <c r="Z44" s="668"/>
      <c r="AA44" s="639"/>
      <c r="AB44" s="641"/>
      <c r="AC44" s="640"/>
      <c r="AD44" s="640"/>
    </row>
    <row r="45" spans="3:30">
      <c r="W45" s="640"/>
      <c r="X45" s="637">
        <v>35</v>
      </c>
      <c r="Y45" s="644"/>
      <c r="Z45" s="668"/>
      <c r="AA45" s="639"/>
      <c r="AB45" s="641"/>
      <c r="AC45" s="640"/>
      <c r="AD45" s="640"/>
    </row>
    <row r="46" spans="3:30">
      <c r="W46" s="640"/>
      <c r="X46" s="637">
        <v>36</v>
      </c>
      <c r="Y46" s="644"/>
      <c r="Z46" s="668"/>
      <c r="AA46" s="639"/>
      <c r="AB46" s="641"/>
      <c r="AC46" s="640"/>
      <c r="AD46" s="640"/>
    </row>
    <row r="47" spans="3:30">
      <c r="W47" s="640"/>
      <c r="X47" s="637">
        <v>37</v>
      </c>
      <c r="Y47" s="638"/>
      <c r="Z47" s="668"/>
      <c r="AA47" s="639"/>
      <c r="AB47" s="641"/>
      <c r="AC47" s="640"/>
      <c r="AD47" s="640"/>
    </row>
    <row r="48" spans="3:30">
      <c r="W48" s="640"/>
      <c r="X48" s="637">
        <v>38</v>
      </c>
      <c r="Y48" s="638"/>
      <c r="Z48" s="668"/>
      <c r="AA48" s="639"/>
      <c r="AB48" s="641"/>
      <c r="AC48" s="640"/>
      <c r="AD48" s="640"/>
    </row>
    <row r="49" spans="23:30">
      <c r="W49" s="640"/>
      <c r="X49" s="637">
        <v>39</v>
      </c>
      <c r="Y49" s="638"/>
      <c r="Z49" s="668"/>
      <c r="AA49" s="639"/>
      <c r="AB49" s="641"/>
      <c r="AC49" s="640"/>
      <c r="AD49" s="640"/>
    </row>
    <row r="50" spans="23:30">
      <c r="W50" s="640"/>
      <c r="X50" s="637">
        <v>40</v>
      </c>
      <c r="Y50" s="638"/>
      <c r="Z50" s="668"/>
      <c r="AA50" s="639"/>
      <c r="AB50" s="641"/>
      <c r="AC50" s="640"/>
      <c r="AD50" s="640"/>
    </row>
    <row r="51" spans="23:30">
      <c r="W51" s="640"/>
      <c r="X51" s="637">
        <v>41</v>
      </c>
      <c r="Y51" s="638"/>
      <c r="Z51" s="668"/>
      <c r="AA51" s="639"/>
      <c r="AB51" s="641"/>
      <c r="AC51" s="640"/>
      <c r="AD51" s="640"/>
    </row>
    <row r="52" spans="23:30">
      <c r="W52" s="640"/>
      <c r="X52" s="637">
        <v>42</v>
      </c>
      <c r="Y52" s="638"/>
      <c r="Z52" s="668"/>
      <c r="AA52" s="639"/>
      <c r="AB52" s="641"/>
      <c r="AC52" s="640"/>
      <c r="AD52" s="640"/>
    </row>
    <row r="53" spans="23:30">
      <c r="W53" s="640"/>
      <c r="X53" s="637">
        <v>43</v>
      </c>
      <c r="Y53" s="638"/>
      <c r="Z53" s="668"/>
      <c r="AA53" s="639"/>
      <c r="AB53" s="641"/>
      <c r="AC53" s="640"/>
      <c r="AD53" s="640"/>
    </row>
    <row r="54" spans="23:30">
      <c r="W54" s="640"/>
      <c r="X54" s="637">
        <v>44</v>
      </c>
      <c r="Y54" s="638"/>
      <c r="Z54" s="668"/>
      <c r="AA54" s="641"/>
      <c r="AB54" s="641"/>
      <c r="AC54" s="640"/>
      <c r="AD54" s="640"/>
    </row>
    <row r="55" spans="23:30">
      <c r="W55" s="640"/>
      <c r="X55" s="637">
        <v>45</v>
      </c>
      <c r="Y55" s="638"/>
      <c r="Z55" s="668"/>
      <c r="AA55" s="639"/>
      <c r="AB55" s="641"/>
      <c r="AC55" s="640"/>
      <c r="AD55" s="640"/>
    </row>
    <row r="56" spans="23:30">
      <c r="W56" s="640"/>
      <c r="X56" s="637">
        <v>46</v>
      </c>
      <c r="Y56" s="638"/>
      <c r="Z56" s="668"/>
      <c r="AA56" s="639"/>
      <c r="AB56" s="641"/>
      <c r="AC56" s="640"/>
      <c r="AD56" s="640"/>
    </row>
    <row r="57" spans="23:30">
      <c r="W57" s="640"/>
      <c r="X57" s="637">
        <v>47</v>
      </c>
      <c r="Y57" s="638"/>
      <c r="Z57" s="668"/>
      <c r="AA57" s="639"/>
      <c r="AB57" s="641"/>
      <c r="AC57" s="640"/>
      <c r="AD57" s="640"/>
    </row>
    <row r="58" spans="23:30">
      <c r="W58" s="640"/>
      <c r="X58" s="637">
        <v>48</v>
      </c>
      <c r="Y58" s="638"/>
      <c r="Z58" s="668"/>
      <c r="AA58" s="639"/>
      <c r="AB58" s="641"/>
      <c r="AC58" s="640"/>
      <c r="AD58" s="640"/>
    </row>
    <row r="59" spans="23:30">
      <c r="W59" s="640"/>
      <c r="X59" s="637">
        <v>49</v>
      </c>
      <c r="Y59" s="638"/>
      <c r="Z59" s="668"/>
      <c r="AA59" s="639"/>
      <c r="AB59" s="641"/>
      <c r="AC59" s="640"/>
      <c r="AD59" s="640"/>
    </row>
    <row r="60" spans="23:30">
      <c r="W60" s="640"/>
      <c r="X60" s="637">
        <v>50</v>
      </c>
      <c r="Y60" s="638"/>
      <c r="Z60" s="668"/>
      <c r="AA60" s="639"/>
      <c r="AB60" s="641"/>
      <c r="AC60" s="640"/>
      <c r="AD60" s="640"/>
    </row>
    <row r="61" spans="23:30">
      <c r="W61" s="640"/>
      <c r="X61" s="637">
        <v>51</v>
      </c>
      <c r="Y61" s="638"/>
      <c r="Z61" s="668"/>
      <c r="AA61" s="639"/>
      <c r="AB61" s="641"/>
      <c r="AC61" s="640"/>
      <c r="AD61" s="640"/>
    </row>
    <row r="62" spans="23:30">
      <c r="W62" s="640"/>
      <c r="X62" s="637">
        <v>52</v>
      </c>
      <c r="Y62" s="638"/>
      <c r="Z62" s="668"/>
      <c r="AA62" s="639"/>
      <c r="AB62" s="641"/>
      <c r="AC62" s="640"/>
      <c r="AD62" s="640"/>
    </row>
    <row r="63" spans="23:30">
      <c r="W63" s="640"/>
      <c r="X63" s="637">
        <v>53</v>
      </c>
      <c r="Y63" s="666"/>
      <c r="Z63" s="670"/>
      <c r="AA63" s="645"/>
      <c r="AB63" s="640"/>
      <c r="AC63" s="640"/>
      <c r="AD63" s="640"/>
    </row>
    <row r="64" spans="23:30">
      <c r="W64" s="640"/>
      <c r="X64" s="640"/>
      <c r="Y64" s="666"/>
      <c r="Z64" s="670"/>
      <c r="AA64" s="645"/>
      <c r="AB64" s="640"/>
      <c r="AC64" s="640"/>
      <c r="AD64" s="640"/>
    </row>
  </sheetData>
  <mergeCells count="1">
    <mergeCell ref="A1:B1"/>
  </mergeCells>
  <conditionalFormatting sqref="C8:C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85" zoomScaleSheetLayoutView="115" zoomScalePageLayoutView="80" workbookViewId="0">
      <selection activeCell="K7" sqref="K7"/>
    </sheetView>
  </sheetViews>
  <sheetFormatPr defaultColWidth="11.7109375" defaultRowHeight="14.4"/>
  <cols>
    <col min="1" max="1" width="3" style="632" customWidth="1"/>
    <col min="2" max="2" width="22.5703125" style="632" customWidth="1"/>
    <col min="3" max="3" width="12.140625" style="632" customWidth="1"/>
    <col min="4" max="8" width="11.7109375" style="632"/>
    <col min="9" max="9" width="11.7109375" style="632" customWidth="1"/>
    <col min="10" max="10" width="13.85546875" style="632" customWidth="1"/>
    <col min="11" max="137" width="11.7109375" style="697"/>
    <col min="138" max="16384" width="11.7109375" style="632"/>
  </cols>
  <sheetData>
    <row r="1" spans="1:155" ht="58.5" customHeight="1">
      <c r="A1" s="864"/>
      <c r="B1" s="864"/>
      <c r="C1" s="631" t="s">
        <v>407</v>
      </c>
    </row>
    <row r="2" spans="1:155" ht="9.75" customHeight="1"/>
    <row r="3" spans="1:155" ht="15.6">
      <c r="A3" s="633" t="s">
        <v>201</v>
      </c>
    </row>
    <row r="4" spans="1:155" ht="10.199999999999999" customHeight="1"/>
    <row r="5" spans="1:155">
      <c r="B5" s="683" t="s">
        <v>440</v>
      </c>
    </row>
    <row r="9" spans="1:155">
      <c r="L9" s="697">
        <v>1</v>
      </c>
      <c r="R9" s="697">
        <v>2</v>
      </c>
      <c r="U9" s="698"/>
      <c r="V9" s="698"/>
      <c r="X9" s="697">
        <v>3</v>
      </c>
      <c r="AD9" s="697">
        <v>4</v>
      </c>
      <c r="AJ9" s="697">
        <v>5</v>
      </c>
      <c r="AP9" s="697">
        <v>6</v>
      </c>
      <c r="AS9" s="698"/>
      <c r="AT9" s="698"/>
      <c r="AV9" s="697">
        <v>7</v>
      </c>
      <c r="BB9" s="697">
        <v>8</v>
      </c>
      <c r="BE9" s="698"/>
      <c r="BF9" s="698"/>
      <c r="BH9" s="697">
        <v>9</v>
      </c>
      <c r="BN9" s="697">
        <v>10</v>
      </c>
      <c r="BT9" s="697">
        <v>11</v>
      </c>
      <c r="BZ9" s="697">
        <v>12</v>
      </c>
      <c r="CF9" s="697">
        <v>13</v>
      </c>
      <c r="CL9" s="697">
        <v>14</v>
      </c>
      <c r="CO9" s="698"/>
      <c r="CP9" s="698"/>
      <c r="CR9" s="697">
        <v>15</v>
      </c>
      <c r="CX9" s="697">
        <v>16</v>
      </c>
      <c r="DD9" s="697">
        <v>17</v>
      </c>
      <c r="DJ9" s="697">
        <v>18</v>
      </c>
      <c r="DM9" s="698"/>
      <c r="DN9" s="698"/>
      <c r="DP9" s="697">
        <v>19</v>
      </c>
      <c r="DV9" s="697">
        <v>20</v>
      </c>
      <c r="EB9" s="697">
        <v>21</v>
      </c>
      <c r="EH9" s="632">
        <v>22</v>
      </c>
      <c r="EK9" s="634"/>
      <c r="EL9" s="634"/>
      <c r="EN9" s="632">
        <v>23</v>
      </c>
      <c r="ET9" s="632">
        <v>24</v>
      </c>
    </row>
    <row r="10" spans="1:155">
      <c r="L10" s="699" t="s">
        <v>441</v>
      </c>
      <c r="M10" s="698"/>
      <c r="N10" s="698"/>
      <c r="O10" s="698"/>
      <c r="P10" s="698" t="s">
        <v>442</v>
      </c>
      <c r="Q10" s="698" t="s">
        <v>443</v>
      </c>
      <c r="R10" s="699" t="s">
        <v>444</v>
      </c>
      <c r="S10" s="698"/>
      <c r="T10" s="698"/>
      <c r="U10" s="698"/>
      <c r="V10" s="698" t="s">
        <v>442</v>
      </c>
      <c r="W10" s="698" t="s">
        <v>443</v>
      </c>
      <c r="X10" s="699" t="s">
        <v>445</v>
      </c>
      <c r="Y10" s="698"/>
      <c r="Z10" s="698"/>
      <c r="AA10" s="698"/>
      <c r="AB10" s="698" t="s">
        <v>442</v>
      </c>
      <c r="AC10" s="698" t="s">
        <v>443</v>
      </c>
      <c r="AD10" s="699" t="s">
        <v>446</v>
      </c>
      <c r="AE10" s="698"/>
      <c r="AF10" s="698"/>
      <c r="AG10" s="698"/>
      <c r="AH10" s="698" t="s">
        <v>442</v>
      </c>
      <c r="AI10" s="698" t="s">
        <v>443</v>
      </c>
      <c r="AJ10" s="699" t="s">
        <v>447</v>
      </c>
      <c r="AK10" s="698"/>
      <c r="AL10" s="698"/>
      <c r="AM10" s="698"/>
      <c r="AN10" s="698" t="s">
        <v>442</v>
      </c>
      <c r="AO10" s="698" t="s">
        <v>443</v>
      </c>
      <c r="AP10" s="699" t="s">
        <v>448</v>
      </c>
      <c r="AQ10" s="698"/>
      <c r="AR10" s="698"/>
      <c r="AS10" s="698"/>
      <c r="AT10" s="698" t="s">
        <v>442</v>
      </c>
      <c r="AU10" s="698" t="s">
        <v>443</v>
      </c>
      <c r="AV10" s="699" t="s">
        <v>551</v>
      </c>
      <c r="AW10" s="698"/>
      <c r="AX10" s="698"/>
      <c r="AY10" s="698"/>
      <c r="AZ10" s="698" t="s">
        <v>442</v>
      </c>
      <c r="BA10" s="698" t="s">
        <v>443</v>
      </c>
      <c r="BB10" s="699" t="s">
        <v>449</v>
      </c>
      <c r="BC10" s="698"/>
      <c r="BD10" s="698"/>
      <c r="BE10" s="698"/>
      <c r="BF10" s="698" t="s">
        <v>442</v>
      </c>
      <c r="BG10" s="698" t="s">
        <v>443</v>
      </c>
      <c r="BH10" s="699" t="s">
        <v>450</v>
      </c>
      <c r="BI10" s="698"/>
      <c r="BJ10" s="698"/>
      <c r="BK10" s="698"/>
      <c r="BL10" s="698" t="s">
        <v>442</v>
      </c>
      <c r="BM10" s="698" t="s">
        <v>443</v>
      </c>
      <c r="BN10" s="699" t="s">
        <v>451</v>
      </c>
      <c r="BO10" s="698"/>
      <c r="BP10" s="698"/>
      <c r="BQ10" s="698"/>
      <c r="BR10" s="698" t="s">
        <v>442</v>
      </c>
      <c r="BS10" s="698" t="s">
        <v>443</v>
      </c>
      <c r="BT10" s="699" t="s">
        <v>452</v>
      </c>
      <c r="BU10" s="698"/>
      <c r="BV10" s="698"/>
      <c r="BW10" s="698"/>
      <c r="BX10" s="698" t="s">
        <v>442</v>
      </c>
      <c r="BY10" s="698" t="s">
        <v>443</v>
      </c>
      <c r="BZ10" s="699" t="s">
        <v>552</v>
      </c>
      <c r="CA10" s="698"/>
      <c r="CB10" s="698"/>
      <c r="CC10" s="698"/>
      <c r="CD10" s="698" t="s">
        <v>442</v>
      </c>
      <c r="CE10" s="698" t="s">
        <v>443</v>
      </c>
      <c r="CF10" s="699" t="str">
        <f>_xlfn.CONCAT("Titulo Grafico ",CF9)</f>
        <v>Titulo Grafico 13</v>
      </c>
      <c r="CG10" s="698"/>
      <c r="CH10" s="698"/>
      <c r="CI10" s="698"/>
      <c r="CJ10" s="698" t="str">
        <f>_xlfn.CONCAT("Texto Eje Y",CF9)</f>
        <v>Texto Eje Y13</v>
      </c>
      <c r="CK10" s="698" t="str">
        <f>_xlfn.CONCAT("Texto Eje X",CF9)</f>
        <v>Texto Eje X13</v>
      </c>
      <c r="CL10" s="699" t="str">
        <f>_xlfn.CONCAT("Titulo Grafico ",CL9)</f>
        <v>Titulo Grafico 14</v>
      </c>
      <c r="CM10" s="698"/>
      <c r="CN10" s="698"/>
      <c r="CO10" s="698"/>
      <c r="CP10" s="698" t="str">
        <f>_xlfn.CONCAT("Texto Eje Y",CL9)</f>
        <v>Texto Eje Y14</v>
      </c>
      <c r="CQ10" s="698" t="str">
        <f>_xlfn.CONCAT("Texto Eje X",CL9)</f>
        <v>Texto Eje X14</v>
      </c>
      <c r="CR10" s="699" t="str">
        <f>_xlfn.CONCAT("Titulo Grafico ",CR9)</f>
        <v>Titulo Grafico 15</v>
      </c>
      <c r="CS10" s="698"/>
      <c r="CT10" s="698"/>
      <c r="CU10" s="698"/>
      <c r="CV10" s="698" t="str">
        <f>_xlfn.CONCAT("Texto Eje Y",CR9)</f>
        <v>Texto Eje Y15</v>
      </c>
      <c r="CW10" s="698" t="str">
        <f>_xlfn.CONCAT("Texto Eje X",CR9)</f>
        <v>Texto Eje X15</v>
      </c>
      <c r="CX10" s="699" t="str">
        <f>_xlfn.CONCAT("Titulo Grafico ",CX9)</f>
        <v>Titulo Grafico 16</v>
      </c>
      <c r="CY10" s="698"/>
      <c r="CZ10" s="698"/>
      <c r="DA10" s="698"/>
      <c r="DB10" s="698" t="str">
        <f>_xlfn.CONCAT("Texto Eje Y",CX9)</f>
        <v>Texto Eje Y16</v>
      </c>
      <c r="DC10" s="698" t="str">
        <f>_xlfn.CONCAT("Texto Eje X",CX9)</f>
        <v>Texto Eje X16</v>
      </c>
      <c r="DD10" s="699" t="str">
        <f>_xlfn.CONCAT("Titulo Grafico ",DD9)</f>
        <v>Titulo Grafico 17</v>
      </c>
      <c r="DE10" s="698"/>
      <c r="DF10" s="698"/>
      <c r="DG10" s="698"/>
      <c r="DH10" s="698" t="str">
        <f>_xlfn.CONCAT("Texto Eje Y",DD9)</f>
        <v>Texto Eje Y17</v>
      </c>
      <c r="DI10" s="698" t="str">
        <f>_xlfn.CONCAT("Texto Eje X",DD9)</f>
        <v>Texto Eje X17</v>
      </c>
      <c r="DJ10" s="699" t="str">
        <f>_xlfn.CONCAT("Titulo Grafico ",DJ9)</f>
        <v>Titulo Grafico 18</v>
      </c>
      <c r="DK10" s="698"/>
      <c r="DL10" s="698"/>
      <c r="DM10" s="698"/>
      <c r="DN10" s="698" t="str">
        <f>_xlfn.CONCAT("Texto Eje Y",DJ9)</f>
        <v>Texto Eje Y18</v>
      </c>
      <c r="DO10" s="698" t="str">
        <f>_xlfn.CONCAT("Texto Eje X",DJ9)</f>
        <v>Texto Eje X18</v>
      </c>
      <c r="DP10" s="699" t="str">
        <f>_xlfn.CONCAT("Titulo Grafico ",DP9)</f>
        <v>Titulo Grafico 19</v>
      </c>
      <c r="DQ10" s="698"/>
      <c r="DR10" s="698"/>
      <c r="DS10" s="698"/>
      <c r="DT10" s="698" t="str">
        <f>_xlfn.CONCAT("Texto Eje Y",DP9)</f>
        <v>Texto Eje Y19</v>
      </c>
      <c r="DU10" s="698" t="str">
        <f>_xlfn.CONCAT("Texto Eje X",DP9)</f>
        <v>Texto Eje X19</v>
      </c>
      <c r="DV10" s="699" t="str">
        <f>_xlfn.CONCAT("Titulo Grafico ",DV9)</f>
        <v>Titulo Grafico 20</v>
      </c>
      <c r="DW10" s="698"/>
      <c r="DX10" s="698"/>
      <c r="DY10" s="698"/>
      <c r="DZ10" s="698" t="str">
        <f>_xlfn.CONCAT("Texto Eje Y",DV9)</f>
        <v>Texto Eje Y20</v>
      </c>
      <c r="EA10" s="698" t="str">
        <f>_xlfn.CONCAT("Texto Eje X",DV9)</f>
        <v>Texto Eje X20</v>
      </c>
      <c r="EB10" s="699" t="str">
        <f>_xlfn.CONCAT("Titulo Grafico ",EB9)</f>
        <v>Titulo Grafico 21</v>
      </c>
      <c r="EC10" s="698"/>
      <c r="ED10" s="698"/>
      <c r="EE10" s="698"/>
      <c r="EF10" s="698" t="str">
        <f>_xlfn.CONCAT("Texto Eje Y",EB9)</f>
        <v>Texto Eje Y21</v>
      </c>
      <c r="EG10" s="698" t="str">
        <f>_xlfn.CONCAT("Texto Eje X",EB9)</f>
        <v>Texto Eje X21</v>
      </c>
      <c r="EH10" s="693" t="str">
        <f>_xlfn.CONCAT("Titulo Grafico ",EH9)</f>
        <v>Titulo Grafico 22</v>
      </c>
      <c r="EI10" s="634"/>
      <c r="EJ10" s="634"/>
      <c r="EK10" s="634"/>
      <c r="EL10" s="634" t="str">
        <f>_xlfn.CONCAT("Texto Eje Y",EH9)</f>
        <v>Texto Eje Y22</v>
      </c>
      <c r="EM10" s="634" t="str">
        <f>_xlfn.CONCAT("Texto Eje X",EH9)</f>
        <v>Texto Eje X22</v>
      </c>
      <c r="EN10" s="693" t="str">
        <f>_xlfn.CONCAT("Titulo Grafico ",EN9)</f>
        <v>Titulo Grafico 23</v>
      </c>
      <c r="EO10" s="634"/>
      <c r="EP10" s="634"/>
      <c r="EQ10" s="634"/>
      <c r="ER10" s="634" t="str">
        <f>_xlfn.CONCAT("Texto Eje Y",EN9)</f>
        <v>Texto Eje Y23</v>
      </c>
      <c r="ES10" s="634" t="str">
        <f>_xlfn.CONCAT("Texto Eje X",EN9)</f>
        <v>Texto Eje X23</v>
      </c>
      <c r="ET10" s="693" t="str">
        <f>_xlfn.CONCAT("Titulo Grafico ",ET9)</f>
        <v>Titulo Grafico 24</v>
      </c>
      <c r="EU10" s="634"/>
      <c r="EV10" s="634"/>
      <c r="EW10" s="634"/>
      <c r="EX10" s="634" t="str">
        <f>_xlfn.CONCAT("Texto Eje Y",ET9)</f>
        <v>Texto Eje Y24</v>
      </c>
      <c r="EY10" s="634" t="str">
        <f>_xlfn.CONCAT("Texto Eje X",ET9)</f>
        <v>Texto Eje X24</v>
      </c>
    </row>
    <row r="11" spans="1:155">
      <c r="L11" s="698"/>
      <c r="M11" s="700" t="s">
        <v>454</v>
      </c>
      <c r="N11" s="700" t="s">
        <v>455</v>
      </c>
      <c r="O11" s="700" t="s">
        <v>456</v>
      </c>
      <c r="P11" s="700" t="s">
        <v>745</v>
      </c>
      <c r="R11" s="698"/>
      <c r="S11" s="700" t="s">
        <v>454</v>
      </c>
      <c r="T11" s="700" t="s">
        <v>455</v>
      </c>
      <c r="U11" s="700" t="s">
        <v>456</v>
      </c>
      <c r="V11" s="700" t="s">
        <v>745</v>
      </c>
      <c r="X11" s="698"/>
      <c r="Y11" s="700" t="s">
        <v>454</v>
      </c>
      <c r="Z11" s="700" t="s">
        <v>455</v>
      </c>
      <c r="AA11" s="700" t="s">
        <v>456</v>
      </c>
      <c r="AB11" s="700" t="s">
        <v>745</v>
      </c>
      <c r="AD11" s="698"/>
      <c r="AE11" s="700" t="s">
        <v>454</v>
      </c>
      <c r="AF11" s="700" t="s">
        <v>455</v>
      </c>
      <c r="AG11" s="700" t="s">
        <v>456</v>
      </c>
      <c r="AH11" s="700" t="s">
        <v>745</v>
      </c>
      <c r="AJ11" s="698"/>
      <c r="AK11" s="700" t="s">
        <v>454</v>
      </c>
      <c r="AL11" s="700" t="s">
        <v>455</v>
      </c>
      <c r="AM11" s="700" t="s">
        <v>456</v>
      </c>
      <c r="AN11" s="700" t="s">
        <v>745</v>
      </c>
      <c r="AP11" s="698"/>
      <c r="AQ11" s="700" t="s">
        <v>454</v>
      </c>
      <c r="AR11" s="700" t="s">
        <v>455</v>
      </c>
      <c r="AS11" s="700" t="s">
        <v>456</v>
      </c>
      <c r="AT11" s="700" t="s">
        <v>745</v>
      </c>
      <c r="AV11" s="698"/>
      <c r="AW11" s="700" t="s">
        <v>454</v>
      </c>
      <c r="AX11" s="700" t="s">
        <v>455</v>
      </c>
      <c r="AY11" s="700" t="s">
        <v>456</v>
      </c>
      <c r="AZ11" s="700" t="s">
        <v>745</v>
      </c>
      <c r="BB11" s="698"/>
      <c r="BC11" s="700" t="s">
        <v>454</v>
      </c>
      <c r="BD11" s="700" t="s">
        <v>455</v>
      </c>
      <c r="BE11" s="700" t="s">
        <v>456</v>
      </c>
      <c r="BF11" s="700" t="s">
        <v>745</v>
      </c>
      <c r="BH11" s="698"/>
      <c r="BI11" s="700" t="s">
        <v>454</v>
      </c>
      <c r="BJ11" s="700" t="s">
        <v>455</v>
      </c>
      <c r="BK11" s="700" t="s">
        <v>456</v>
      </c>
      <c r="BL11" s="700" t="s">
        <v>745</v>
      </c>
      <c r="BN11" s="698"/>
      <c r="BO11" s="700" t="s">
        <v>454</v>
      </c>
      <c r="BP11" s="700" t="s">
        <v>455</v>
      </c>
      <c r="BQ11" s="700" t="s">
        <v>456</v>
      </c>
      <c r="BR11" s="700" t="s">
        <v>745</v>
      </c>
      <c r="BT11" s="698"/>
      <c r="BU11" s="700" t="s">
        <v>454</v>
      </c>
      <c r="BV11" s="700" t="s">
        <v>455</v>
      </c>
      <c r="BW11" s="700" t="s">
        <v>456</v>
      </c>
      <c r="BX11" s="700" t="s">
        <v>745</v>
      </c>
      <c r="BZ11" s="698"/>
      <c r="CA11" s="700" t="s">
        <v>454</v>
      </c>
      <c r="CB11" s="700" t="s">
        <v>455</v>
      </c>
      <c r="CC11" s="700" t="s">
        <v>456</v>
      </c>
      <c r="CD11" s="700" t="s">
        <v>745</v>
      </c>
      <c r="CF11" s="698"/>
      <c r="CG11" s="700" t="s">
        <v>457</v>
      </c>
      <c r="CH11" s="700" t="s">
        <v>458</v>
      </c>
      <c r="CI11" s="700" t="s">
        <v>459</v>
      </c>
      <c r="CJ11" s="700" t="s">
        <v>460</v>
      </c>
      <c r="CL11" s="698"/>
      <c r="CM11" s="700" t="s">
        <v>457</v>
      </c>
      <c r="CN11" s="700" t="s">
        <v>458</v>
      </c>
      <c r="CO11" s="700" t="s">
        <v>459</v>
      </c>
      <c r="CP11" s="700" t="s">
        <v>460</v>
      </c>
      <c r="CR11" s="698"/>
      <c r="CS11" s="700" t="s">
        <v>457</v>
      </c>
      <c r="CT11" s="700" t="s">
        <v>458</v>
      </c>
      <c r="CU11" s="700" t="s">
        <v>459</v>
      </c>
      <c r="CV11" s="700" t="s">
        <v>460</v>
      </c>
      <c r="CX11" s="698"/>
      <c r="CY11" s="700" t="s">
        <v>457</v>
      </c>
      <c r="CZ11" s="700" t="s">
        <v>458</v>
      </c>
      <c r="DA11" s="700" t="s">
        <v>459</v>
      </c>
      <c r="DB11" s="700" t="s">
        <v>460</v>
      </c>
      <c r="DD11" s="698"/>
      <c r="DE11" s="700" t="s">
        <v>457</v>
      </c>
      <c r="DF11" s="700" t="s">
        <v>458</v>
      </c>
      <c r="DG11" s="700" t="s">
        <v>459</v>
      </c>
      <c r="DH11" s="700" t="s">
        <v>460</v>
      </c>
      <c r="DJ11" s="698"/>
      <c r="DK11" s="700" t="s">
        <v>457</v>
      </c>
      <c r="DL11" s="700" t="s">
        <v>458</v>
      </c>
      <c r="DM11" s="700" t="s">
        <v>459</v>
      </c>
      <c r="DN11" s="700" t="s">
        <v>460</v>
      </c>
      <c r="DP11" s="698"/>
      <c r="DQ11" s="700" t="s">
        <v>457</v>
      </c>
      <c r="DR11" s="700" t="s">
        <v>458</v>
      </c>
      <c r="DS11" s="700" t="s">
        <v>459</v>
      </c>
      <c r="DT11" s="700" t="s">
        <v>460</v>
      </c>
      <c r="DV11" s="698"/>
      <c r="DW11" s="700" t="s">
        <v>457</v>
      </c>
      <c r="DX11" s="700" t="s">
        <v>458</v>
      </c>
      <c r="DY11" s="700" t="s">
        <v>459</v>
      </c>
      <c r="DZ11" s="700" t="s">
        <v>460</v>
      </c>
      <c r="EB11" s="698"/>
      <c r="EC11" s="700" t="s">
        <v>457</v>
      </c>
      <c r="ED11" s="700" t="s">
        <v>458</v>
      </c>
      <c r="EE11" s="700" t="s">
        <v>459</v>
      </c>
      <c r="EF11" s="700" t="s">
        <v>460</v>
      </c>
      <c r="EH11" s="634"/>
      <c r="EI11" s="694" t="s">
        <v>457</v>
      </c>
      <c r="EJ11" s="694" t="s">
        <v>458</v>
      </c>
      <c r="EK11" s="694" t="s">
        <v>459</v>
      </c>
      <c r="EL11" s="694" t="s">
        <v>460</v>
      </c>
      <c r="EN11" s="634"/>
      <c r="EO11" s="694" t="s">
        <v>457</v>
      </c>
      <c r="EP11" s="694" t="s">
        <v>458</v>
      </c>
      <c r="EQ11" s="694" t="s">
        <v>459</v>
      </c>
      <c r="ER11" s="694" t="s">
        <v>460</v>
      </c>
      <c r="ET11" s="634"/>
      <c r="EU11" s="694" t="s">
        <v>457</v>
      </c>
      <c r="EV11" s="694" t="s">
        <v>458</v>
      </c>
      <c r="EW11" s="694" t="s">
        <v>459</v>
      </c>
      <c r="EX11" s="694" t="s">
        <v>460</v>
      </c>
    </row>
    <row r="12" spans="1:155">
      <c r="L12" s="701">
        <v>1</v>
      </c>
      <c r="M12" s="702">
        <v>36.308</v>
      </c>
      <c r="N12" s="702">
        <v>5.5270000000000001</v>
      </c>
      <c r="O12" s="703">
        <v>23.925000000000001</v>
      </c>
      <c r="P12" s="698">
        <v>25.332000000000001</v>
      </c>
      <c r="R12" s="701">
        <v>1</v>
      </c>
      <c r="S12" s="702">
        <v>6.5839600000000003</v>
      </c>
      <c r="T12" s="702">
        <v>6.8232999999999997</v>
      </c>
      <c r="U12" s="703">
        <v>6.8567999999999998</v>
      </c>
      <c r="V12" s="698">
        <v>9.2383299999999995</v>
      </c>
      <c r="X12" s="701">
        <v>1</v>
      </c>
      <c r="Y12" s="702">
        <v>15.534000000000001</v>
      </c>
      <c r="Z12" s="702">
        <v>13.554</v>
      </c>
      <c r="AA12" s="703">
        <v>19.597000000000001</v>
      </c>
      <c r="AB12" s="698">
        <v>24.768999999999998</v>
      </c>
      <c r="AD12" s="701">
        <v>1</v>
      </c>
      <c r="AE12" s="702">
        <v>208.24700000000001</v>
      </c>
      <c r="AF12" s="702">
        <v>155.38999999999999</v>
      </c>
      <c r="AG12" s="703">
        <v>144.642</v>
      </c>
      <c r="AH12" s="698">
        <v>210.26</v>
      </c>
      <c r="AJ12" s="701">
        <v>1</v>
      </c>
      <c r="AK12" s="702">
        <v>232.477</v>
      </c>
      <c r="AL12" s="702">
        <v>225.47800000000001</v>
      </c>
      <c r="AM12" s="703">
        <v>218.767</v>
      </c>
      <c r="AN12" s="698">
        <v>233.376</v>
      </c>
      <c r="AP12" s="701">
        <v>1</v>
      </c>
      <c r="AQ12" s="702">
        <v>28.82</v>
      </c>
      <c r="AR12" s="702">
        <v>4.67</v>
      </c>
      <c r="AS12" s="703">
        <v>9.7910000000000004</v>
      </c>
      <c r="AT12" s="698">
        <v>24.74</v>
      </c>
      <c r="AV12" s="701">
        <v>1</v>
      </c>
      <c r="AW12" s="702">
        <v>51.81</v>
      </c>
      <c r="AX12" s="702">
        <v>27.18</v>
      </c>
      <c r="AY12" s="703">
        <v>64.7</v>
      </c>
      <c r="AZ12" s="698">
        <v>96.22</v>
      </c>
      <c r="BB12" s="701">
        <v>1</v>
      </c>
      <c r="BC12" s="702">
        <v>67.61</v>
      </c>
      <c r="BD12" s="702">
        <v>22.98</v>
      </c>
      <c r="BE12" s="703">
        <v>47.4</v>
      </c>
      <c r="BF12" s="698">
        <v>65.62</v>
      </c>
      <c r="BH12" s="701">
        <v>1</v>
      </c>
      <c r="BI12" s="702">
        <v>6.2668799999999996</v>
      </c>
      <c r="BJ12" s="702">
        <v>3.4293300000000002</v>
      </c>
      <c r="BK12" s="703">
        <v>5.8198699999999999</v>
      </c>
      <c r="BL12" s="698">
        <v>1.79437</v>
      </c>
      <c r="BN12" s="701">
        <v>1</v>
      </c>
      <c r="BO12" s="702">
        <v>7.4119999999999999</v>
      </c>
      <c r="BP12" s="702">
        <v>11.847</v>
      </c>
      <c r="BQ12" s="703">
        <v>19.420999999999999</v>
      </c>
      <c r="BR12" s="698">
        <v>20.358000000000001</v>
      </c>
      <c r="BT12" s="701">
        <v>1</v>
      </c>
      <c r="BU12" s="702">
        <v>148.66</v>
      </c>
      <c r="BV12" s="702">
        <v>92.438000000000002</v>
      </c>
      <c r="BW12" s="703">
        <v>178.13200000000001</v>
      </c>
      <c r="BX12" s="698">
        <v>190.149</v>
      </c>
      <c r="BZ12" s="701">
        <v>1</v>
      </c>
      <c r="CA12" s="702">
        <v>35.493000000000002</v>
      </c>
      <c r="CB12" s="702">
        <v>33.673000000000002</v>
      </c>
      <c r="CC12" s="703">
        <v>25.428000000000001</v>
      </c>
      <c r="CD12" s="698">
        <v>91.68</v>
      </c>
      <c r="CF12" s="701">
        <v>1</v>
      </c>
      <c r="CG12" s="702"/>
      <c r="CH12" s="702"/>
      <c r="CI12" s="703"/>
      <c r="CJ12" s="698"/>
      <c r="CL12" s="701">
        <v>1</v>
      </c>
      <c r="CM12" s="702"/>
      <c r="CN12" s="702"/>
      <c r="CO12" s="703"/>
      <c r="CP12" s="698"/>
      <c r="CR12" s="701">
        <v>1</v>
      </c>
      <c r="CS12" s="702"/>
      <c r="CT12" s="702"/>
      <c r="CU12" s="703"/>
      <c r="CV12" s="698"/>
      <c r="CX12" s="701">
        <v>1</v>
      </c>
      <c r="CY12" s="702"/>
      <c r="CZ12" s="702"/>
      <c r="DA12" s="703"/>
      <c r="DB12" s="698"/>
      <c r="DD12" s="701">
        <v>1</v>
      </c>
      <c r="DE12" s="702"/>
      <c r="DF12" s="702"/>
      <c r="DG12" s="703"/>
      <c r="DH12" s="698"/>
      <c r="DJ12" s="701">
        <v>1</v>
      </c>
      <c r="DK12" s="702"/>
      <c r="DL12" s="702"/>
      <c r="DM12" s="703"/>
      <c r="DN12" s="698"/>
      <c r="DP12" s="701">
        <v>1</v>
      </c>
      <c r="DQ12" s="702"/>
      <c r="DR12" s="702"/>
      <c r="DS12" s="703"/>
      <c r="DT12" s="698"/>
      <c r="DV12" s="701">
        <v>1</v>
      </c>
      <c r="DW12" s="702"/>
      <c r="DX12" s="702"/>
      <c r="DY12" s="703"/>
      <c r="DZ12" s="698"/>
      <c r="EB12" s="701">
        <v>1</v>
      </c>
      <c r="EC12" s="702"/>
      <c r="ED12" s="702"/>
      <c r="EE12" s="703"/>
      <c r="EF12" s="698"/>
      <c r="EH12" s="695">
        <v>1</v>
      </c>
      <c r="EI12" s="666"/>
      <c r="EJ12" s="666"/>
      <c r="EK12" s="645"/>
      <c r="EL12" s="634"/>
      <c r="EN12" s="695">
        <v>1</v>
      </c>
      <c r="EO12" s="666"/>
      <c r="EP12" s="666"/>
      <c r="EQ12" s="645"/>
      <c r="ER12" s="634"/>
      <c r="ET12" s="695">
        <v>1</v>
      </c>
      <c r="EU12" s="666"/>
      <c r="EV12" s="666"/>
      <c r="EW12" s="645"/>
      <c r="EX12" s="634"/>
    </row>
    <row r="13" spans="1:155">
      <c r="L13" s="701">
        <v>2</v>
      </c>
      <c r="M13" s="702">
        <v>36.65175</v>
      </c>
      <c r="N13" s="702">
        <v>6.7610000000000001</v>
      </c>
      <c r="O13" s="703">
        <v>24.32348</v>
      </c>
      <c r="P13" s="698">
        <v>25.331659999999999</v>
      </c>
      <c r="R13" s="701">
        <v>2</v>
      </c>
      <c r="S13" s="702">
        <v>11.692550000000001</v>
      </c>
      <c r="T13" s="702">
        <v>1.2020200000000001</v>
      </c>
      <c r="U13" s="703">
        <v>6.6545399999999999</v>
      </c>
      <c r="V13" s="698">
        <v>5.0647000000000002</v>
      </c>
      <c r="X13" s="701">
        <v>2</v>
      </c>
      <c r="Y13" s="702">
        <v>16.402000000000001</v>
      </c>
      <c r="Z13" s="702">
        <v>13.462</v>
      </c>
      <c r="AA13" s="703">
        <v>19.655000000000001</v>
      </c>
      <c r="AB13" s="698">
        <v>24.538</v>
      </c>
      <c r="AD13" s="701">
        <v>2</v>
      </c>
      <c r="AE13" s="702">
        <v>232.21299999999999</v>
      </c>
      <c r="AF13" s="702">
        <v>151.797</v>
      </c>
      <c r="AG13" s="703">
        <v>151.72900000000001</v>
      </c>
      <c r="AH13" s="698">
        <v>206.477</v>
      </c>
      <c r="AJ13" s="701">
        <v>2</v>
      </c>
      <c r="AK13" s="702">
        <v>233.93600000000001</v>
      </c>
      <c r="AL13" s="702">
        <v>225.22900000000001</v>
      </c>
      <c r="AM13" s="703">
        <v>218.64</v>
      </c>
      <c r="AN13" s="698">
        <v>232.73099999999999</v>
      </c>
      <c r="AP13" s="701">
        <v>2</v>
      </c>
      <c r="AQ13" s="702">
        <v>29.79</v>
      </c>
      <c r="AR13" s="702">
        <v>5.17</v>
      </c>
      <c r="AS13" s="703">
        <v>10.541</v>
      </c>
      <c r="AT13" s="698">
        <v>28.14</v>
      </c>
      <c r="AV13" s="701">
        <v>2</v>
      </c>
      <c r="AW13" s="702">
        <v>52.1</v>
      </c>
      <c r="AX13" s="702">
        <v>39.32</v>
      </c>
      <c r="AY13" s="703">
        <v>75.8</v>
      </c>
      <c r="AZ13" s="698">
        <v>108.35</v>
      </c>
      <c r="BB13" s="701">
        <v>2</v>
      </c>
      <c r="BC13" s="702">
        <v>69.88</v>
      </c>
      <c r="BD13" s="702">
        <v>25.7</v>
      </c>
      <c r="BE13" s="703">
        <v>49.35</v>
      </c>
      <c r="BF13" s="698">
        <v>71.010000000000005</v>
      </c>
      <c r="BH13" s="701">
        <v>2</v>
      </c>
      <c r="BI13" s="702">
        <v>6.46075</v>
      </c>
      <c r="BJ13" s="702">
        <v>4.6344399999999997</v>
      </c>
      <c r="BK13" s="703">
        <v>6.2770799999999998</v>
      </c>
      <c r="BL13" s="698">
        <v>7.4687200000000002</v>
      </c>
      <c r="BN13" s="701">
        <v>2</v>
      </c>
      <c r="BO13" s="702">
        <v>6.8159999999999998</v>
      </c>
      <c r="BP13" s="702">
        <v>15.065</v>
      </c>
      <c r="BQ13" s="703">
        <v>22.318999999999999</v>
      </c>
      <c r="BR13" s="698">
        <v>21.757999999999999</v>
      </c>
      <c r="BT13" s="701">
        <v>2</v>
      </c>
      <c r="BU13" s="702">
        <v>147.80000000000001</v>
      </c>
      <c r="BV13" s="702">
        <v>98.191000000000003</v>
      </c>
      <c r="BW13" s="703">
        <v>191.28200000000001</v>
      </c>
      <c r="BX13" s="698">
        <v>199.857</v>
      </c>
      <c r="BZ13" s="701">
        <v>2</v>
      </c>
      <c r="CA13" s="702">
        <v>56.155999999999999</v>
      </c>
      <c r="CB13" s="702">
        <v>30.780999999999999</v>
      </c>
      <c r="CC13" s="703">
        <v>36.222999999999999</v>
      </c>
      <c r="CD13" s="698">
        <v>116.306</v>
      </c>
      <c r="CF13" s="701">
        <v>2</v>
      </c>
      <c r="CG13" s="702"/>
      <c r="CH13" s="702"/>
      <c r="CI13" s="703"/>
      <c r="CJ13" s="698"/>
      <c r="CL13" s="701">
        <v>2</v>
      </c>
      <c r="CM13" s="702"/>
      <c r="CN13" s="702"/>
      <c r="CO13" s="703"/>
      <c r="CP13" s="698"/>
      <c r="CR13" s="701">
        <v>2</v>
      </c>
      <c r="CS13" s="702"/>
      <c r="CT13" s="702"/>
      <c r="CU13" s="703"/>
      <c r="CV13" s="698"/>
      <c r="CX13" s="701">
        <v>2</v>
      </c>
      <c r="CY13" s="702"/>
      <c r="CZ13" s="702"/>
      <c r="DA13" s="703"/>
      <c r="DB13" s="698"/>
      <c r="DD13" s="701">
        <v>2</v>
      </c>
      <c r="DE13" s="702"/>
      <c r="DF13" s="702"/>
      <c r="DG13" s="703"/>
      <c r="DH13" s="698"/>
      <c r="DJ13" s="701">
        <v>2</v>
      </c>
      <c r="DK13" s="702"/>
      <c r="DL13" s="702"/>
      <c r="DM13" s="703"/>
      <c r="DN13" s="698"/>
      <c r="DP13" s="701">
        <v>2</v>
      </c>
      <c r="DQ13" s="702"/>
      <c r="DR13" s="702"/>
      <c r="DS13" s="703"/>
      <c r="DT13" s="698"/>
      <c r="DV13" s="701">
        <v>2</v>
      </c>
      <c r="DW13" s="702"/>
      <c r="DX13" s="702"/>
      <c r="DY13" s="703"/>
      <c r="DZ13" s="698"/>
      <c r="EB13" s="701">
        <v>2</v>
      </c>
      <c r="EC13" s="702"/>
      <c r="ED13" s="702"/>
      <c r="EE13" s="703"/>
      <c r="EF13" s="698"/>
      <c r="EH13" s="695">
        <v>2</v>
      </c>
      <c r="EI13" s="666"/>
      <c r="EJ13" s="666"/>
      <c r="EK13" s="645"/>
      <c r="EL13" s="634"/>
      <c r="EN13" s="695">
        <v>2</v>
      </c>
      <c r="EO13" s="666"/>
      <c r="EP13" s="666"/>
      <c r="EQ13" s="645"/>
      <c r="ER13" s="634"/>
      <c r="ET13" s="695">
        <v>2</v>
      </c>
      <c r="EU13" s="666"/>
      <c r="EV13" s="666"/>
      <c r="EW13" s="645"/>
      <c r="EX13" s="634"/>
    </row>
    <row r="14" spans="1:155">
      <c r="L14" s="701">
        <v>3</v>
      </c>
      <c r="M14" s="702">
        <v>38.413899999999998</v>
      </c>
      <c r="N14" s="702">
        <v>8.7750000000000004</v>
      </c>
      <c r="O14" s="703">
        <v>24.32348</v>
      </c>
      <c r="P14" s="698">
        <v>29.128</v>
      </c>
      <c r="R14" s="701">
        <v>3</v>
      </c>
      <c r="S14" s="702">
        <v>6.8334700000000002</v>
      </c>
      <c r="T14" s="702">
        <v>9.6132299999999997</v>
      </c>
      <c r="U14" s="703">
        <v>8.2142199999999992</v>
      </c>
      <c r="V14" s="698">
        <v>12.538220000000001</v>
      </c>
      <c r="X14" s="701">
        <v>3</v>
      </c>
      <c r="Y14" s="702">
        <v>16.402000000000001</v>
      </c>
      <c r="Z14" s="702">
        <v>13.505000000000001</v>
      </c>
      <c r="AA14" s="703">
        <v>19.518000000000001</v>
      </c>
      <c r="AB14" s="698">
        <v>25.721</v>
      </c>
      <c r="AD14" s="701">
        <v>3</v>
      </c>
      <c r="AE14" s="702">
        <v>254.67400000000001</v>
      </c>
      <c r="AF14" s="702">
        <v>147.07400000000001</v>
      </c>
      <c r="AG14" s="703">
        <v>152.05500000000001</v>
      </c>
      <c r="AH14" s="698">
        <v>218.31</v>
      </c>
      <c r="AJ14" s="701">
        <v>3</v>
      </c>
      <c r="AK14" s="702">
        <v>234.46799999999999</v>
      </c>
      <c r="AL14" s="702">
        <v>224.785</v>
      </c>
      <c r="AM14" s="703">
        <v>218.322</v>
      </c>
      <c r="AN14" s="698">
        <v>233.59299999999999</v>
      </c>
      <c r="AP14" s="701">
        <v>3</v>
      </c>
      <c r="AQ14" s="702">
        <v>31.63</v>
      </c>
      <c r="AR14" s="702">
        <v>5.35</v>
      </c>
      <c r="AS14" s="703">
        <v>11.340999999999999</v>
      </c>
      <c r="AT14" s="698">
        <v>30.54</v>
      </c>
      <c r="AV14" s="701">
        <v>3</v>
      </c>
      <c r="AW14" s="702">
        <v>54.55</v>
      </c>
      <c r="AX14" s="702">
        <v>45.49</v>
      </c>
      <c r="AY14" s="703">
        <v>92.96</v>
      </c>
      <c r="AZ14" s="698">
        <v>112.35</v>
      </c>
      <c r="BB14" s="701">
        <v>3</v>
      </c>
      <c r="BC14" s="702">
        <v>73.58</v>
      </c>
      <c r="BD14" s="702">
        <v>25.7</v>
      </c>
      <c r="BE14" s="703">
        <v>51.58</v>
      </c>
      <c r="BF14" s="698">
        <v>74.72</v>
      </c>
      <c r="BH14" s="701">
        <v>3</v>
      </c>
      <c r="BI14" s="702">
        <v>6.7063600000000001</v>
      </c>
      <c r="BJ14" s="702">
        <v>5.5973800000000002</v>
      </c>
      <c r="BK14" s="703">
        <v>6.37906</v>
      </c>
      <c r="BL14" s="698">
        <v>8.5289599999999997</v>
      </c>
      <c r="BN14" s="701">
        <v>3</v>
      </c>
      <c r="BO14" s="702">
        <v>8.2569999999999997</v>
      </c>
      <c r="BP14" s="702">
        <v>17.344999999999999</v>
      </c>
      <c r="BQ14" s="703">
        <v>25.843</v>
      </c>
      <c r="BR14" s="698">
        <v>18.904</v>
      </c>
      <c r="BT14" s="701">
        <v>3</v>
      </c>
      <c r="BU14" s="702">
        <v>147.11000000000001</v>
      </c>
      <c r="BV14" s="702">
        <v>99.385999999999996</v>
      </c>
      <c r="BW14" s="703">
        <v>201.74</v>
      </c>
      <c r="BX14" s="698">
        <v>204.178</v>
      </c>
      <c r="BZ14" s="701">
        <v>3</v>
      </c>
      <c r="CA14" s="702">
        <v>68.724000000000004</v>
      </c>
      <c r="CB14" s="702">
        <v>34.4</v>
      </c>
      <c r="CC14" s="703">
        <v>66.337000000000003</v>
      </c>
      <c r="CD14" s="698">
        <v>143.602</v>
      </c>
      <c r="CF14" s="701">
        <v>3</v>
      </c>
      <c r="CG14" s="702"/>
      <c r="CH14" s="702"/>
      <c r="CI14" s="703"/>
      <c r="CJ14" s="698"/>
      <c r="CL14" s="701">
        <v>3</v>
      </c>
      <c r="CM14" s="702"/>
      <c r="CN14" s="702"/>
      <c r="CO14" s="703"/>
      <c r="CP14" s="698"/>
      <c r="CR14" s="701">
        <v>3</v>
      </c>
      <c r="CS14" s="702"/>
      <c r="CT14" s="702"/>
      <c r="CU14" s="703"/>
      <c r="CV14" s="698"/>
      <c r="CX14" s="701">
        <v>3</v>
      </c>
      <c r="CY14" s="702"/>
      <c r="CZ14" s="702"/>
      <c r="DA14" s="703"/>
      <c r="DB14" s="698"/>
      <c r="DD14" s="701">
        <v>3</v>
      </c>
      <c r="DE14" s="702"/>
      <c r="DF14" s="702"/>
      <c r="DG14" s="703"/>
      <c r="DH14" s="698"/>
      <c r="DJ14" s="701">
        <v>3</v>
      </c>
      <c r="DK14" s="702"/>
      <c r="DL14" s="702"/>
      <c r="DM14" s="703"/>
      <c r="DN14" s="698"/>
      <c r="DP14" s="701">
        <v>3</v>
      </c>
      <c r="DQ14" s="702"/>
      <c r="DR14" s="702"/>
      <c r="DS14" s="703"/>
      <c r="DT14" s="698"/>
      <c r="DV14" s="701">
        <v>3</v>
      </c>
      <c r="DW14" s="702"/>
      <c r="DX14" s="702"/>
      <c r="DY14" s="703"/>
      <c r="DZ14" s="698"/>
      <c r="EB14" s="701">
        <v>3</v>
      </c>
      <c r="EC14" s="702"/>
      <c r="ED14" s="702"/>
      <c r="EE14" s="703"/>
      <c r="EF14" s="698"/>
      <c r="EH14" s="695">
        <v>3</v>
      </c>
      <c r="EI14" s="666"/>
      <c r="EJ14" s="666"/>
      <c r="EK14" s="645"/>
      <c r="EL14" s="634"/>
      <c r="EN14" s="695">
        <v>3</v>
      </c>
      <c r="EO14" s="666"/>
      <c r="EP14" s="666"/>
      <c r="EQ14" s="645"/>
      <c r="ER14" s="634"/>
      <c r="ET14" s="695">
        <v>3</v>
      </c>
      <c r="EU14" s="666"/>
      <c r="EV14" s="666"/>
      <c r="EW14" s="645"/>
      <c r="EX14" s="634"/>
    </row>
    <row r="15" spans="1:155">
      <c r="L15" s="701">
        <v>4</v>
      </c>
      <c r="M15" s="702">
        <v>39.807000000000002</v>
      </c>
      <c r="N15" s="702">
        <v>11.007</v>
      </c>
      <c r="O15" s="703">
        <v>28.661999999999999</v>
      </c>
      <c r="P15" s="698">
        <v>30.821000000000002</v>
      </c>
      <c r="R15" s="701">
        <v>4</v>
      </c>
      <c r="S15" s="702">
        <v>12.664580000000001</v>
      </c>
      <c r="T15" s="702">
        <v>6.4789500000000002</v>
      </c>
      <c r="U15" s="703">
        <v>9.46082</v>
      </c>
      <c r="V15" s="698">
        <v>9.6545699999999997</v>
      </c>
      <c r="X15" s="701">
        <v>4</v>
      </c>
      <c r="Y15" s="702">
        <v>16.788</v>
      </c>
      <c r="Z15" s="702">
        <v>16.577999999999999</v>
      </c>
      <c r="AA15" s="703">
        <v>20.332000000000001</v>
      </c>
      <c r="AB15" s="698">
        <v>25.516999999999999</v>
      </c>
      <c r="AD15" s="701">
        <v>4</v>
      </c>
      <c r="AE15" s="702">
        <v>293.33499999999998</v>
      </c>
      <c r="AF15" s="702">
        <v>143.6</v>
      </c>
      <c r="AG15" s="703">
        <v>164.739</v>
      </c>
      <c r="AH15" s="698">
        <v>256.75</v>
      </c>
      <c r="AJ15" s="701">
        <v>4</v>
      </c>
      <c r="AK15" s="702">
        <v>236.56899999999999</v>
      </c>
      <c r="AL15" s="702">
        <v>224.65100000000001</v>
      </c>
      <c r="AM15" s="703">
        <v>220.715</v>
      </c>
      <c r="AN15" s="698">
        <v>239.21899999999999</v>
      </c>
      <c r="AP15" s="701">
        <v>4</v>
      </c>
      <c r="AQ15" s="702">
        <v>36.08</v>
      </c>
      <c r="AR15" s="702">
        <v>5.67</v>
      </c>
      <c r="AS15" s="703">
        <v>12.211</v>
      </c>
      <c r="AT15" s="698">
        <v>32.47</v>
      </c>
      <c r="AV15" s="701">
        <v>4</v>
      </c>
      <c r="AW15" s="702">
        <v>63.05</v>
      </c>
      <c r="AX15" s="702">
        <v>51.45</v>
      </c>
      <c r="AY15" s="703">
        <v>109.09</v>
      </c>
      <c r="AZ15" s="698">
        <v>118.65</v>
      </c>
      <c r="BB15" s="701">
        <v>4</v>
      </c>
      <c r="BC15" s="702">
        <v>78.72</v>
      </c>
      <c r="BD15" s="702">
        <v>25.7</v>
      </c>
      <c r="BE15" s="703">
        <v>54.37</v>
      </c>
      <c r="BF15" s="698">
        <v>79.290000000000006</v>
      </c>
      <c r="BH15" s="701">
        <v>4</v>
      </c>
      <c r="BI15" s="702">
        <v>7.4376600000000002</v>
      </c>
      <c r="BJ15" s="702">
        <v>6.7289099999999999</v>
      </c>
      <c r="BK15" s="703">
        <v>7.60344</v>
      </c>
      <c r="BL15" s="698">
        <v>9.7954100000000004</v>
      </c>
      <c r="BN15" s="701">
        <v>4</v>
      </c>
      <c r="BO15" s="702">
        <v>11.752000000000001</v>
      </c>
      <c r="BP15" s="702">
        <v>19.992999999999999</v>
      </c>
      <c r="BQ15" s="703">
        <v>30.260999999999999</v>
      </c>
      <c r="BR15" s="698">
        <v>19.940999999999999</v>
      </c>
      <c r="BT15" s="701">
        <v>4</v>
      </c>
      <c r="BU15" s="702">
        <v>151.07</v>
      </c>
      <c r="BV15" s="702">
        <v>104.32</v>
      </c>
      <c r="BW15" s="703">
        <v>215.482</v>
      </c>
      <c r="BX15" s="698">
        <v>210.869</v>
      </c>
      <c r="BZ15" s="701">
        <v>4</v>
      </c>
      <c r="CA15" s="702">
        <v>95.909000000000006</v>
      </c>
      <c r="CB15" s="702">
        <v>34.036000000000001</v>
      </c>
      <c r="CC15" s="703">
        <v>98.037000000000006</v>
      </c>
      <c r="CD15" s="698">
        <v>149.702</v>
      </c>
      <c r="CF15" s="701">
        <v>4</v>
      </c>
      <c r="CG15" s="702"/>
      <c r="CH15" s="702"/>
      <c r="CI15" s="703"/>
      <c r="CJ15" s="698"/>
      <c r="CL15" s="701">
        <v>4</v>
      </c>
      <c r="CM15" s="702"/>
      <c r="CN15" s="702"/>
      <c r="CO15" s="703"/>
      <c r="CP15" s="698"/>
      <c r="CR15" s="701">
        <v>4</v>
      </c>
      <c r="CS15" s="702"/>
      <c r="CT15" s="702"/>
      <c r="CU15" s="703"/>
      <c r="CV15" s="698"/>
      <c r="CX15" s="701">
        <v>4</v>
      </c>
      <c r="CY15" s="702"/>
      <c r="CZ15" s="702"/>
      <c r="DA15" s="703"/>
      <c r="DB15" s="698"/>
      <c r="DD15" s="701">
        <v>4</v>
      </c>
      <c r="DE15" s="702"/>
      <c r="DF15" s="702"/>
      <c r="DG15" s="703"/>
      <c r="DH15" s="698"/>
      <c r="DJ15" s="701">
        <v>4</v>
      </c>
      <c r="DK15" s="702"/>
      <c r="DL15" s="702"/>
      <c r="DM15" s="703"/>
      <c r="DN15" s="698"/>
      <c r="DP15" s="701">
        <v>4</v>
      </c>
      <c r="DQ15" s="702"/>
      <c r="DR15" s="702"/>
      <c r="DS15" s="703"/>
      <c r="DT15" s="698"/>
      <c r="DV15" s="701">
        <v>4</v>
      </c>
      <c r="DW15" s="702"/>
      <c r="DX15" s="702"/>
      <c r="DY15" s="703"/>
      <c r="DZ15" s="698"/>
      <c r="EB15" s="701">
        <v>4</v>
      </c>
      <c r="EC15" s="702"/>
      <c r="ED15" s="702"/>
      <c r="EE15" s="703"/>
      <c r="EF15" s="698"/>
      <c r="EH15" s="695">
        <v>4</v>
      </c>
      <c r="EI15" s="666"/>
      <c r="EJ15" s="666"/>
      <c r="EK15" s="645"/>
      <c r="EL15" s="634"/>
      <c r="EN15" s="695">
        <v>4</v>
      </c>
      <c r="EO15" s="666"/>
      <c r="EP15" s="666"/>
      <c r="EQ15" s="645"/>
      <c r="ER15" s="634"/>
      <c r="ET15" s="695">
        <v>4</v>
      </c>
      <c r="EU15" s="666"/>
      <c r="EV15" s="666"/>
      <c r="EW15" s="645"/>
      <c r="EX15" s="634"/>
    </row>
    <row r="16" spans="1:155">
      <c r="L16" s="701">
        <v>5</v>
      </c>
      <c r="M16" s="702">
        <v>44.106999999999999</v>
      </c>
      <c r="N16" s="702">
        <v>13.06</v>
      </c>
      <c r="O16" s="703">
        <v>35.011000000000003</v>
      </c>
      <c r="P16" s="698">
        <v>32.676000000000002</v>
      </c>
      <c r="R16" s="701">
        <v>5</v>
      </c>
      <c r="S16" s="702">
        <v>12.03951</v>
      </c>
      <c r="T16" s="702">
        <v>5.0775399999999999</v>
      </c>
      <c r="U16" s="703">
        <v>7.0206600000000003</v>
      </c>
      <c r="V16" s="698">
        <v>8.2881499999999999</v>
      </c>
      <c r="X16" s="701">
        <v>5</v>
      </c>
      <c r="Y16" s="702">
        <v>17.009</v>
      </c>
      <c r="Z16" s="702">
        <v>18.443999999999999</v>
      </c>
      <c r="AA16" s="703">
        <v>20.814</v>
      </c>
      <c r="AB16" s="698">
        <v>25.4</v>
      </c>
      <c r="AD16" s="701">
        <v>5</v>
      </c>
      <c r="AE16" s="702">
        <v>324.19299999999998</v>
      </c>
      <c r="AF16" s="702">
        <v>156.00899999999999</v>
      </c>
      <c r="AG16" s="703">
        <v>184.91399999999999</v>
      </c>
      <c r="AH16" s="698">
        <v>273.19499999999999</v>
      </c>
      <c r="AJ16" s="701">
        <v>5</v>
      </c>
      <c r="AK16" s="702">
        <v>238.43100000000001</v>
      </c>
      <c r="AL16" s="702">
        <v>225.90600000000001</v>
      </c>
      <c r="AM16" s="703">
        <v>221.54599999999999</v>
      </c>
      <c r="AN16" s="698">
        <v>241.62200000000001</v>
      </c>
      <c r="AP16" s="701">
        <v>5</v>
      </c>
      <c r="AQ16" s="702">
        <v>40.18</v>
      </c>
      <c r="AR16" s="702">
        <v>6.0110000000000001</v>
      </c>
      <c r="AS16" s="703">
        <v>14.840999999999999</v>
      </c>
      <c r="AT16" s="698">
        <v>34.049999999999997</v>
      </c>
      <c r="AV16" s="701">
        <v>5</v>
      </c>
      <c r="AW16" s="702">
        <v>70.31</v>
      </c>
      <c r="AX16" s="702">
        <v>49.5</v>
      </c>
      <c r="AY16" s="703">
        <v>116.44</v>
      </c>
      <c r="AZ16" s="698">
        <v>126.42</v>
      </c>
      <c r="BB16" s="701">
        <v>5</v>
      </c>
      <c r="BC16" s="702">
        <v>85.62</v>
      </c>
      <c r="BD16" s="702">
        <v>30.33</v>
      </c>
      <c r="BE16" s="703">
        <v>58.58</v>
      </c>
      <c r="BF16" s="698">
        <v>80.44</v>
      </c>
      <c r="BH16" s="701">
        <v>5</v>
      </c>
      <c r="BI16" s="702">
        <v>7.8944099999999997</v>
      </c>
      <c r="BJ16" s="702">
        <v>6.61416</v>
      </c>
      <c r="BK16" s="703">
        <v>7.8220000000000001</v>
      </c>
      <c r="BL16" s="698">
        <v>11.081910000000001</v>
      </c>
      <c r="BN16" s="701">
        <v>5</v>
      </c>
      <c r="BO16" s="702">
        <v>15.686</v>
      </c>
      <c r="BP16" s="702">
        <v>25.704000000000001</v>
      </c>
      <c r="BQ16" s="703">
        <v>36.713000000000001</v>
      </c>
      <c r="BR16" s="698">
        <v>22.184999999999999</v>
      </c>
      <c r="BT16" s="701">
        <v>5</v>
      </c>
      <c r="BU16" s="702">
        <v>157.33000000000001</v>
      </c>
      <c r="BV16" s="702">
        <v>110.37</v>
      </c>
      <c r="BW16" s="703">
        <v>230.72800000000001</v>
      </c>
      <c r="BX16" s="698">
        <v>224.66800000000001</v>
      </c>
      <c r="BZ16" s="701">
        <v>5</v>
      </c>
      <c r="CA16" s="702">
        <v>122.54900000000001</v>
      </c>
      <c r="CB16" s="702">
        <v>42.497</v>
      </c>
      <c r="CC16" s="703">
        <v>143.13499999999999</v>
      </c>
      <c r="CD16" s="698">
        <v>173.77799999999999</v>
      </c>
      <c r="CF16" s="701">
        <v>5</v>
      </c>
      <c r="CG16" s="702"/>
      <c r="CH16" s="702"/>
      <c r="CI16" s="703"/>
      <c r="CJ16" s="698"/>
      <c r="CL16" s="701">
        <v>5</v>
      </c>
      <c r="CM16" s="702"/>
      <c r="CN16" s="702"/>
      <c r="CO16" s="703"/>
      <c r="CP16" s="698"/>
      <c r="CR16" s="701">
        <v>5</v>
      </c>
      <c r="CS16" s="702"/>
      <c r="CT16" s="702"/>
      <c r="CU16" s="703"/>
      <c r="CV16" s="698"/>
      <c r="CX16" s="701">
        <v>5</v>
      </c>
      <c r="CY16" s="702"/>
      <c r="CZ16" s="702"/>
      <c r="DA16" s="703"/>
      <c r="DB16" s="698"/>
      <c r="DD16" s="701">
        <v>5</v>
      </c>
      <c r="DE16" s="702"/>
      <c r="DF16" s="702"/>
      <c r="DG16" s="703"/>
      <c r="DH16" s="698"/>
      <c r="DJ16" s="701">
        <v>5</v>
      </c>
      <c r="DK16" s="702"/>
      <c r="DL16" s="702"/>
      <c r="DM16" s="703"/>
      <c r="DN16" s="698"/>
      <c r="DP16" s="701">
        <v>5</v>
      </c>
      <c r="DQ16" s="702"/>
      <c r="DR16" s="702"/>
      <c r="DS16" s="703"/>
      <c r="DT16" s="698"/>
      <c r="DV16" s="701">
        <v>5</v>
      </c>
      <c r="DW16" s="702"/>
      <c r="DX16" s="702"/>
      <c r="DY16" s="703"/>
      <c r="DZ16" s="698"/>
      <c r="EB16" s="701">
        <v>5</v>
      </c>
      <c r="EC16" s="702"/>
      <c r="ED16" s="702"/>
      <c r="EE16" s="703"/>
      <c r="EF16" s="698"/>
      <c r="EH16" s="695">
        <v>5</v>
      </c>
      <c r="EI16" s="666"/>
      <c r="EJ16" s="666"/>
      <c r="EK16" s="645"/>
      <c r="EL16" s="634"/>
      <c r="EN16" s="695">
        <v>5</v>
      </c>
      <c r="EO16" s="666"/>
      <c r="EP16" s="666"/>
      <c r="EQ16" s="645"/>
      <c r="ER16" s="634"/>
      <c r="ET16" s="695">
        <v>5</v>
      </c>
      <c r="EU16" s="666"/>
      <c r="EV16" s="666"/>
      <c r="EW16" s="645"/>
      <c r="EX16" s="634"/>
    </row>
    <row r="17" spans="12:154">
      <c r="L17" s="701">
        <v>6</v>
      </c>
      <c r="M17" s="702">
        <v>45.569899999999997</v>
      </c>
      <c r="N17" s="702">
        <v>14.574999999999999</v>
      </c>
      <c r="O17" s="703">
        <v>38.417940000000002</v>
      </c>
      <c r="P17" s="698">
        <v>35.290999999999997</v>
      </c>
      <c r="R17" s="701">
        <v>6</v>
      </c>
      <c r="S17" s="702">
        <v>12.8127</v>
      </c>
      <c r="T17" s="702">
        <v>7.5634399999999999</v>
      </c>
      <c r="U17" s="703">
        <v>9.4788899999999998</v>
      </c>
      <c r="V17" s="698">
        <v>8.6283899999999996</v>
      </c>
      <c r="X17" s="701">
        <v>6</v>
      </c>
      <c r="Y17" s="702">
        <v>17.521999999999998</v>
      </c>
      <c r="Z17" s="702">
        <v>19.035</v>
      </c>
      <c r="AA17" s="703">
        <v>20.863</v>
      </c>
      <c r="AB17" s="698">
        <v>25.253</v>
      </c>
      <c r="AD17" s="701">
        <v>6</v>
      </c>
      <c r="AE17" s="702">
        <v>332.91199999999998</v>
      </c>
      <c r="AF17" s="702">
        <v>189.126</v>
      </c>
      <c r="AG17" s="703">
        <v>193.625</v>
      </c>
      <c r="AH17" s="698">
        <v>305.33800000000002</v>
      </c>
      <c r="AJ17" s="701">
        <v>6</v>
      </c>
      <c r="AK17" s="702">
        <v>238.18700000000001</v>
      </c>
      <c r="AL17" s="702">
        <v>229.07300000000001</v>
      </c>
      <c r="AM17" s="703">
        <v>222.12</v>
      </c>
      <c r="AN17" s="698">
        <v>245.28</v>
      </c>
      <c r="AP17" s="701">
        <v>6</v>
      </c>
      <c r="AQ17" s="702">
        <v>45.49</v>
      </c>
      <c r="AR17" s="702">
        <v>6.77</v>
      </c>
      <c r="AS17" s="703">
        <v>17.231000000000002</v>
      </c>
      <c r="AT17" s="698">
        <v>37.119999999999997</v>
      </c>
      <c r="AV17" s="701">
        <v>6</v>
      </c>
      <c r="AW17" s="702">
        <v>83.17</v>
      </c>
      <c r="AX17" s="702">
        <v>56.51</v>
      </c>
      <c r="AY17" s="703">
        <v>126.22</v>
      </c>
      <c r="AZ17" s="698">
        <v>137.86000000000001</v>
      </c>
      <c r="BB17" s="701">
        <v>6</v>
      </c>
      <c r="BC17" s="702">
        <v>91.98</v>
      </c>
      <c r="BD17" s="702">
        <v>33.06</v>
      </c>
      <c r="BE17" s="703">
        <v>61.39</v>
      </c>
      <c r="BF17" s="698">
        <v>84.18</v>
      </c>
      <c r="BH17" s="701">
        <v>6</v>
      </c>
      <c r="BI17" s="702">
        <v>9.0587</v>
      </c>
      <c r="BJ17" s="702">
        <v>9.1115499999999994</v>
      </c>
      <c r="BK17" s="703">
        <v>8.9530999999999992</v>
      </c>
      <c r="BL17" s="698">
        <v>12.388479999999999</v>
      </c>
      <c r="BN17" s="701">
        <v>6</v>
      </c>
      <c r="BO17" s="702">
        <v>20.542000000000002</v>
      </c>
      <c r="BP17" s="702">
        <v>34.424999999999997</v>
      </c>
      <c r="BQ17" s="703">
        <v>38.951999999999998</v>
      </c>
      <c r="BR17" s="698">
        <v>28.513999999999999</v>
      </c>
      <c r="BT17" s="701">
        <v>6</v>
      </c>
      <c r="BU17" s="702">
        <v>166.685</v>
      </c>
      <c r="BV17" s="702">
        <v>123.40300000000001</v>
      </c>
      <c r="BW17" s="703">
        <v>243.89</v>
      </c>
      <c r="BX17" s="698">
        <v>237.02699999999999</v>
      </c>
      <c r="BZ17" s="701">
        <v>6</v>
      </c>
      <c r="CA17" s="702">
        <v>164.03</v>
      </c>
      <c r="CB17" s="702">
        <v>58.094000000000001</v>
      </c>
      <c r="CC17" s="703">
        <v>183.68199999999999</v>
      </c>
      <c r="CD17" s="698">
        <v>211.20599999999999</v>
      </c>
      <c r="CF17" s="701">
        <v>6</v>
      </c>
      <c r="CG17" s="702"/>
      <c r="CH17" s="702"/>
      <c r="CI17" s="703"/>
      <c r="CJ17" s="698"/>
      <c r="CL17" s="701">
        <v>6</v>
      </c>
      <c r="CM17" s="702"/>
      <c r="CN17" s="702"/>
      <c r="CO17" s="703"/>
      <c r="CP17" s="698"/>
      <c r="CR17" s="701">
        <v>6</v>
      </c>
      <c r="CS17" s="702"/>
      <c r="CT17" s="702"/>
      <c r="CU17" s="703"/>
      <c r="CV17" s="698"/>
      <c r="CX17" s="701">
        <v>6</v>
      </c>
      <c r="CY17" s="702"/>
      <c r="CZ17" s="702"/>
      <c r="DA17" s="703"/>
      <c r="DB17" s="698"/>
      <c r="DD17" s="701">
        <v>6</v>
      </c>
      <c r="DE17" s="702"/>
      <c r="DF17" s="702"/>
      <c r="DG17" s="703"/>
      <c r="DH17" s="698"/>
      <c r="DJ17" s="701">
        <v>6</v>
      </c>
      <c r="DK17" s="702"/>
      <c r="DL17" s="702"/>
      <c r="DM17" s="703"/>
      <c r="DN17" s="698"/>
      <c r="DP17" s="701">
        <v>6</v>
      </c>
      <c r="DQ17" s="702"/>
      <c r="DR17" s="702"/>
      <c r="DS17" s="703"/>
      <c r="DT17" s="698"/>
      <c r="DV17" s="701">
        <v>6</v>
      </c>
      <c r="DW17" s="702"/>
      <c r="DX17" s="702"/>
      <c r="DY17" s="703"/>
      <c r="DZ17" s="698"/>
      <c r="EB17" s="701">
        <v>6</v>
      </c>
      <c r="EC17" s="702"/>
      <c r="ED17" s="702"/>
      <c r="EE17" s="703"/>
      <c r="EF17" s="698"/>
      <c r="EH17" s="695">
        <v>6</v>
      </c>
      <c r="EI17" s="666"/>
      <c r="EJ17" s="666"/>
      <c r="EK17" s="645"/>
      <c r="EL17" s="634"/>
      <c r="EN17" s="695">
        <v>6</v>
      </c>
      <c r="EO17" s="666"/>
      <c r="EP17" s="666"/>
      <c r="EQ17" s="645"/>
      <c r="ER17" s="634"/>
      <c r="ET17" s="695">
        <v>6</v>
      </c>
      <c r="EU17" s="666"/>
      <c r="EV17" s="666"/>
      <c r="EW17" s="645"/>
      <c r="EX17" s="634"/>
    </row>
    <row r="18" spans="12:154">
      <c r="L18" s="701">
        <v>7</v>
      </c>
      <c r="M18" s="702">
        <v>49.799300000000002</v>
      </c>
      <c r="N18" s="702">
        <v>16.428000000000001</v>
      </c>
      <c r="O18" s="703">
        <v>38.417940000000002</v>
      </c>
      <c r="P18" s="698">
        <v>38.713999999999999</v>
      </c>
      <c r="R18" s="701">
        <v>7</v>
      </c>
      <c r="S18" s="702">
        <v>9.3224800000000005</v>
      </c>
      <c r="T18" s="702">
        <v>10.08262</v>
      </c>
      <c r="U18" s="703">
        <v>7.9052899999999999</v>
      </c>
      <c r="V18" s="698">
        <v>8.8844399999999997</v>
      </c>
      <c r="X18" s="701">
        <v>7</v>
      </c>
      <c r="Y18" s="702">
        <v>17.835000000000001</v>
      </c>
      <c r="Z18" s="702">
        <v>19.221</v>
      </c>
      <c r="AA18" s="703">
        <v>20.222000000000001</v>
      </c>
      <c r="AB18" s="698">
        <v>25.24</v>
      </c>
      <c r="AD18" s="701">
        <v>7</v>
      </c>
      <c r="AE18" s="702">
        <v>343.61500000000001</v>
      </c>
      <c r="AF18" s="702">
        <v>229.79599999999999</v>
      </c>
      <c r="AG18" s="703">
        <v>199.19900000000001</v>
      </c>
      <c r="AH18" s="698">
        <v>369.83100000000002</v>
      </c>
      <c r="AJ18" s="701">
        <v>7</v>
      </c>
      <c r="AK18" s="702">
        <v>238.04499999999999</v>
      </c>
      <c r="AL18" s="702">
        <v>231.429</v>
      </c>
      <c r="AM18" s="703">
        <v>221.92599999999999</v>
      </c>
      <c r="AN18" s="698">
        <v>258.55500000000001</v>
      </c>
      <c r="AP18" s="701">
        <v>7</v>
      </c>
      <c r="AQ18" s="702">
        <v>52.28</v>
      </c>
      <c r="AR18" s="702">
        <v>8.36</v>
      </c>
      <c r="AS18" s="703">
        <v>22.4</v>
      </c>
      <c r="AT18" s="698">
        <v>43.33</v>
      </c>
      <c r="AV18" s="701">
        <v>7</v>
      </c>
      <c r="AW18" s="702">
        <v>97.51</v>
      </c>
      <c r="AX18" s="702">
        <v>62.47</v>
      </c>
      <c r="AY18" s="703">
        <v>134.41999999999999</v>
      </c>
      <c r="AZ18" s="698">
        <v>147.21</v>
      </c>
      <c r="BB18" s="701">
        <v>7</v>
      </c>
      <c r="BC18" s="702">
        <v>97.22</v>
      </c>
      <c r="BD18" s="702">
        <v>36.08</v>
      </c>
      <c r="BE18" s="703">
        <v>64.78</v>
      </c>
      <c r="BF18" s="698">
        <v>89.95</v>
      </c>
      <c r="BH18" s="701">
        <v>7</v>
      </c>
      <c r="BI18" s="702">
        <v>10.18665</v>
      </c>
      <c r="BJ18" s="702">
        <v>9.0270100000000006</v>
      </c>
      <c r="BK18" s="703">
        <v>9.7591599999999996</v>
      </c>
      <c r="BL18" s="698">
        <v>14.281929999999999</v>
      </c>
      <c r="BN18" s="701">
        <v>7</v>
      </c>
      <c r="BO18" s="702">
        <v>28.6</v>
      </c>
      <c r="BP18" s="702">
        <v>36.319000000000003</v>
      </c>
      <c r="BQ18" s="703">
        <v>37.904000000000003</v>
      </c>
      <c r="BR18" s="698">
        <v>37.475000000000001</v>
      </c>
      <c r="BT18" s="701">
        <v>7</v>
      </c>
      <c r="BU18" s="702">
        <v>178.54300000000001</v>
      </c>
      <c r="BV18" s="702">
        <v>132.72999999999999</v>
      </c>
      <c r="BW18" s="703">
        <v>249.11199999999999</v>
      </c>
      <c r="BX18" s="698">
        <v>246.32400000000001</v>
      </c>
      <c r="BZ18" s="701">
        <v>7</v>
      </c>
      <c r="CA18" s="702">
        <v>221.161</v>
      </c>
      <c r="CB18" s="702">
        <v>69.123000000000005</v>
      </c>
      <c r="CC18" s="703">
        <v>231.25800000000001</v>
      </c>
      <c r="CD18" s="698">
        <v>252.42599999999999</v>
      </c>
      <c r="CF18" s="701">
        <v>7</v>
      </c>
      <c r="CG18" s="702"/>
      <c r="CH18" s="702"/>
      <c r="CI18" s="703"/>
      <c r="CJ18" s="698"/>
      <c r="CL18" s="701">
        <v>7</v>
      </c>
      <c r="CM18" s="702"/>
      <c r="CN18" s="702"/>
      <c r="CO18" s="703"/>
      <c r="CP18" s="698"/>
      <c r="CR18" s="701">
        <v>7</v>
      </c>
      <c r="CS18" s="702"/>
      <c r="CT18" s="702"/>
      <c r="CU18" s="703"/>
      <c r="CV18" s="698"/>
      <c r="CX18" s="701">
        <v>7</v>
      </c>
      <c r="CY18" s="702"/>
      <c r="CZ18" s="702"/>
      <c r="DA18" s="703"/>
      <c r="DB18" s="698"/>
      <c r="DD18" s="701">
        <v>7</v>
      </c>
      <c r="DE18" s="702"/>
      <c r="DF18" s="702"/>
      <c r="DG18" s="703"/>
      <c r="DH18" s="698"/>
      <c r="DJ18" s="701">
        <v>7</v>
      </c>
      <c r="DK18" s="702"/>
      <c r="DL18" s="702"/>
      <c r="DM18" s="703"/>
      <c r="DN18" s="698"/>
      <c r="DP18" s="701">
        <v>7</v>
      </c>
      <c r="DQ18" s="702"/>
      <c r="DR18" s="702"/>
      <c r="DS18" s="703"/>
      <c r="DT18" s="698"/>
      <c r="DV18" s="701">
        <v>7</v>
      </c>
      <c r="DW18" s="702"/>
      <c r="DX18" s="702"/>
      <c r="DY18" s="703"/>
      <c r="DZ18" s="698"/>
      <c r="EB18" s="701">
        <v>7</v>
      </c>
      <c r="EC18" s="702"/>
      <c r="ED18" s="702"/>
      <c r="EE18" s="703"/>
      <c r="EF18" s="698"/>
      <c r="EH18" s="695">
        <v>7</v>
      </c>
      <c r="EI18" s="666"/>
      <c r="EJ18" s="666"/>
      <c r="EK18" s="645"/>
      <c r="EL18" s="634"/>
      <c r="EN18" s="695">
        <v>7</v>
      </c>
      <c r="EO18" s="666"/>
      <c r="EP18" s="666"/>
      <c r="EQ18" s="645"/>
      <c r="ER18" s="634"/>
      <c r="ET18" s="695">
        <v>7</v>
      </c>
      <c r="EU18" s="666"/>
      <c r="EV18" s="666"/>
      <c r="EW18" s="645"/>
      <c r="EX18" s="634"/>
    </row>
    <row r="19" spans="12:154">
      <c r="L19" s="701">
        <v>8</v>
      </c>
      <c r="M19" s="702">
        <v>51.363399999999999</v>
      </c>
      <c r="N19" s="702">
        <v>19.349</v>
      </c>
      <c r="O19" s="703">
        <v>38.417940000000002</v>
      </c>
      <c r="P19" s="698">
        <v>41.018000000000001</v>
      </c>
      <c r="R19" s="701">
        <v>8</v>
      </c>
      <c r="S19" s="702">
        <v>7.1239800000000004</v>
      </c>
      <c r="T19" s="702">
        <v>7.6832099999999999</v>
      </c>
      <c r="U19" s="703">
        <v>9.3432999999999993</v>
      </c>
      <c r="V19" s="698">
        <v>7.1190800000000003</v>
      </c>
      <c r="X19" s="701">
        <v>8</v>
      </c>
      <c r="Y19" s="702">
        <v>18.393999999999998</v>
      </c>
      <c r="Z19" s="702">
        <v>19.324999999999999</v>
      </c>
      <c r="AA19" s="703">
        <v>19.541</v>
      </c>
      <c r="AB19" s="698">
        <v>25.184999999999999</v>
      </c>
      <c r="AD19" s="701">
        <v>8</v>
      </c>
      <c r="AE19" s="702">
        <v>362.70499999999998</v>
      </c>
      <c r="AF19" s="702">
        <v>230.96199999999999</v>
      </c>
      <c r="AG19" s="703">
        <v>220.357</v>
      </c>
      <c r="AH19" s="698">
        <v>376.42599999999999</v>
      </c>
      <c r="AJ19" s="701">
        <v>8</v>
      </c>
      <c r="AK19" s="702">
        <v>239.072</v>
      </c>
      <c r="AL19" s="702">
        <v>231.82400000000001</v>
      </c>
      <c r="AM19" s="703">
        <v>224.31800000000001</v>
      </c>
      <c r="AN19" s="698">
        <v>263.03699999999998</v>
      </c>
      <c r="AP19" s="701">
        <v>8</v>
      </c>
      <c r="AQ19" s="702">
        <v>54.62</v>
      </c>
      <c r="AR19" s="702">
        <v>9.49</v>
      </c>
      <c r="AS19" s="703">
        <v>28.9</v>
      </c>
      <c r="AT19" s="698">
        <v>47.17</v>
      </c>
      <c r="AV19" s="701">
        <v>8</v>
      </c>
      <c r="AW19" s="702">
        <v>112.22</v>
      </c>
      <c r="AX19" s="702">
        <v>79.180000000000007</v>
      </c>
      <c r="AY19" s="703">
        <v>140.88999999999999</v>
      </c>
      <c r="AZ19" s="698">
        <v>161.09</v>
      </c>
      <c r="BB19" s="701">
        <v>8</v>
      </c>
      <c r="BC19" s="702">
        <v>100.14</v>
      </c>
      <c r="BD19" s="702">
        <v>38.549999999999997</v>
      </c>
      <c r="BE19" s="703">
        <v>68.459999999999994</v>
      </c>
      <c r="BF19" s="698">
        <v>93.73</v>
      </c>
      <c r="BH19" s="701">
        <v>8</v>
      </c>
      <c r="BI19" s="702">
        <v>11.341189999999999</v>
      </c>
      <c r="BJ19" s="702">
        <v>10.61637</v>
      </c>
      <c r="BK19" s="703">
        <v>11.005050000000001</v>
      </c>
      <c r="BL19" s="698">
        <v>16.186679999999999</v>
      </c>
      <c r="BN19" s="701">
        <v>8</v>
      </c>
      <c r="BO19" s="702">
        <v>33.356000000000002</v>
      </c>
      <c r="BP19" s="702">
        <v>45.201999999999998</v>
      </c>
      <c r="BQ19" s="703">
        <v>34.634</v>
      </c>
      <c r="BR19" s="698">
        <v>46.637999999999998</v>
      </c>
      <c r="BT19" s="701">
        <v>8</v>
      </c>
      <c r="BU19" s="702">
        <v>187.83199999999999</v>
      </c>
      <c r="BV19" s="702">
        <v>150.01</v>
      </c>
      <c r="BW19" s="703">
        <v>252.53899999999999</v>
      </c>
      <c r="BX19" s="698">
        <v>257.95</v>
      </c>
      <c r="BZ19" s="701">
        <v>8</v>
      </c>
      <c r="CA19" s="702">
        <v>273.05700000000002</v>
      </c>
      <c r="CB19" s="702">
        <v>91.259</v>
      </c>
      <c r="CC19" s="703">
        <v>268.55099999999999</v>
      </c>
      <c r="CD19" s="698">
        <v>303.54399999999998</v>
      </c>
      <c r="CF19" s="701">
        <v>8</v>
      </c>
      <c r="CG19" s="702"/>
      <c r="CH19" s="702"/>
      <c r="CI19" s="703"/>
      <c r="CJ19" s="698"/>
      <c r="CL19" s="701">
        <v>8</v>
      </c>
      <c r="CM19" s="702"/>
      <c r="CN19" s="702"/>
      <c r="CO19" s="703"/>
      <c r="CP19" s="698"/>
      <c r="CR19" s="701">
        <v>8</v>
      </c>
      <c r="CS19" s="702"/>
      <c r="CT19" s="702"/>
      <c r="CU19" s="703"/>
      <c r="CV19" s="698"/>
      <c r="CX19" s="701">
        <v>8</v>
      </c>
      <c r="CY19" s="702"/>
      <c r="CZ19" s="702"/>
      <c r="DA19" s="703"/>
      <c r="DB19" s="698"/>
      <c r="DD19" s="701">
        <v>8</v>
      </c>
      <c r="DE19" s="702"/>
      <c r="DF19" s="702"/>
      <c r="DG19" s="703"/>
      <c r="DH19" s="698"/>
      <c r="DJ19" s="701">
        <v>8</v>
      </c>
      <c r="DK19" s="702"/>
      <c r="DL19" s="702"/>
      <c r="DM19" s="703"/>
      <c r="DN19" s="698"/>
      <c r="DP19" s="701">
        <v>8</v>
      </c>
      <c r="DQ19" s="702"/>
      <c r="DR19" s="702"/>
      <c r="DS19" s="703"/>
      <c r="DT19" s="698"/>
      <c r="DV19" s="701">
        <v>8</v>
      </c>
      <c r="DW19" s="702"/>
      <c r="DX19" s="702"/>
      <c r="DY19" s="703"/>
      <c r="DZ19" s="698"/>
      <c r="EB19" s="701">
        <v>8</v>
      </c>
      <c r="EC19" s="702"/>
      <c r="ED19" s="702"/>
      <c r="EE19" s="703"/>
      <c r="EF19" s="698"/>
      <c r="EH19" s="695">
        <v>8</v>
      </c>
      <c r="EI19" s="666"/>
      <c r="EJ19" s="666"/>
      <c r="EK19" s="645"/>
      <c r="EL19" s="634"/>
      <c r="EN19" s="695">
        <v>8</v>
      </c>
      <c r="EO19" s="666"/>
      <c r="EP19" s="666"/>
      <c r="EQ19" s="645"/>
      <c r="ER19" s="634"/>
      <c r="ET19" s="695">
        <v>8</v>
      </c>
      <c r="EU19" s="666"/>
      <c r="EV19" s="666"/>
      <c r="EW19" s="645"/>
      <c r="EX19" s="634"/>
    </row>
    <row r="20" spans="12:154">
      <c r="L20" s="701">
        <v>9</v>
      </c>
      <c r="M20" s="702">
        <v>55.03</v>
      </c>
      <c r="N20" s="702">
        <v>21.148</v>
      </c>
      <c r="O20" s="703">
        <v>44.567</v>
      </c>
      <c r="P20" s="698"/>
      <c r="R20" s="701">
        <v>9</v>
      </c>
      <c r="S20" s="702">
        <v>9.3785500000000006</v>
      </c>
      <c r="T20" s="702">
        <v>9.75108</v>
      </c>
      <c r="U20" s="703">
        <v>9.5478900000000007</v>
      </c>
      <c r="V20" s="698"/>
      <c r="X20" s="701">
        <v>9</v>
      </c>
      <c r="Y20" s="702">
        <v>19.11</v>
      </c>
      <c r="Z20" s="702">
        <v>19.960999999999999</v>
      </c>
      <c r="AA20" s="703">
        <v>18.698</v>
      </c>
      <c r="AB20" s="698"/>
      <c r="AD20" s="701">
        <v>9</v>
      </c>
      <c r="AE20" s="702">
        <v>378.56234000000001</v>
      </c>
      <c r="AF20" s="702">
        <v>229.38900000000001</v>
      </c>
      <c r="AG20" s="703">
        <v>269.745</v>
      </c>
      <c r="AH20" s="698"/>
      <c r="AJ20" s="701">
        <v>9</v>
      </c>
      <c r="AK20" s="702">
        <v>240.68799999999999</v>
      </c>
      <c r="AL20" s="702">
        <v>231.57</v>
      </c>
      <c r="AM20" s="703">
        <v>230.50299999999999</v>
      </c>
      <c r="AN20" s="698"/>
      <c r="AP20" s="701">
        <v>9</v>
      </c>
      <c r="AQ20" s="702">
        <v>60.41</v>
      </c>
      <c r="AR20" s="702">
        <v>10.08</v>
      </c>
      <c r="AS20" s="703">
        <v>34.47</v>
      </c>
      <c r="AT20" s="698"/>
      <c r="AV20" s="701">
        <v>9</v>
      </c>
      <c r="AW20" s="702">
        <v>124.14</v>
      </c>
      <c r="AX20" s="702">
        <v>95.84</v>
      </c>
      <c r="AY20" s="703">
        <v>152.16999999999999</v>
      </c>
      <c r="AZ20" s="698"/>
      <c r="BB20" s="701">
        <v>9</v>
      </c>
      <c r="BC20" s="702">
        <v>103.65</v>
      </c>
      <c r="BD20" s="702">
        <v>39.65</v>
      </c>
      <c r="BE20" s="703">
        <v>71.3</v>
      </c>
      <c r="BF20" s="698"/>
      <c r="BH20" s="701">
        <v>9</v>
      </c>
      <c r="BI20" s="702">
        <v>13.064249999999999</v>
      </c>
      <c r="BJ20" s="702">
        <v>12.203889999999999</v>
      </c>
      <c r="BK20" s="703">
        <v>11.766</v>
      </c>
      <c r="BL20" s="698"/>
      <c r="BN20" s="701">
        <v>9</v>
      </c>
      <c r="BO20" s="702">
        <v>42.405000000000001</v>
      </c>
      <c r="BP20" s="702">
        <v>45.656999999999996</v>
      </c>
      <c r="BQ20" s="703">
        <v>40.573</v>
      </c>
      <c r="BR20" s="698"/>
      <c r="BT20" s="701">
        <v>9</v>
      </c>
      <c r="BU20" s="702">
        <v>199.54</v>
      </c>
      <c r="BV20" s="702">
        <v>161.893</v>
      </c>
      <c r="BW20" s="703">
        <v>258.63299999999998</v>
      </c>
      <c r="BX20" s="698"/>
      <c r="BZ20" s="701">
        <v>9</v>
      </c>
      <c r="CA20" s="702">
        <v>291.33300000000003</v>
      </c>
      <c r="CB20" s="702">
        <v>113.654</v>
      </c>
      <c r="CC20" s="703">
        <v>291.33300000000003</v>
      </c>
      <c r="CD20" s="698"/>
      <c r="CF20" s="701">
        <v>9</v>
      </c>
      <c r="CG20" s="702"/>
      <c r="CH20" s="702"/>
      <c r="CI20" s="703"/>
      <c r="CJ20" s="698"/>
      <c r="CL20" s="701">
        <v>9</v>
      </c>
      <c r="CM20" s="702"/>
      <c r="CN20" s="702"/>
      <c r="CO20" s="703"/>
      <c r="CP20" s="698"/>
      <c r="CR20" s="701">
        <v>9</v>
      </c>
      <c r="CS20" s="702"/>
      <c r="CT20" s="702"/>
      <c r="CU20" s="703"/>
      <c r="CV20" s="698"/>
      <c r="CX20" s="701">
        <v>9</v>
      </c>
      <c r="CY20" s="702"/>
      <c r="CZ20" s="702"/>
      <c r="DA20" s="703"/>
      <c r="DB20" s="698"/>
      <c r="DD20" s="701">
        <v>9</v>
      </c>
      <c r="DE20" s="702"/>
      <c r="DF20" s="702"/>
      <c r="DG20" s="703"/>
      <c r="DH20" s="698"/>
      <c r="DJ20" s="701">
        <v>9</v>
      </c>
      <c r="DK20" s="702"/>
      <c r="DL20" s="702"/>
      <c r="DM20" s="703"/>
      <c r="DN20" s="698"/>
      <c r="DP20" s="701">
        <v>9</v>
      </c>
      <c r="DQ20" s="702"/>
      <c r="DR20" s="702"/>
      <c r="DS20" s="703"/>
      <c r="DT20" s="698"/>
      <c r="DV20" s="701">
        <v>9</v>
      </c>
      <c r="DW20" s="702"/>
      <c r="DX20" s="702"/>
      <c r="DY20" s="703"/>
      <c r="DZ20" s="698"/>
      <c r="EB20" s="701">
        <v>9</v>
      </c>
      <c r="EC20" s="702"/>
      <c r="ED20" s="702"/>
      <c r="EE20" s="703"/>
      <c r="EF20" s="698"/>
      <c r="EH20" s="695">
        <v>9</v>
      </c>
      <c r="EI20" s="666"/>
      <c r="EJ20" s="666"/>
      <c r="EK20" s="645"/>
      <c r="EL20" s="634"/>
      <c r="EN20" s="695">
        <v>9</v>
      </c>
      <c r="EO20" s="666"/>
      <c r="EP20" s="666"/>
      <c r="EQ20" s="645"/>
      <c r="ER20" s="634"/>
      <c r="ET20" s="695">
        <v>9</v>
      </c>
      <c r="EU20" s="666"/>
      <c r="EV20" s="666"/>
      <c r="EW20" s="645"/>
      <c r="EX20" s="634"/>
    </row>
    <row r="21" spans="12:154">
      <c r="L21" s="701">
        <v>10</v>
      </c>
      <c r="M21" s="702">
        <v>58.193660000000001</v>
      </c>
      <c r="N21" s="702">
        <v>23.95814</v>
      </c>
      <c r="O21" s="703">
        <v>48.359000000000002</v>
      </c>
      <c r="P21" s="698"/>
      <c r="R21" s="701">
        <v>10</v>
      </c>
      <c r="S21" s="702">
        <v>9.3294099999999993</v>
      </c>
      <c r="T21" s="702">
        <v>13.06934</v>
      </c>
      <c r="U21" s="703">
        <v>7.7923499999999999</v>
      </c>
      <c r="V21" s="698"/>
      <c r="X21" s="701">
        <v>10</v>
      </c>
      <c r="Y21" s="702">
        <v>19.207999999999998</v>
      </c>
      <c r="Z21" s="702">
        <v>20.292999999999999</v>
      </c>
      <c r="AA21" s="703">
        <v>18.888999999999999</v>
      </c>
      <c r="AB21" s="698"/>
      <c r="AD21" s="701">
        <v>10</v>
      </c>
      <c r="AE21" s="702">
        <v>392.58</v>
      </c>
      <c r="AF21" s="702">
        <v>230.27</v>
      </c>
      <c r="AG21" s="703">
        <v>342.709</v>
      </c>
      <c r="AH21" s="698"/>
      <c r="AJ21" s="701">
        <v>10</v>
      </c>
      <c r="AK21" s="702">
        <v>242.64500000000001</v>
      </c>
      <c r="AL21" s="702">
        <v>231.12</v>
      </c>
      <c r="AM21" s="703">
        <v>237.71600000000001</v>
      </c>
      <c r="AN21" s="698"/>
      <c r="AP21" s="701">
        <v>10</v>
      </c>
      <c r="AQ21" s="702">
        <v>62.48</v>
      </c>
      <c r="AR21" s="702">
        <v>11</v>
      </c>
      <c r="AS21" s="703">
        <v>35.880000000000003</v>
      </c>
      <c r="AT21" s="698"/>
      <c r="AV21" s="701">
        <v>10</v>
      </c>
      <c r="AW21" s="702">
        <v>135.52000000000001</v>
      </c>
      <c r="AX21" s="702">
        <v>110.38</v>
      </c>
      <c r="AY21" s="703">
        <v>162.25</v>
      </c>
      <c r="AZ21" s="698"/>
      <c r="BB21" s="701">
        <v>10</v>
      </c>
      <c r="BC21" s="702">
        <v>106</v>
      </c>
      <c r="BD21" s="702">
        <v>40.479999999999997</v>
      </c>
      <c r="BE21" s="703">
        <v>73.86</v>
      </c>
      <c r="BF21" s="698"/>
      <c r="BH21" s="701">
        <v>10</v>
      </c>
      <c r="BI21" s="702">
        <v>14.32577</v>
      </c>
      <c r="BJ21" s="702">
        <v>13.375170000000001</v>
      </c>
      <c r="BK21" s="703">
        <v>13.313000000000001</v>
      </c>
      <c r="BL21" s="698"/>
      <c r="BN21" s="701">
        <v>10</v>
      </c>
      <c r="BO21" s="702">
        <v>51.368000000000002</v>
      </c>
      <c r="BP21" s="702">
        <v>48.32</v>
      </c>
      <c r="BQ21" s="703">
        <v>49.252000000000002</v>
      </c>
      <c r="BR21" s="698"/>
      <c r="BT21" s="701">
        <v>10</v>
      </c>
      <c r="BU21" s="702">
        <v>214.46</v>
      </c>
      <c r="BV21" s="702">
        <v>173.304</v>
      </c>
      <c r="BW21" s="703">
        <v>267.09100000000001</v>
      </c>
      <c r="BX21" s="698"/>
      <c r="BZ21" s="701">
        <v>10</v>
      </c>
      <c r="CA21" s="702">
        <v>295.38400000000001</v>
      </c>
      <c r="CB21" s="702">
        <v>122.54900000000001</v>
      </c>
      <c r="CC21" s="703">
        <v>337.55799999999999</v>
      </c>
      <c r="CD21" s="698"/>
      <c r="CF21" s="701">
        <v>10</v>
      </c>
      <c r="CG21" s="702"/>
      <c r="CH21" s="702"/>
      <c r="CI21" s="703"/>
      <c r="CJ21" s="698"/>
      <c r="CL21" s="701">
        <v>10</v>
      </c>
      <c r="CM21" s="702"/>
      <c r="CN21" s="702"/>
      <c r="CO21" s="703"/>
      <c r="CP21" s="698"/>
      <c r="CR21" s="701">
        <v>10</v>
      </c>
      <c r="CS21" s="702"/>
      <c r="CT21" s="702"/>
      <c r="CU21" s="703"/>
      <c r="CV21" s="698"/>
      <c r="CX21" s="701">
        <v>10</v>
      </c>
      <c r="CY21" s="702"/>
      <c r="CZ21" s="702"/>
      <c r="DA21" s="703"/>
      <c r="DB21" s="698"/>
      <c r="DD21" s="701">
        <v>10</v>
      </c>
      <c r="DE21" s="702"/>
      <c r="DF21" s="702"/>
      <c r="DG21" s="703"/>
      <c r="DH21" s="698"/>
      <c r="DJ21" s="701">
        <v>10</v>
      </c>
      <c r="DK21" s="702"/>
      <c r="DL21" s="702"/>
      <c r="DM21" s="703"/>
      <c r="DN21" s="698"/>
      <c r="DP21" s="701">
        <v>10</v>
      </c>
      <c r="DQ21" s="702"/>
      <c r="DR21" s="702"/>
      <c r="DS21" s="703"/>
      <c r="DT21" s="698"/>
      <c r="DV21" s="701">
        <v>10</v>
      </c>
      <c r="DW21" s="702"/>
      <c r="DX21" s="702"/>
      <c r="DY21" s="703"/>
      <c r="DZ21" s="698"/>
      <c r="EB21" s="701">
        <v>10</v>
      </c>
      <c r="EC21" s="702"/>
      <c r="ED21" s="702"/>
      <c r="EE21" s="703"/>
      <c r="EF21" s="698"/>
      <c r="EH21" s="695">
        <v>10</v>
      </c>
      <c r="EI21" s="666"/>
      <c r="EJ21" s="666"/>
      <c r="EK21" s="645"/>
      <c r="EL21" s="634"/>
      <c r="EN21" s="695">
        <v>10</v>
      </c>
      <c r="EO21" s="666"/>
      <c r="EP21" s="666"/>
      <c r="EQ21" s="645"/>
      <c r="ER21" s="634"/>
      <c r="ET21" s="695">
        <v>10</v>
      </c>
      <c r="EU21" s="666"/>
      <c r="EV21" s="666"/>
      <c r="EW21" s="645"/>
      <c r="EX21" s="634"/>
    </row>
    <row r="22" spans="12:154">
      <c r="L22" s="701">
        <v>11</v>
      </c>
      <c r="M22" s="702">
        <v>61.114539999999998</v>
      </c>
      <c r="N22" s="702">
        <v>26.48086</v>
      </c>
      <c r="O22" s="703">
        <v>52.481999999999999</v>
      </c>
      <c r="P22" s="704"/>
      <c r="R22" s="701">
        <v>11</v>
      </c>
      <c r="S22" s="702">
        <v>8.4179499999999994</v>
      </c>
      <c r="T22" s="702">
        <v>9.7333400000000001</v>
      </c>
      <c r="U22" s="703">
        <v>9.33934</v>
      </c>
      <c r="V22" s="704"/>
      <c r="X22" s="701">
        <v>11</v>
      </c>
      <c r="Y22" s="702">
        <v>19.306999999999999</v>
      </c>
      <c r="Z22" s="702">
        <v>21.024000000000001</v>
      </c>
      <c r="AA22" s="703">
        <v>20.477</v>
      </c>
      <c r="AB22" s="704"/>
      <c r="AD22" s="701">
        <v>11</v>
      </c>
      <c r="AE22" s="702">
        <v>392.68700000000001</v>
      </c>
      <c r="AF22" s="702">
        <v>236.05699999999999</v>
      </c>
      <c r="AG22" s="703">
        <v>391.99299999999999</v>
      </c>
      <c r="AH22" s="704"/>
      <c r="AJ22" s="701">
        <v>11</v>
      </c>
      <c r="AK22" s="702">
        <v>243.18100000000001</v>
      </c>
      <c r="AL22" s="702">
        <v>230.74</v>
      </c>
      <c r="AM22" s="703">
        <v>244.10599999999999</v>
      </c>
      <c r="AN22" s="704"/>
      <c r="AP22" s="701">
        <v>11</v>
      </c>
      <c r="AQ22" s="702">
        <v>71.05</v>
      </c>
      <c r="AR22" s="702">
        <v>12.11</v>
      </c>
      <c r="AS22" s="703">
        <v>36.74</v>
      </c>
      <c r="AT22" s="704"/>
      <c r="AV22" s="701">
        <v>11</v>
      </c>
      <c r="AW22" s="702">
        <v>145.81</v>
      </c>
      <c r="AX22" s="702">
        <v>119.57</v>
      </c>
      <c r="AY22" s="703">
        <v>175.85</v>
      </c>
      <c r="AZ22" s="704"/>
      <c r="BB22" s="701">
        <v>11</v>
      </c>
      <c r="BC22" s="702">
        <v>109.24</v>
      </c>
      <c r="BD22" s="702">
        <v>41.86</v>
      </c>
      <c r="BE22" s="703">
        <v>77.86</v>
      </c>
      <c r="BF22" s="704"/>
      <c r="BH22" s="701">
        <v>11</v>
      </c>
      <c r="BI22" s="702">
        <v>16.314730000000001</v>
      </c>
      <c r="BJ22" s="702">
        <v>15.54818</v>
      </c>
      <c r="BK22" s="703">
        <v>13.797779999999999</v>
      </c>
      <c r="BL22" s="704"/>
      <c r="BN22" s="701">
        <v>11</v>
      </c>
      <c r="BO22" s="702">
        <v>54.545000000000002</v>
      </c>
      <c r="BP22" s="702">
        <v>55.063000000000002</v>
      </c>
      <c r="BQ22" s="703">
        <v>50.726999999999997</v>
      </c>
      <c r="BR22" s="704"/>
      <c r="BT22" s="701">
        <v>11</v>
      </c>
      <c r="BU22" s="702">
        <v>228.98</v>
      </c>
      <c r="BV22" s="702">
        <v>187.672</v>
      </c>
      <c r="BW22" s="703">
        <v>263.69</v>
      </c>
      <c r="BX22" s="704"/>
      <c r="BZ22" s="701">
        <v>11</v>
      </c>
      <c r="CA22" s="702">
        <v>306.47699999999998</v>
      </c>
      <c r="CB22" s="702">
        <v>133.43</v>
      </c>
      <c r="CC22" s="703">
        <v>350.41</v>
      </c>
      <c r="CD22" s="704"/>
      <c r="CF22" s="701">
        <v>11</v>
      </c>
      <c r="CG22" s="702"/>
      <c r="CH22" s="702"/>
      <c r="CI22" s="703"/>
      <c r="CJ22" s="704"/>
      <c r="CL22" s="701">
        <v>11</v>
      </c>
      <c r="CM22" s="702"/>
      <c r="CN22" s="702"/>
      <c r="CO22" s="703"/>
      <c r="CP22" s="704"/>
      <c r="CR22" s="701">
        <v>11</v>
      </c>
      <c r="CS22" s="702"/>
      <c r="CT22" s="702"/>
      <c r="CU22" s="703"/>
      <c r="CV22" s="704"/>
      <c r="CX22" s="701">
        <v>11</v>
      </c>
      <c r="CY22" s="702"/>
      <c r="CZ22" s="702"/>
      <c r="DA22" s="703"/>
      <c r="DB22" s="704"/>
      <c r="DD22" s="701">
        <v>11</v>
      </c>
      <c r="DE22" s="702"/>
      <c r="DF22" s="702"/>
      <c r="DG22" s="703"/>
      <c r="DH22" s="704"/>
      <c r="DJ22" s="701">
        <v>11</v>
      </c>
      <c r="DK22" s="702"/>
      <c r="DL22" s="702"/>
      <c r="DM22" s="703"/>
      <c r="DN22" s="704"/>
      <c r="DP22" s="701">
        <v>11</v>
      </c>
      <c r="DQ22" s="702"/>
      <c r="DR22" s="702"/>
      <c r="DS22" s="703"/>
      <c r="DT22" s="704"/>
      <c r="DV22" s="701">
        <v>11</v>
      </c>
      <c r="DW22" s="702"/>
      <c r="DX22" s="702"/>
      <c r="DY22" s="703"/>
      <c r="DZ22" s="704"/>
      <c r="EB22" s="701">
        <v>11</v>
      </c>
      <c r="EC22" s="702"/>
      <c r="ED22" s="702"/>
      <c r="EE22" s="703"/>
      <c r="EF22" s="704"/>
      <c r="EH22" s="695">
        <v>11</v>
      </c>
      <c r="EI22" s="666"/>
      <c r="EJ22" s="666"/>
      <c r="EK22" s="645"/>
      <c r="EL22" s="640"/>
      <c r="EN22" s="695">
        <v>11</v>
      </c>
      <c r="EO22" s="666"/>
      <c r="EP22" s="666"/>
      <c r="EQ22" s="645"/>
      <c r="ER22" s="640"/>
      <c r="ET22" s="695">
        <v>11</v>
      </c>
      <c r="EU22" s="666"/>
      <c r="EV22" s="666"/>
      <c r="EW22" s="645"/>
      <c r="EX22" s="640"/>
    </row>
    <row r="23" spans="12:154">
      <c r="L23" s="701">
        <v>12</v>
      </c>
      <c r="M23" s="702">
        <v>63.07779</v>
      </c>
      <c r="N23" s="702">
        <v>28.335999999999999</v>
      </c>
      <c r="O23" s="703">
        <v>53.767000000000003</v>
      </c>
      <c r="P23" s="704"/>
      <c r="R23" s="701">
        <v>12</v>
      </c>
      <c r="S23" s="702">
        <v>9.5860299999999992</v>
      </c>
      <c r="T23" s="702">
        <v>11.20107</v>
      </c>
      <c r="U23" s="703">
        <v>10.27125</v>
      </c>
      <c r="V23" s="704"/>
      <c r="X23" s="701">
        <v>12</v>
      </c>
      <c r="Y23" s="702">
        <v>19.125</v>
      </c>
      <c r="Z23" s="702">
        <v>21.190999999999999</v>
      </c>
      <c r="AA23" s="703">
        <v>20.628</v>
      </c>
      <c r="AB23" s="704"/>
      <c r="AD23" s="701">
        <v>12</v>
      </c>
      <c r="AE23" s="702">
        <v>395.71</v>
      </c>
      <c r="AF23" s="702">
        <v>253.10900000000001</v>
      </c>
      <c r="AG23" s="703">
        <v>418.22199999999998</v>
      </c>
      <c r="AH23" s="704"/>
      <c r="AJ23" s="701">
        <v>12</v>
      </c>
      <c r="AK23" s="702">
        <v>253.22499999999999</v>
      </c>
      <c r="AL23" s="702">
        <v>231.36</v>
      </c>
      <c r="AM23" s="703">
        <v>248.86799999999999</v>
      </c>
      <c r="AN23" s="704"/>
      <c r="AP23" s="701">
        <v>12</v>
      </c>
      <c r="AQ23" s="702">
        <v>67.37</v>
      </c>
      <c r="AR23" s="702">
        <v>13.55</v>
      </c>
      <c r="AS23" s="703">
        <v>37.97</v>
      </c>
      <c r="AT23" s="704"/>
      <c r="AV23" s="701">
        <v>12</v>
      </c>
      <c r="AW23" s="702">
        <v>155.6</v>
      </c>
      <c r="AX23" s="702">
        <v>127.35</v>
      </c>
      <c r="AY23" s="703">
        <v>181.49</v>
      </c>
      <c r="AZ23" s="704"/>
      <c r="BB23" s="701">
        <v>12</v>
      </c>
      <c r="BC23" s="702">
        <v>112.93</v>
      </c>
      <c r="BD23" s="702">
        <v>47.4</v>
      </c>
      <c r="BE23" s="703">
        <v>80.73</v>
      </c>
      <c r="BF23" s="704"/>
      <c r="BH23" s="701">
        <v>12</v>
      </c>
      <c r="BI23" s="702">
        <v>17.723410000000001</v>
      </c>
      <c r="BJ23" s="702">
        <v>16.960249999999998</v>
      </c>
      <c r="BK23" s="703">
        <v>14.528370000000001</v>
      </c>
      <c r="BL23" s="704"/>
      <c r="BN23" s="701">
        <v>12</v>
      </c>
      <c r="BO23" s="702">
        <v>56.872</v>
      </c>
      <c r="BP23" s="702">
        <v>58.485999999999997</v>
      </c>
      <c r="BQ23" s="703">
        <v>57.817999999999998</v>
      </c>
      <c r="BR23" s="704"/>
      <c r="BT23" s="701">
        <v>12</v>
      </c>
      <c r="BU23" s="702">
        <v>236.83600000000001</v>
      </c>
      <c r="BV23" s="702">
        <v>198.322</v>
      </c>
      <c r="BW23" s="703">
        <v>268.42899999999997</v>
      </c>
      <c r="BX23" s="704"/>
      <c r="BZ23" s="701">
        <v>12</v>
      </c>
      <c r="CA23" s="702">
        <v>307.065</v>
      </c>
      <c r="CB23" s="702">
        <v>167.42400000000001</v>
      </c>
      <c r="CC23" s="703">
        <v>333.31299999999999</v>
      </c>
      <c r="CD23" s="704"/>
      <c r="CF23" s="701">
        <v>12</v>
      </c>
      <c r="CG23" s="702"/>
      <c r="CH23" s="702"/>
      <c r="CI23" s="703"/>
      <c r="CJ23" s="704"/>
      <c r="CL23" s="701">
        <v>12</v>
      </c>
      <c r="CM23" s="702"/>
      <c r="CN23" s="702"/>
      <c r="CO23" s="703"/>
      <c r="CP23" s="704"/>
      <c r="CR23" s="701">
        <v>12</v>
      </c>
      <c r="CS23" s="702"/>
      <c r="CT23" s="702"/>
      <c r="CU23" s="703"/>
      <c r="CV23" s="704"/>
      <c r="CX23" s="701">
        <v>12</v>
      </c>
      <c r="CY23" s="702"/>
      <c r="CZ23" s="702"/>
      <c r="DA23" s="703"/>
      <c r="DB23" s="704"/>
      <c r="DD23" s="701">
        <v>12</v>
      </c>
      <c r="DE23" s="702"/>
      <c r="DF23" s="702"/>
      <c r="DG23" s="703"/>
      <c r="DH23" s="704"/>
      <c r="DJ23" s="701">
        <v>12</v>
      </c>
      <c r="DK23" s="702"/>
      <c r="DL23" s="702"/>
      <c r="DM23" s="703"/>
      <c r="DN23" s="704"/>
      <c r="DP23" s="701">
        <v>12</v>
      </c>
      <c r="DQ23" s="702"/>
      <c r="DR23" s="702"/>
      <c r="DS23" s="703"/>
      <c r="DT23" s="704"/>
      <c r="DV23" s="701">
        <v>12</v>
      </c>
      <c r="DW23" s="702"/>
      <c r="DX23" s="702"/>
      <c r="DY23" s="703"/>
      <c r="DZ23" s="704"/>
      <c r="EB23" s="701">
        <v>12</v>
      </c>
      <c r="EC23" s="702"/>
      <c r="ED23" s="702"/>
      <c r="EE23" s="703"/>
      <c r="EF23" s="704"/>
      <c r="EH23" s="695">
        <v>12</v>
      </c>
      <c r="EI23" s="666"/>
      <c r="EJ23" s="666"/>
      <c r="EK23" s="645"/>
      <c r="EL23" s="640"/>
      <c r="EN23" s="695">
        <v>12</v>
      </c>
      <c r="EO23" s="666"/>
      <c r="EP23" s="666"/>
      <c r="EQ23" s="645"/>
      <c r="ER23" s="640"/>
      <c r="ET23" s="695">
        <v>12</v>
      </c>
      <c r="EU23" s="666"/>
      <c r="EV23" s="666"/>
      <c r="EW23" s="645"/>
      <c r="EX23" s="640"/>
    </row>
    <row r="24" spans="12:154">
      <c r="L24" s="701">
        <v>13</v>
      </c>
      <c r="M24" s="702">
        <v>64.593999999999994</v>
      </c>
      <c r="N24" s="702">
        <v>31.776</v>
      </c>
      <c r="O24" s="703">
        <v>55.048000000000002</v>
      </c>
      <c r="P24" s="704"/>
      <c r="R24" s="701">
        <v>13</v>
      </c>
      <c r="S24" s="702">
        <v>10.43256</v>
      </c>
      <c r="T24" s="702">
        <v>10.283609999999999</v>
      </c>
      <c r="U24" s="703">
        <v>7.9560599999999999</v>
      </c>
      <c r="V24" s="704"/>
      <c r="X24" s="701">
        <v>13</v>
      </c>
      <c r="Y24" s="702">
        <v>19.222000000000001</v>
      </c>
      <c r="Z24" s="702">
        <v>21.274999999999999</v>
      </c>
      <c r="AA24" s="703">
        <v>24.895</v>
      </c>
      <c r="AB24" s="704"/>
      <c r="AD24" s="701">
        <v>13</v>
      </c>
      <c r="AE24" s="702">
        <v>395.84</v>
      </c>
      <c r="AF24" s="702">
        <v>293.59699999999998</v>
      </c>
      <c r="AG24" s="703">
        <v>421.98700000000002</v>
      </c>
      <c r="AH24" s="704"/>
      <c r="AJ24" s="701">
        <v>13</v>
      </c>
      <c r="AK24" s="702">
        <v>242.92500000000001</v>
      </c>
      <c r="AL24" s="702">
        <v>235.416</v>
      </c>
      <c r="AM24" s="703">
        <v>251.46700000000001</v>
      </c>
      <c r="AN24" s="704"/>
      <c r="AP24" s="701">
        <v>13</v>
      </c>
      <c r="AQ24" s="702">
        <v>68.44</v>
      </c>
      <c r="AR24" s="702">
        <v>16.510000000000002</v>
      </c>
      <c r="AS24" s="703">
        <v>39</v>
      </c>
      <c r="AT24" s="704"/>
      <c r="AV24" s="701">
        <v>13</v>
      </c>
      <c r="AW24" s="702">
        <v>162.9</v>
      </c>
      <c r="AX24" s="702">
        <v>141.19999999999999</v>
      </c>
      <c r="AY24" s="703">
        <v>186.57</v>
      </c>
      <c r="AZ24" s="704"/>
      <c r="BB24" s="701">
        <v>13</v>
      </c>
      <c r="BC24" s="702">
        <v>113.07</v>
      </c>
      <c r="BD24" s="702">
        <v>48.51</v>
      </c>
      <c r="BE24" s="703">
        <v>82.45</v>
      </c>
      <c r="BF24" s="704"/>
      <c r="BH24" s="701">
        <v>13</v>
      </c>
      <c r="BI24" s="702">
        <v>19.18524</v>
      </c>
      <c r="BJ24" s="702">
        <v>18.05602</v>
      </c>
      <c r="BK24" s="703">
        <v>15.264889999999999</v>
      </c>
      <c r="BL24" s="704"/>
      <c r="BN24" s="701">
        <v>13</v>
      </c>
      <c r="BO24" s="702">
        <v>62.432000000000002</v>
      </c>
      <c r="BP24" s="702">
        <v>61.253</v>
      </c>
      <c r="BQ24" s="703">
        <v>63.113</v>
      </c>
      <c r="BR24" s="704"/>
      <c r="BT24" s="701">
        <v>13</v>
      </c>
      <c r="BU24" s="702">
        <v>249.48400000000001</v>
      </c>
      <c r="BV24" s="702">
        <v>206.28100000000001</v>
      </c>
      <c r="BW24" s="703">
        <v>274.10199999999998</v>
      </c>
      <c r="BX24" s="704"/>
      <c r="BZ24" s="701">
        <v>13</v>
      </c>
      <c r="CA24" s="702">
        <v>308.24200000000002</v>
      </c>
      <c r="CB24" s="702">
        <v>196.28299999999999</v>
      </c>
      <c r="CC24" s="703">
        <v>344.88099999999997</v>
      </c>
      <c r="CD24" s="704"/>
      <c r="CF24" s="701">
        <v>13</v>
      </c>
      <c r="CG24" s="702"/>
      <c r="CH24" s="702"/>
      <c r="CI24" s="703"/>
      <c r="CJ24" s="704"/>
      <c r="CL24" s="701">
        <v>13</v>
      </c>
      <c r="CM24" s="702"/>
      <c r="CN24" s="702"/>
      <c r="CO24" s="703"/>
      <c r="CP24" s="704"/>
      <c r="CR24" s="701">
        <v>13</v>
      </c>
      <c r="CS24" s="702"/>
      <c r="CT24" s="702"/>
      <c r="CU24" s="703"/>
      <c r="CV24" s="704"/>
      <c r="CX24" s="701">
        <v>13</v>
      </c>
      <c r="CY24" s="702"/>
      <c r="CZ24" s="702"/>
      <c r="DA24" s="703"/>
      <c r="DB24" s="704"/>
      <c r="DD24" s="701">
        <v>13</v>
      </c>
      <c r="DE24" s="702"/>
      <c r="DF24" s="702"/>
      <c r="DG24" s="703"/>
      <c r="DH24" s="704"/>
      <c r="DJ24" s="701">
        <v>13</v>
      </c>
      <c r="DK24" s="702"/>
      <c r="DL24" s="702"/>
      <c r="DM24" s="703"/>
      <c r="DN24" s="704"/>
      <c r="DP24" s="701">
        <v>13</v>
      </c>
      <c r="DQ24" s="702"/>
      <c r="DR24" s="702"/>
      <c r="DS24" s="703"/>
      <c r="DT24" s="704"/>
      <c r="DV24" s="701">
        <v>13</v>
      </c>
      <c r="DW24" s="702"/>
      <c r="DX24" s="702"/>
      <c r="DY24" s="703"/>
      <c r="DZ24" s="704"/>
      <c r="EB24" s="701">
        <v>13</v>
      </c>
      <c r="EC24" s="702"/>
      <c r="ED24" s="702"/>
      <c r="EE24" s="703"/>
      <c r="EF24" s="704"/>
      <c r="EH24" s="695">
        <v>13</v>
      </c>
      <c r="EI24" s="666"/>
      <c r="EJ24" s="666"/>
      <c r="EK24" s="645"/>
      <c r="EL24" s="640"/>
      <c r="EN24" s="695">
        <v>13</v>
      </c>
      <c r="EO24" s="666"/>
      <c r="EP24" s="666"/>
      <c r="EQ24" s="645"/>
      <c r="ER24" s="640"/>
      <c r="ET24" s="695">
        <v>13</v>
      </c>
      <c r="EU24" s="666"/>
      <c r="EV24" s="666"/>
      <c r="EW24" s="645"/>
      <c r="EX24" s="640"/>
    </row>
    <row r="25" spans="12:154">
      <c r="L25" s="701">
        <v>14</v>
      </c>
      <c r="M25" s="702">
        <v>66.723320000000001</v>
      </c>
      <c r="N25" s="702">
        <v>35.248339999999999</v>
      </c>
      <c r="O25" s="703">
        <v>56.353000000000002</v>
      </c>
      <c r="P25" s="704"/>
      <c r="R25" s="701">
        <v>14</v>
      </c>
      <c r="S25" s="702">
        <v>10.766679999999999</v>
      </c>
      <c r="T25" s="702">
        <v>10.49249</v>
      </c>
      <c r="U25" s="703">
        <v>8.4434199999999997</v>
      </c>
      <c r="V25" s="704"/>
      <c r="X25" s="701">
        <v>14</v>
      </c>
      <c r="Y25" s="702">
        <v>19.286000000000001</v>
      </c>
      <c r="Z25" s="702">
        <v>21.443999999999999</v>
      </c>
      <c r="AA25" s="703">
        <v>24.521999999999998</v>
      </c>
      <c r="AB25" s="704"/>
      <c r="AD25" s="701">
        <v>14</v>
      </c>
      <c r="AE25" s="702">
        <v>398.51299999999998</v>
      </c>
      <c r="AF25" s="702">
        <v>307.07499999999999</v>
      </c>
      <c r="AG25" s="703">
        <v>417.87200000000001</v>
      </c>
      <c r="AH25" s="704"/>
      <c r="AJ25" s="701">
        <v>14</v>
      </c>
      <c r="AK25" s="702">
        <v>242.47</v>
      </c>
      <c r="AL25" s="702">
        <v>236.74799999999999</v>
      </c>
      <c r="AM25" s="703">
        <v>252.98500000000001</v>
      </c>
      <c r="AN25" s="704"/>
      <c r="AP25" s="701">
        <v>14</v>
      </c>
      <c r="AQ25" s="702">
        <v>68.8</v>
      </c>
      <c r="AR25" s="702">
        <v>17.97</v>
      </c>
      <c r="AS25" s="703">
        <v>39.74</v>
      </c>
      <c r="AT25" s="704"/>
      <c r="AV25" s="701">
        <v>14</v>
      </c>
      <c r="AW25" s="702">
        <v>172.06</v>
      </c>
      <c r="AX25" s="702">
        <v>148.63999999999999</v>
      </c>
      <c r="AY25" s="703">
        <v>195.74</v>
      </c>
      <c r="AZ25" s="704"/>
      <c r="BB25" s="701">
        <v>14</v>
      </c>
      <c r="BC25" s="702">
        <v>113.66</v>
      </c>
      <c r="BD25" s="702">
        <v>50.18</v>
      </c>
      <c r="BE25" s="703">
        <v>86.77</v>
      </c>
      <c r="BF25" s="704"/>
      <c r="BH25" s="701">
        <v>14</v>
      </c>
      <c r="BI25" s="702">
        <v>20.828589999999998</v>
      </c>
      <c r="BJ25" s="702">
        <v>19.25798</v>
      </c>
      <c r="BK25" s="703">
        <v>17.006530000000001</v>
      </c>
      <c r="BL25" s="704"/>
      <c r="BN25" s="701">
        <v>14</v>
      </c>
      <c r="BO25" s="702">
        <v>65.234999999999999</v>
      </c>
      <c r="BP25" s="702">
        <v>64.370999999999995</v>
      </c>
      <c r="BQ25" s="703">
        <v>66.102000000000004</v>
      </c>
      <c r="BR25" s="704"/>
      <c r="BT25" s="701">
        <v>14</v>
      </c>
      <c r="BU25" s="702">
        <v>265.79599999999999</v>
      </c>
      <c r="BV25" s="702">
        <v>218.47399999999999</v>
      </c>
      <c r="BW25" s="703">
        <v>272.904</v>
      </c>
      <c r="BX25" s="704"/>
      <c r="BZ25" s="701">
        <v>14</v>
      </c>
      <c r="CA25" s="702">
        <v>316.52199999999999</v>
      </c>
      <c r="CB25" s="702">
        <v>213.81200000000001</v>
      </c>
      <c r="CC25" s="703">
        <v>370.32600000000002</v>
      </c>
      <c r="CD25" s="704"/>
      <c r="CF25" s="701">
        <v>14</v>
      </c>
      <c r="CG25" s="702"/>
      <c r="CH25" s="702"/>
      <c r="CI25" s="703"/>
      <c r="CJ25" s="704"/>
      <c r="CL25" s="701">
        <v>14</v>
      </c>
      <c r="CM25" s="702"/>
      <c r="CN25" s="702"/>
      <c r="CO25" s="703"/>
      <c r="CP25" s="704"/>
      <c r="CR25" s="701">
        <v>14</v>
      </c>
      <c r="CS25" s="702"/>
      <c r="CT25" s="702"/>
      <c r="CU25" s="703"/>
      <c r="CV25" s="704"/>
      <c r="CX25" s="701">
        <v>14</v>
      </c>
      <c r="CY25" s="702"/>
      <c r="CZ25" s="702"/>
      <c r="DA25" s="703"/>
      <c r="DB25" s="704"/>
      <c r="DD25" s="701">
        <v>14</v>
      </c>
      <c r="DE25" s="702"/>
      <c r="DF25" s="702"/>
      <c r="DG25" s="703"/>
      <c r="DH25" s="704"/>
      <c r="DJ25" s="701">
        <v>14</v>
      </c>
      <c r="DK25" s="702"/>
      <c r="DL25" s="702"/>
      <c r="DM25" s="703"/>
      <c r="DN25" s="704"/>
      <c r="DP25" s="701">
        <v>14</v>
      </c>
      <c r="DQ25" s="702"/>
      <c r="DR25" s="702"/>
      <c r="DS25" s="703"/>
      <c r="DT25" s="704"/>
      <c r="DV25" s="701">
        <v>14</v>
      </c>
      <c r="DW25" s="702"/>
      <c r="DX25" s="702"/>
      <c r="DY25" s="703"/>
      <c r="DZ25" s="704"/>
      <c r="EB25" s="701">
        <v>14</v>
      </c>
      <c r="EC25" s="702"/>
      <c r="ED25" s="702"/>
      <c r="EE25" s="703"/>
      <c r="EF25" s="704"/>
      <c r="EH25" s="695">
        <v>14</v>
      </c>
      <c r="EI25" s="666"/>
      <c r="EJ25" s="666"/>
      <c r="EK25" s="645"/>
      <c r="EL25" s="640"/>
      <c r="EN25" s="695">
        <v>14</v>
      </c>
      <c r="EO25" s="666"/>
      <c r="EP25" s="666"/>
      <c r="EQ25" s="645"/>
      <c r="ER25" s="640"/>
      <c r="ET25" s="695">
        <v>14</v>
      </c>
      <c r="EU25" s="666"/>
      <c r="EV25" s="666"/>
      <c r="EW25" s="645"/>
      <c r="EX25" s="640"/>
    </row>
    <row r="26" spans="12:154">
      <c r="L26" s="701">
        <v>15</v>
      </c>
      <c r="M26" s="702">
        <v>67.652969999999996</v>
      </c>
      <c r="N26" s="702">
        <v>37.163040000000002</v>
      </c>
      <c r="O26" s="703">
        <v>59.048000000000002</v>
      </c>
      <c r="P26" s="704"/>
      <c r="R26" s="701">
        <v>15</v>
      </c>
      <c r="S26" s="702">
        <v>12.644299999999999</v>
      </c>
      <c r="T26" s="702">
        <v>13.44685</v>
      </c>
      <c r="U26" s="703">
        <v>9.6949500000000004</v>
      </c>
      <c r="V26" s="704"/>
      <c r="X26" s="701">
        <v>15</v>
      </c>
      <c r="Y26" s="702">
        <v>19.332999999999998</v>
      </c>
      <c r="Z26" s="702">
        <v>21.64</v>
      </c>
      <c r="AA26" s="703">
        <v>23.751999999999999</v>
      </c>
      <c r="AB26" s="704"/>
      <c r="AD26" s="701">
        <v>15</v>
      </c>
      <c r="AE26" s="702">
        <v>399.89400000000001</v>
      </c>
      <c r="AF26" s="702">
        <v>310.11099999999999</v>
      </c>
      <c r="AG26" s="703">
        <v>418.26600000000002</v>
      </c>
      <c r="AH26" s="704"/>
      <c r="AJ26" s="701">
        <v>15</v>
      </c>
      <c r="AK26" s="702">
        <v>241.89</v>
      </c>
      <c r="AL26" s="702">
        <v>236.94300000000001</v>
      </c>
      <c r="AM26" s="703">
        <v>253.76400000000001</v>
      </c>
      <c r="AN26" s="704"/>
      <c r="AP26" s="701">
        <v>15</v>
      </c>
      <c r="AQ26" s="702">
        <v>69.33</v>
      </c>
      <c r="AR26" s="702">
        <v>18.64</v>
      </c>
      <c r="AS26" s="703">
        <v>40.53</v>
      </c>
      <c r="AT26" s="704"/>
      <c r="AV26" s="701">
        <v>15</v>
      </c>
      <c r="AW26" s="702">
        <v>176.95</v>
      </c>
      <c r="AX26" s="702">
        <v>154.71</v>
      </c>
      <c r="AY26" s="703">
        <v>200.38</v>
      </c>
      <c r="AZ26" s="704"/>
      <c r="BB26" s="701">
        <v>15</v>
      </c>
      <c r="BC26" s="702">
        <v>114.55</v>
      </c>
      <c r="BD26" s="702">
        <v>52.97</v>
      </c>
      <c r="BE26" s="703">
        <v>89.52</v>
      </c>
      <c r="BF26" s="704"/>
      <c r="BH26" s="701">
        <v>15</v>
      </c>
      <c r="BI26" s="702">
        <v>21.815940000000001</v>
      </c>
      <c r="BJ26" s="702">
        <v>20.00198</v>
      </c>
      <c r="BK26" s="703">
        <v>18.115590000000001</v>
      </c>
      <c r="BL26" s="704"/>
      <c r="BN26" s="701">
        <v>15</v>
      </c>
      <c r="BO26" s="702">
        <v>65.055000000000007</v>
      </c>
      <c r="BP26" s="702">
        <v>65.488</v>
      </c>
      <c r="BQ26" s="703">
        <v>66.753</v>
      </c>
      <c r="BR26" s="704"/>
      <c r="BT26" s="701">
        <v>15</v>
      </c>
      <c r="BU26" s="702">
        <v>269.72899999999998</v>
      </c>
      <c r="BV26" s="702">
        <v>223.15</v>
      </c>
      <c r="BW26" s="703">
        <v>277.85399999999998</v>
      </c>
      <c r="BX26" s="704"/>
      <c r="BZ26" s="701">
        <v>15</v>
      </c>
      <c r="CA26" s="702">
        <v>323.08199999999999</v>
      </c>
      <c r="CB26" s="702">
        <v>223.27500000000001</v>
      </c>
      <c r="CC26" s="703">
        <v>357.83199999999999</v>
      </c>
      <c r="CD26" s="704"/>
      <c r="CF26" s="701">
        <v>15</v>
      </c>
      <c r="CG26" s="702"/>
      <c r="CH26" s="702"/>
      <c r="CI26" s="703"/>
      <c r="CJ26" s="704"/>
      <c r="CL26" s="701">
        <v>15</v>
      </c>
      <c r="CM26" s="702"/>
      <c r="CN26" s="702"/>
      <c r="CO26" s="703"/>
      <c r="CP26" s="704"/>
      <c r="CR26" s="701">
        <v>15</v>
      </c>
      <c r="CS26" s="702"/>
      <c r="CT26" s="702"/>
      <c r="CU26" s="703"/>
      <c r="CV26" s="704"/>
      <c r="CX26" s="701">
        <v>15</v>
      </c>
      <c r="CY26" s="702"/>
      <c r="CZ26" s="702"/>
      <c r="DA26" s="703"/>
      <c r="DB26" s="704"/>
      <c r="DD26" s="701">
        <v>15</v>
      </c>
      <c r="DE26" s="702"/>
      <c r="DF26" s="702"/>
      <c r="DG26" s="703"/>
      <c r="DH26" s="704"/>
      <c r="DJ26" s="701">
        <v>15</v>
      </c>
      <c r="DK26" s="702"/>
      <c r="DL26" s="702"/>
      <c r="DM26" s="703"/>
      <c r="DN26" s="704"/>
      <c r="DP26" s="701">
        <v>15</v>
      </c>
      <c r="DQ26" s="702"/>
      <c r="DR26" s="702"/>
      <c r="DS26" s="703"/>
      <c r="DT26" s="704"/>
      <c r="DV26" s="701">
        <v>15</v>
      </c>
      <c r="DW26" s="702"/>
      <c r="DX26" s="702"/>
      <c r="DY26" s="703"/>
      <c r="DZ26" s="704"/>
      <c r="EB26" s="701">
        <v>15</v>
      </c>
      <c r="EC26" s="702"/>
      <c r="ED26" s="702"/>
      <c r="EE26" s="703"/>
      <c r="EF26" s="704"/>
      <c r="EH26" s="695">
        <v>15</v>
      </c>
      <c r="EI26" s="666"/>
      <c r="EJ26" s="666"/>
      <c r="EK26" s="645"/>
      <c r="EL26" s="640"/>
      <c r="EN26" s="695">
        <v>15</v>
      </c>
      <c r="EO26" s="666"/>
      <c r="EP26" s="666"/>
      <c r="EQ26" s="645"/>
      <c r="ER26" s="640"/>
      <c r="ET26" s="695">
        <v>15</v>
      </c>
      <c r="EU26" s="666"/>
      <c r="EV26" s="666"/>
      <c r="EW26" s="645"/>
      <c r="EX26" s="640"/>
    </row>
    <row r="27" spans="12:154">
      <c r="L27" s="701">
        <v>16</v>
      </c>
      <c r="M27" s="702">
        <v>67.906289999999998</v>
      </c>
      <c r="N27" s="702">
        <v>36.520000000000003</v>
      </c>
      <c r="O27" s="703">
        <v>59.002000000000002</v>
      </c>
      <c r="P27" s="704"/>
      <c r="R27" s="701">
        <v>16</v>
      </c>
      <c r="S27" s="702">
        <v>6.2316900000000004</v>
      </c>
      <c r="T27" s="702">
        <v>2.85067</v>
      </c>
      <c r="U27" s="703">
        <v>4.5803200000000004</v>
      </c>
      <c r="V27" s="704"/>
      <c r="X27" s="701">
        <v>16</v>
      </c>
      <c r="Y27" s="702">
        <v>20.38</v>
      </c>
      <c r="Z27" s="702">
        <v>21.841000000000001</v>
      </c>
      <c r="AA27" s="703">
        <v>23.289000000000001</v>
      </c>
      <c r="AB27" s="704"/>
      <c r="AD27" s="701">
        <v>16</v>
      </c>
      <c r="AE27" s="702">
        <v>395.58100000000002</v>
      </c>
      <c r="AF27" s="702">
        <v>309.04899999999998</v>
      </c>
      <c r="AG27" s="703">
        <v>410.07900000000001</v>
      </c>
      <c r="AH27" s="704"/>
      <c r="AJ27" s="701">
        <v>16</v>
      </c>
      <c r="AK27" s="702">
        <v>241.81700000000001</v>
      </c>
      <c r="AL27" s="702">
        <v>236.68299999999999</v>
      </c>
      <c r="AM27" s="703">
        <v>253.833</v>
      </c>
      <c r="AN27" s="704"/>
      <c r="AP27" s="701">
        <v>16</v>
      </c>
      <c r="AQ27" s="702">
        <v>69.459999999999994</v>
      </c>
      <c r="AR27" s="702">
        <v>19.11</v>
      </c>
      <c r="AS27" s="703">
        <v>41.11</v>
      </c>
      <c r="AT27" s="704"/>
      <c r="AV27" s="701">
        <v>16</v>
      </c>
      <c r="AW27" s="702">
        <v>180.68</v>
      </c>
      <c r="AX27" s="702">
        <v>158.82</v>
      </c>
      <c r="AY27" s="703">
        <v>204.41</v>
      </c>
      <c r="AZ27" s="704"/>
      <c r="BB27" s="701">
        <v>16</v>
      </c>
      <c r="BC27" s="702">
        <v>112.48</v>
      </c>
      <c r="BD27" s="702">
        <v>54.09</v>
      </c>
      <c r="BE27" s="703">
        <v>91.11</v>
      </c>
      <c r="BF27" s="704"/>
      <c r="BH27" s="701">
        <v>16</v>
      </c>
      <c r="BI27" s="702">
        <v>22.308430000000001</v>
      </c>
      <c r="BJ27" s="702">
        <v>20.568439999999999</v>
      </c>
      <c r="BK27" s="703">
        <v>19.052</v>
      </c>
      <c r="BL27" s="704"/>
      <c r="BN27" s="701">
        <v>16</v>
      </c>
      <c r="BO27" s="702">
        <v>66.281999999999996</v>
      </c>
      <c r="BP27" s="702">
        <v>66.319000000000003</v>
      </c>
      <c r="BQ27" s="703">
        <v>63.363999999999997</v>
      </c>
      <c r="BR27" s="704"/>
      <c r="BT27" s="701">
        <v>16</v>
      </c>
      <c r="BU27" s="702">
        <v>271.42</v>
      </c>
      <c r="BV27" s="702">
        <v>226.66</v>
      </c>
      <c r="BW27" s="703">
        <v>277.85899999999998</v>
      </c>
      <c r="BX27" s="704"/>
      <c r="BZ27" s="701">
        <v>16</v>
      </c>
      <c r="CA27" s="702">
        <v>320.09399999999999</v>
      </c>
      <c r="CB27" s="702">
        <v>232.625</v>
      </c>
      <c r="CC27" s="703">
        <v>344.88099999999997</v>
      </c>
      <c r="CD27" s="704"/>
      <c r="CF27" s="701">
        <v>16</v>
      </c>
      <c r="CG27" s="702"/>
      <c r="CH27" s="702"/>
      <c r="CI27" s="703"/>
      <c r="CJ27" s="704"/>
      <c r="CL27" s="701">
        <v>16</v>
      </c>
      <c r="CM27" s="702"/>
      <c r="CN27" s="702"/>
      <c r="CO27" s="703"/>
      <c r="CP27" s="704"/>
      <c r="CR27" s="701">
        <v>16</v>
      </c>
      <c r="CS27" s="702"/>
      <c r="CT27" s="702"/>
      <c r="CU27" s="703"/>
      <c r="CV27" s="704"/>
      <c r="CX27" s="701">
        <v>16</v>
      </c>
      <c r="CY27" s="702"/>
      <c r="CZ27" s="702"/>
      <c r="DA27" s="703"/>
      <c r="DB27" s="704"/>
      <c r="DD27" s="701">
        <v>16</v>
      </c>
      <c r="DE27" s="702"/>
      <c r="DF27" s="702"/>
      <c r="DG27" s="703"/>
      <c r="DH27" s="704"/>
      <c r="DJ27" s="701">
        <v>16</v>
      </c>
      <c r="DK27" s="702"/>
      <c r="DL27" s="702"/>
      <c r="DM27" s="703"/>
      <c r="DN27" s="704"/>
      <c r="DP27" s="701">
        <v>16</v>
      </c>
      <c r="DQ27" s="702"/>
      <c r="DR27" s="702"/>
      <c r="DS27" s="703"/>
      <c r="DT27" s="704"/>
      <c r="DV27" s="701">
        <v>16</v>
      </c>
      <c r="DW27" s="702"/>
      <c r="DX27" s="702"/>
      <c r="DY27" s="703"/>
      <c r="DZ27" s="704"/>
      <c r="EB27" s="701">
        <v>16</v>
      </c>
      <c r="EC27" s="702"/>
      <c r="ED27" s="702"/>
      <c r="EE27" s="703"/>
      <c r="EF27" s="704"/>
      <c r="EH27" s="695">
        <v>16</v>
      </c>
      <c r="EI27" s="666"/>
      <c r="EJ27" s="666"/>
      <c r="EK27" s="645"/>
      <c r="EL27" s="640"/>
      <c r="EN27" s="695">
        <v>16</v>
      </c>
      <c r="EO27" s="666"/>
      <c r="EP27" s="666"/>
      <c r="EQ27" s="645"/>
      <c r="ER27" s="640"/>
      <c r="ET27" s="695">
        <v>16</v>
      </c>
      <c r="EU27" s="666"/>
      <c r="EV27" s="666"/>
      <c r="EW27" s="645"/>
      <c r="EX27" s="640"/>
    </row>
    <row r="28" spans="12:154">
      <c r="L28" s="701">
        <v>17</v>
      </c>
      <c r="M28" s="702">
        <v>67.971999999999994</v>
      </c>
      <c r="N28" s="702">
        <v>37.073999999999998</v>
      </c>
      <c r="O28" s="703">
        <v>59.654710000000001</v>
      </c>
      <c r="P28" s="704"/>
      <c r="R28" s="701">
        <v>17</v>
      </c>
      <c r="S28" s="702">
        <v>4.45655</v>
      </c>
      <c r="T28" s="702">
        <v>0.05</v>
      </c>
      <c r="U28" s="703">
        <v>2.6048300000000002</v>
      </c>
      <c r="V28" s="704"/>
      <c r="X28" s="701">
        <v>17</v>
      </c>
      <c r="Y28" s="702">
        <v>20.236000000000001</v>
      </c>
      <c r="Z28" s="702">
        <v>21.577999999999999</v>
      </c>
      <c r="AA28" s="703">
        <v>22.61</v>
      </c>
      <c r="AB28" s="704"/>
      <c r="AD28" s="701">
        <v>17</v>
      </c>
      <c r="AE28" s="702">
        <v>389.49900000000002</v>
      </c>
      <c r="AF28" s="702">
        <v>306.26799999999997</v>
      </c>
      <c r="AG28" s="703">
        <v>405.39100000000002</v>
      </c>
      <c r="AH28" s="704"/>
      <c r="AJ28" s="701">
        <v>17</v>
      </c>
      <c r="AK28" s="702">
        <v>249.46100000000001</v>
      </c>
      <c r="AL28" s="702">
        <v>236.23099999999999</v>
      </c>
      <c r="AM28" s="703">
        <v>253.642</v>
      </c>
      <c r="AN28" s="704"/>
      <c r="AP28" s="701">
        <v>17</v>
      </c>
      <c r="AQ28" s="702">
        <v>69.459999999999994</v>
      </c>
      <c r="AR28" s="702">
        <v>19.37</v>
      </c>
      <c r="AS28" s="703">
        <v>41.1</v>
      </c>
      <c r="AT28" s="704"/>
      <c r="AV28" s="701">
        <v>17</v>
      </c>
      <c r="AW28" s="702">
        <v>183.22</v>
      </c>
      <c r="AX28" s="702">
        <v>160.06</v>
      </c>
      <c r="AY28" s="703">
        <v>207.75</v>
      </c>
      <c r="AZ28" s="704"/>
      <c r="BB28" s="701">
        <v>17</v>
      </c>
      <c r="BC28" s="702">
        <v>111.3</v>
      </c>
      <c r="BD28" s="702">
        <v>54.65</v>
      </c>
      <c r="BE28" s="703">
        <v>91.69</v>
      </c>
      <c r="BF28" s="704"/>
      <c r="BH28" s="701">
        <v>17</v>
      </c>
      <c r="BI28" s="702">
        <v>22.715019999999999</v>
      </c>
      <c r="BJ28" s="702">
        <v>20.940380000000001</v>
      </c>
      <c r="BK28" s="703">
        <v>20.321999999999999</v>
      </c>
      <c r="BL28" s="704"/>
      <c r="BN28" s="701">
        <v>17</v>
      </c>
      <c r="BO28" s="702">
        <v>67.331999999999994</v>
      </c>
      <c r="BP28" s="702">
        <v>66.825000000000003</v>
      </c>
      <c r="BQ28" s="703">
        <v>64.551000000000002</v>
      </c>
      <c r="BR28" s="704"/>
      <c r="BT28" s="701">
        <v>17</v>
      </c>
      <c r="BU28" s="702">
        <v>270.39</v>
      </c>
      <c r="BV28" s="702">
        <v>228.761</v>
      </c>
      <c r="BW28" s="703">
        <v>277.952</v>
      </c>
      <c r="BX28" s="704"/>
      <c r="BZ28" s="701">
        <v>17</v>
      </c>
      <c r="CA28" s="702">
        <v>296.38400000000001</v>
      </c>
      <c r="CB28" s="702">
        <v>236.09</v>
      </c>
      <c r="CC28" s="703">
        <v>335.13</v>
      </c>
      <c r="CD28" s="704"/>
      <c r="CF28" s="701">
        <v>17</v>
      </c>
      <c r="CG28" s="702"/>
      <c r="CH28" s="702"/>
      <c r="CI28" s="703"/>
      <c r="CJ28" s="704"/>
      <c r="CL28" s="701">
        <v>17</v>
      </c>
      <c r="CM28" s="702"/>
      <c r="CN28" s="702"/>
      <c r="CO28" s="703"/>
      <c r="CP28" s="704"/>
      <c r="CR28" s="701">
        <v>17</v>
      </c>
      <c r="CS28" s="702"/>
      <c r="CT28" s="702"/>
      <c r="CU28" s="703"/>
      <c r="CV28" s="704"/>
      <c r="CX28" s="701">
        <v>17</v>
      </c>
      <c r="CY28" s="702"/>
      <c r="CZ28" s="702"/>
      <c r="DA28" s="703"/>
      <c r="DB28" s="704"/>
      <c r="DD28" s="701">
        <v>17</v>
      </c>
      <c r="DE28" s="702"/>
      <c r="DF28" s="702"/>
      <c r="DG28" s="703"/>
      <c r="DH28" s="704"/>
      <c r="DJ28" s="701">
        <v>17</v>
      </c>
      <c r="DK28" s="702"/>
      <c r="DL28" s="702"/>
      <c r="DM28" s="703"/>
      <c r="DN28" s="704"/>
      <c r="DP28" s="701">
        <v>17</v>
      </c>
      <c r="DQ28" s="702"/>
      <c r="DR28" s="702"/>
      <c r="DS28" s="703"/>
      <c r="DT28" s="704"/>
      <c r="DV28" s="701">
        <v>17</v>
      </c>
      <c r="DW28" s="702"/>
      <c r="DX28" s="702"/>
      <c r="DY28" s="703"/>
      <c r="DZ28" s="704"/>
      <c r="EB28" s="701">
        <v>17</v>
      </c>
      <c r="EC28" s="702"/>
      <c r="ED28" s="702"/>
      <c r="EE28" s="703"/>
      <c r="EF28" s="704"/>
      <c r="EH28" s="695">
        <v>17</v>
      </c>
      <c r="EI28" s="666"/>
      <c r="EJ28" s="666"/>
      <c r="EK28" s="645"/>
      <c r="EL28" s="640"/>
      <c r="EN28" s="695">
        <v>17</v>
      </c>
      <c r="EO28" s="666"/>
      <c r="EP28" s="666"/>
      <c r="EQ28" s="645"/>
      <c r="ER28" s="640"/>
      <c r="ET28" s="695">
        <v>17</v>
      </c>
      <c r="EU28" s="666"/>
      <c r="EV28" s="666"/>
      <c r="EW28" s="645"/>
      <c r="EX28" s="640"/>
    </row>
    <row r="29" spans="12:154">
      <c r="L29" s="701">
        <v>18</v>
      </c>
      <c r="M29" s="702">
        <v>68.536900000000003</v>
      </c>
      <c r="N29" s="702">
        <v>37.205559999999998</v>
      </c>
      <c r="O29" s="703">
        <v>60.565339999999999</v>
      </c>
      <c r="P29" s="704"/>
      <c r="R29" s="701">
        <v>18</v>
      </c>
      <c r="S29" s="702">
        <v>2.2666499999999998</v>
      </c>
      <c r="T29" s="702">
        <v>6.1943000000000001</v>
      </c>
      <c r="U29" s="703">
        <v>5.9085099999999997</v>
      </c>
      <c r="V29" s="704"/>
      <c r="X29" s="701">
        <v>18</v>
      </c>
      <c r="Y29" s="702">
        <v>19.981000000000002</v>
      </c>
      <c r="Z29" s="702">
        <v>21.44</v>
      </c>
      <c r="AA29" s="703">
        <v>22.524000000000001</v>
      </c>
      <c r="AB29" s="704"/>
      <c r="AD29" s="701">
        <v>18</v>
      </c>
      <c r="AE29" s="702">
        <v>383.88200000000001</v>
      </c>
      <c r="AF29" s="702">
        <v>302.06299999999999</v>
      </c>
      <c r="AG29" s="703">
        <v>401.98</v>
      </c>
      <c r="AH29" s="704"/>
      <c r="AJ29" s="701">
        <v>18</v>
      </c>
      <c r="AK29" s="702">
        <v>240.65199999999999</v>
      </c>
      <c r="AL29" s="702">
        <v>235.84</v>
      </c>
      <c r="AM29" s="703">
        <v>253.38300000000001</v>
      </c>
      <c r="AN29" s="704"/>
      <c r="AP29" s="701">
        <v>18</v>
      </c>
      <c r="AQ29" s="702">
        <v>69.459999999999994</v>
      </c>
      <c r="AR29" s="702">
        <v>19.64</v>
      </c>
      <c r="AS29" s="703">
        <v>40.950000000000003</v>
      </c>
      <c r="AT29" s="704"/>
      <c r="AV29" s="701">
        <v>18</v>
      </c>
      <c r="AW29" s="702">
        <v>183.65</v>
      </c>
      <c r="AX29" s="702">
        <v>163.19</v>
      </c>
      <c r="AY29" s="703">
        <v>209.41</v>
      </c>
      <c r="AZ29" s="704"/>
      <c r="BB29" s="701">
        <v>18</v>
      </c>
      <c r="BC29" s="702">
        <v>111.89</v>
      </c>
      <c r="BD29" s="702">
        <v>54.65</v>
      </c>
      <c r="BE29" s="703">
        <v>92.56</v>
      </c>
      <c r="BF29" s="704"/>
      <c r="BH29" s="701">
        <v>18</v>
      </c>
      <c r="BI29" s="702">
        <v>22.906379999999999</v>
      </c>
      <c r="BJ29" s="702">
        <v>21.127089999999999</v>
      </c>
      <c r="BK29" s="703">
        <v>21.452000000000002</v>
      </c>
      <c r="BL29" s="704"/>
      <c r="BN29" s="701">
        <v>18</v>
      </c>
      <c r="BO29" s="702">
        <v>67.33</v>
      </c>
      <c r="BP29" s="702">
        <v>65.488</v>
      </c>
      <c r="BQ29" s="703">
        <v>65.956999999999994</v>
      </c>
      <c r="BR29" s="704"/>
      <c r="BT29" s="701">
        <v>18</v>
      </c>
      <c r="BU29" s="702">
        <v>270.471</v>
      </c>
      <c r="BV29" s="702">
        <v>229.63499999999999</v>
      </c>
      <c r="BW29" s="703">
        <v>277.99299999999999</v>
      </c>
      <c r="BX29" s="704"/>
      <c r="BZ29" s="701">
        <v>18</v>
      </c>
      <c r="CA29" s="702">
        <v>286.72699999999998</v>
      </c>
      <c r="CB29" s="702">
        <v>231.25800000000001</v>
      </c>
      <c r="CC29" s="703">
        <v>322.483</v>
      </c>
      <c r="CD29" s="704"/>
      <c r="CF29" s="701">
        <v>18</v>
      </c>
      <c r="CG29" s="702"/>
      <c r="CH29" s="702"/>
      <c r="CI29" s="703"/>
      <c r="CJ29" s="704"/>
      <c r="CL29" s="701">
        <v>18</v>
      </c>
      <c r="CM29" s="702"/>
      <c r="CN29" s="702"/>
      <c r="CO29" s="703"/>
      <c r="CP29" s="704"/>
      <c r="CR29" s="701">
        <v>18</v>
      </c>
      <c r="CS29" s="702"/>
      <c r="CT29" s="702"/>
      <c r="CU29" s="703"/>
      <c r="CV29" s="704"/>
      <c r="CX29" s="701">
        <v>18</v>
      </c>
      <c r="CY29" s="702"/>
      <c r="CZ29" s="702"/>
      <c r="DA29" s="703"/>
      <c r="DB29" s="704"/>
      <c r="DD29" s="701">
        <v>18</v>
      </c>
      <c r="DE29" s="702"/>
      <c r="DF29" s="702"/>
      <c r="DG29" s="703"/>
      <c r="DH29" s="704"/>
      <c r="DJ29" s="701">
        <v>18</v>
      </c>
      <c r="DK29" s="702"/>
      <c r="DL29" s="702"/>
      <c r="DM29" s="703"/>
      <c r="DN29" s="704"/>
      <c r="DP29" s="701">
        <v>18</v>
      </c>
      <c r="DQ29" s="702"/>
      <c r="DR29" s="702"/>
      <c r="DS29" s="703"/>
      <c r="DT29" s="704"/>
      <c r="DV29" s="701">
        <v>18</v>
      </c>
      <c r="DW29" s="702"/>
      <c r="DX29" s="702"/>
      <c r="DY29" s="703"/>
      <c r="DZ29" s="704"/>
      <c r="EB29" s="701">
        <v>18</v>
      </c>
      <c r="EC29" s="702"/>
      <c r="ED29" s="702"/>
      <c r="EE29" s="703"/>
      <c r="EF29" s="704"/>
      <c r="EH29" s="695">
        <v>18</v>
      </c>
      <c r="EI29" s="666"/>
      <c r="EJ29" s="666"/>
      <c r="EK29" s="645"/>
      <c r="EL29" s="640"/>
      <c r="EN29" s="695">
        <v>18</v>
      </c>
      <c r="EO29" s="666"/>
      <c r="EP29" s="666"/>
      <c r="EQ29" s="645"/>
      <c r="ER29" s="640"/>
      <c r="ET29" s="695">
        <v>18</v>
      </c>
      <c r="EU29" s="666"/>
      <c r="EV29" s="666"/>
      <c r="EW29" s="645"/>
      <c r="EX29" s="640"/>
    </row>
    <row r="30" spans="12:154">
      <c r="L30" s="701">
        <v>19</v>
      </c>
      <c r="M30" s="702">
        <v>68.860420000000005</v>
      </c>
      <c r="N30" s="702">
        <v>37.959200000000003</v>
      </c>
      <c r="O30" s="703">
        <v>61.433999999999997</v>
      </c>
      <c r="P30" s="704"/>
      <c r="R30" s="701">
        <v>19</v>
      </c>
      <c r="S30" s="702">
        <v>8.1559399999999993</v>
      </c>
      <c r="T30" s="702">
        <v>11.118840000000001</v>
      </c>
      <c r="U30" s="703">
        <v>10.37575</v>
      </c>
      <c r="V30" s="704"/>
      <c r="X30" s="701">
        <v>19</v>
      </c>
      <c r="Y30" s="702">
        <v>19.553999999999998</v>
      </c>
      <c r="Z30" s="702">
        <v>21.849</v>
      </c>
      <c r="AA30" s="703">
        <v>23.056000000000001</v>
      </c>
      <c r="AB30" s="704"/>
      <c r="AD30" s="701">
        <v>19</v>
      </c>
      <c r="AE30" s="702">
        <v>378.255</v>
      </c>
      <c r="AF30" s="702">
        <v>298.40300000000002</v>
      </c>
      <c r="AG30" s="703">
        <v>398.45299999999997</v>
      </c>
      <c r="AH30" s="704"/>
      <c r="AJ30" s="701">
        <v>19</v>
      </c>
      <c r="AK30" s="702">
        <v>240.06700000000001</v>
      </c>
      <c r="AL30" s="702">
        <v>235.38399999999999</v>
      </c>
      <c r="AM30" s="703">
        <v>253.05799999999999</v>
      </c>
      <c r="AN30" s="704"/>
      <c r="AP30" s="701">
        <v>19</v>
      </c>
      <c r="AQ30" s="702">
        <v>69.459999999999994</v>
      </c>
      <c r="AR30" s="702">
        <v>19.96</v>
      </c>
      <c r="AS30" s="703">
        <v>40.92</v>
      </c>
      <c r="AT30" s="704"/>
      <c r="AV30" s="701">
        <v>19</v>
      </c>
      <c r="AW30" s="702">
        <v>184.91</v>
      </c>
      <c r="AX30" s="702">
        <v>166.96</v>
      </c>
      <c r="AY30" s="703">
        <v>210.27</v>
      </c>
      <c r="AZ30" s="704"/>
      <c r="BB30" s="701">
        <v>19</v>
      </c>
      <c r="BC30" s="702">
        <v>110.41</v>
      </c>
      <c r="BD30" s="702">
        <v>56.61</v>
      </c>
      <c r="BE30" s="703">
        <v>93.43</v>
      </c>
      <c r="BF30" s="704"/>
      <c r="BH30" s="701">
        <v>19</v>
      </c>
      <c r="BI30" s="702">
        <v>23.07263</v>
      </c>
      <c r="BJ30" s="702">
        <v>21.426860000000001</v>
      </c>
      <c r="BK30" s="703">
        <v>19.251999999999999</v>
      </c>
      <c r="BL30" s="704"/>
      <c r="BN30" s="701">
        <v>19</v>
      </c>
      <c r="BO30" s="702">
        <v>67.33</v>
      </c>
      <c r="BP30" s="702">
        <v>65.849000000000004</v>
      </c>
      <c r="BQ30" s="703">
        <v>66.825000000000003</v>
      </c>
      <c r="BR30" s="704"/>
      <c r="BT30" s="701">
        <v>19</v>
      </c>
      <c r="BU30" s="702">
        <v>271.42</v>
      </c>
      <c r="BV30" s="702">
        <v>230.88900000000001</v>
      </c>
      <c r="BW30" s="703">
        <v>277.69499999999999</v>
      </c>
      <c r="BX30" s="704"/>
      <c r="BZ30" s="701">
        <v>19</v>
      </c>
      <c r="CA30" s="702">
        <v>294.22500000000002</v>
      </c>
      <c r="CB30" s="702">
        <v>237.708</v>
      </c>
      <c r="CC30" s="703">
        <v>321.88600000000002</v>
      </c>
      <c r="CD30" s="704"/>
      <c r="CF30" s="701">
        <v>19</v>
      </c>
      <c r="CG30" s="702"/>
      <c r="CH30" s="702"/>
      <c r="CI30" s="703"/>
      <c r="CJ30" s="704"/>
      <c r="CL30" s="701">
        <v>19</v>
      </c>
      <c r="CM30" s="702"/>
      <c r="CN30" s="702"/>
      <c r="CO30" s="703"/>
      <c r="CP30" s="704"/>
      <c r="CR30" s="701">
        <v>19</v>
      </c>
      <c r="CS30" s="702"/>
      <c r="CT30" s="702"/>
      <c r="CU30" s="703"/>
      <c r="CV30" s="704"/>
      <c r="CX30" s="701">
        <v>19</v>
      </c>
      <c r="CY30" s="702"/>
      <c r="CZ30" s="702"/>
      <c r="DA30" s="703"/>
      <c r="DB30" s="704"/>
      <c r="DD30" s="701">
        <v>19</v>
      </c>
      <c r="DE30" s="702"/>
      <c r="DF30" s="702"/>
      <c r="DG30" s="703"/>
      <c r="DH30" s="704"/>
      <c r="DJ30" s="701">
        <v>19</v>
      </c>
      <c r="DK30" s="702"/>
      <c r="DL30" s="702"/>
      <c r="DM30" s="703"/>
      <c r="DN30" s="704"/>
      <c r="DP30" s="701">
        <v>19</v>
      </c>
      <c r="DQ30" s="702"/>
      <c r="DR30" s="702"/>
      <c r="DS30" s="703"/>
      <c r="DT30" s="704"/>
      <c r="DV30" s="701">
        <v>19</v>
      </c>
      <c r="DW30" s="702"/>
      <c r="DX30" s="702"/>
      <c r="DY30" s="703"/>
      <c r="DZ30" s="704"/>
      <c r="EB30" s="701">
        <v>19</v>
      </c>
      <c r="EC30" s="702"/>
      <c r="ED30" s="702"/>
      <c r="EE30" s="703"/>
      <c r="EF30" s="704"/>
      <c r="EH30" s="695">
        <v>19</v>
      </c>
      <c r="EI30" s="666"/>
      <c r="EJ30" s="666"/>
      <c r="EK30" s="645"/>
      <c r="EL30" s="640"/>
      <c r="EN30" s="695">
        <v>19</v>
      </c>
      <c r="EO30" s="666"/>
      <c r="EP30" s="666"/>
      <c r="EQ30" s="645"/>
      <c r="ER30" s="640"/>
      <c r="ET30" s="695">
        <v>19</v>
      </c>
      <c r="EU30" s="666"/>
      <c r="EV30" s="666"/>
      <c r="EW30" s="645"/>
      <c r="EX30" s="640"/>
    </row>
    <row r="31" spans="12:154">
      <c r="L31" s="701">
        <v>20</v>
      </c>
      <c r="M31" s="702">
        <v>69.357119999999995</v>
      </c>
      <c r="N31" s="702">
        <v>38.569000000000003</v>
      </c>
      <c r="O31" s="703">
        <v>61.103000000000002</v>
      </c>
      <c r="P31" s="704"/>
      <c r="R31" s="701">
        <v>20</v>
      </c>
      <c r="S31" s="702">
        <v>4.9730699999999999</v>
      </c>
      <c r="T31" s="702">
        <v>1.3639999999999999E-2</v>
      </c>
      <c r="U31" s="703">
        <v>7.6248800000000001</v>
      </c>
      <c r="V31" s="704"/>
      <c r="X31" s="701">
        <v>20</v>
      </c>
      <c r="Y31" s="702">
        <v>19.079999999999998</v>
      </c>
      <c r="Z31" s="702">
        <v>21.76</v>
      </c>
      <c r="AA31" s="703">
        <v>23.305</v>
      </c>
      <c r="AB31" s="704"/>
      <c r="AD31" s="701">
        <v>20</v>
      </c>
      <c r="AE31" s="702">
        <v>372.47500000000002</v>
      </c>
      <c r="AF31" s="702">
        <v>295.185</v>
      </c>
      <c r="AG31" s="703">
        <v>394.149</v>
      </c>
      <c r="AH31" s="704"/>
      <c r="AJ31" s="701">
        <v>20</v>
      </c>
      <c r="AK31" s="702">
        <v>239.28800000000001</v>
      </c>
      <c r="AL31" s="702">
        <v>235.05799999999999</v>
      </c>
      <c r="AM31" s="703">
        <v>252.66399999999999</v>
      </c>
      <c r="AN31" s="704"/>
      <c r="AP31" s="701">
        <v>20</v>
      </c>
      <c r="AQ31" s="702">
        <v>66.260000000000005</v>
      </c>
      <c r="AR31" s="702">
        <v>20.16</v>
      </c>
      <c r="AS31" s="703">
        <v>40.89</v>
      </c>
      <c r="AT31" s="704"/>
      <c r="AV31" s="701">
        <v>20</v>
      </c>
      <c r="AW31" s="702">
        <v>186.23</v>
      </c>
      <c r="AX31" s="702">
        <v>168.79</v>
      </c>
      <c r="AY31" s="703">
        <v>210.86</v>
      </c>
      <c r="AZ31" s="704"/>
      <c r="BB31" s="701">
        <v>20</v>
      </c>
      <c r="BC31" s="702">
        <v>110.41</v>
      </c>
      <c r="BD31" s="702">
        <v>57.17</v>
      </c>
      <c r="BE31" s="703">
        <v>94.02</v>
      </c>
      <c r="BF31" s="704"/>
      <c r="BH31" s="701">
        <v>20</v>
      </c>
      <c r="BI31" s="702">
        <v>23.290600000000001</v>
      </c>
      <c r="BJ31" s="702">
        <v>21.66508</v>
      </c>
      <c r="BK31" s="703">
        <v>19.708279999999998</v>
      </c>
      <c r="BL31" s="704"/>
      <c r="BN31" s="701">
        <v>20</v>
      </c>
      <c r="BO31" s="702">
        <v>67.331999999999994</v>
      </c>
      <c r="BP31" s="702">
        <v>66.281999999999996</v>
      </c>
      <c r="BQ31" s="703">
        <v>67.331999999999994</v>
      </c>
      <c r="BR31" s="704"/>
      <c r="BT31" s="701">
        <v>20</v>
      </c>
      <c r="BU31" s="702">
        <v>271.029</v>
      </c>
      <c r="BV31" s="702">
        <v>231.32499999999999</v>
      </c>
      <c r="BW31" s="703">
        <v>277.33800000000002</v>
      </c>
      <c r="BX31" s="704"/>
      <c r="BZ31" s="701">
        <v>20</v>
      </c>
      <c r="CA31" s="702">
        <v>298.29000000000002</v>
      </c>
      <c r="CB31" s="702">
        <v>239.87</v>
      </c>
      <c r="CC31" s="703">
        <v>323.08199999999999</v>
      </c>
      <c r="CD31" s="704"/>
      <c r="CF31" s="701">
        <v>20</v>
      </c>
      <c r="CG31" s="702"/>
      <c r="CH31" s="702"/>
      <c r="CI31" s="703"/>
      <c r="CJ31" s="704"/>
      <c r="CL31" s="701">
        <v>20</v>
      </c>
      <c r="CM31" s="702"/>
      <c r="CN31" s="702"/>
      <c r="CO31" s="703"/>
      <c r="CP31" s="704"/>
      <c r="CR31" s="701">
        <v>20</v>
      </c>
      <c r="CS31" s="702"/>
      <c r="CT31" s="702"/>
      <c r="CU31" s="703"/>
      <c r="CV31" s="704"/>
      <c r="CX31" s="701">
        <v>20</v>
      </c>
      <c r="CY31" s="702"/>
      <c r="CZ31" s="702"/>
      <c r="DA31" s="703"/>
      <c r="DB31" s="704"/>
      <c r="DD31" s="701">
        <v>20</v>
      </c>
      <c r="DE31" s="702"/>
      <c r="DF31" s="702"/>
      <c r="DG31" s="703"/>
      <c r="DH31" s="704"/>
      <c r="DJ31" s="701">
        <v>20</v>
      </c>
      <c r="DK31" s="702"/>
      <c r="DL31" s="702"/>
      <c r="DM31" s="703"/>
      <c r="DN31" s="704"/>
      <c r="DP31" s="701">
        <v>20</v>
      </c>
      <c r="DQ31" s="702"/>
      <c r="DR31" s="702"/>
      <c r="DS31" s="703"/>
      <c r="DT31" s="704"/>
      <c r="DV31" s="701">
        <v>20</v>
      </c>
      <c r="DW31" s="702"/>
      <c r="DX31" s="702"/>
      <c r="DY31" s="703"/>
      <c r="DZ31" s="704"/>
      <c r="EB31" s="701">
        <v>20</v>
      </c>
      <c r="EC31" s="702"/>
      <c r="ED31" s="702"/>
      <c r="EE31" s="703"/>
      <c r="EF31" s="704"/>
      <c r="EH31" s="695">
        <v>20</v>
      </c>
      <c r="EI31" s="666"/>
      <c r="EJ31" s="666"/>
      <c r="EK31" s="645"/>
      <c r="EL31" s="640"/>
      <c r="EN31" s="695">
        <v>20</v>
      </c>
      <c r="EO31" s="666"/>
      <c r="EP31" s="666"/>
      <c r="EQ31" s="645"/>
      <c r="ER31" s="640"/>
      <c r="ET31" s="695">
        <v>20</v>
      </c>
      <c r="EU31" s="666"/>
      <c r="EV31" s="666"/>
      <c r="EW31" s="645"/>
      <c r="EX31" s="640"/>
    </row>
    <row r="32" spans="12:154">
      <c r="L32" s="701">
        <v>21</v>
      </c>
      <c r="M32" s="702">
        <v>69.522000000000006</v>
      </c>
      <c r="N32" s="702">
        <v>39.076999999999998</v>
      </c>
      <c r="O32" s="703">
        <v>61.627000000000002</v>
      </c>
      <c r="P32" s="704"/>
      <c r="R32" s="701">
        <v>21</v>
      </c>
      <c r="S32" s="702">
        <v>4.8557300000000003</v>
      </c>
      <c r="T32" s="702">
        <v>2.5436000000000001</v>
      </c>
      <c r="U32" s="703">
        <v>5.1932400000000003</v>
      </c>
      <c r="V32" s="704"/>
      <c r="X32" s="701">
        <v>21</v>
      </c>
      <c r="Y32" s="702">
        <v>18.72</v>
      </c>
      <c r="Z32" s="702">
        <v>21.658999999999999</v>
      </c>
      <c r="AA32" s="703">
        <v>23.376999999999999</v>
      </c>
      <c r="AB32" s="704"/>
      <c r="AD32" s="701">
        <v>21</v>
      </c>
      <c r="AE32" s="702">
        <v>366.83100000000002</v>
      </c>
      <c r="AF32" s="702">
        <v>290.95400000000001</v>
      </c>
      <c r="AG32" s="703">
        <v>390.39499999999998</v>
      </c>
      <c r="AH32" s="704"/>
      <c r="AJ32" s="701">
        <v>21</v>
      </c>
      <c r="AK32" s="702">
        <v>238.703</v>
      </c>
      <c r="AL32" s="702">
        <v>234.53299999999999</v>
      </c>
      <c r="AM32" s="703">
        <v>252.149</v>
      </c>
      <c r="AN32" s="704"/>
      <c r="AP32" s="701">
        <v>21</v>
      </c>
      <c r="AQ32" s="702">
        <v>65.75</v>
      </c>
      <c r="AR32" s="702">
        <v>20.54</v>
      </c>
      <c r="AS32" s="703">
        <v>40.909999999999997</v>
      </c>
      <c r="AT32" s="704"/>
      <c r="AV32" s="701">
        <v>21</v>
      </c>
      <c r="AW32" s="702">
        <v>187.5</v>
      </c>
      <c r="AX32" s="702">
        <v>165.86</v>
      </c>
      <c r="AY32" s="703">
        <v>208.1</v>
      </c>
      <c r="AZ32" s="704"/>
      <c r="BB32" s="701">
        <v>21</v>
      </c>
      <c r="BC32" s="702">
        <v>110.12</v>
      </c>
      <c r="BD32" s="702">
        <v>57.45</v>
      </c>
      <c r="BE32" s="703">
        <v>94.31</v>
      </c>
      <c r="BF32" s="704"/>
      <c r="BH32" s="701">
        <v>21</v>
      </c>
      <c r="BI32" s="702">
        <v>23.457709999999999</v>
      </c>
      <c r="BJ32" s="702">
        <v>21.803349999999998</v>
      </c>
      <c r="BK32" s="703">
        <v>20.163</v>
      </c>
      <c r="BL32" s="704"/>
      <c r="BN32" s="701">
        <v>21</v>
      </c>
      <c r="BO32" s="702">
        <v>67.331999999999994</v>
      </c>
      <c r="BP32" s="702">
        <v>66.536000000000001</v>
      </c>
      <c r="BQ32" s="703">
        <v>67.331999999999994</v>
      </c>
      <c r="BR32" s="704"/>
      <c r="BT32" s="701">
        <v>21</v>
      </c>
      <c r="BU32" s="702">
        <v>270.2</v>
      </c>
      <c r="BV32" s="702">
        <v>230.02799999999999</v>
      </c>
      <c r="BW32" s="703">
        <v>276.75400000000002</v>
      </c>
      <c r="BX32" s="704"/>
      <c r="BZ32" s="701">
        <v>21</v>
      </c>
      <c r="CA32" s="702">
        <v>302.959</v>
      </c>
      <c r="CB32" s="702">
        <v>238.78800000000001</v>
      </c>
      <c r="CC32" s="703">
        <v>326.68</v>
      </c>
      <c r="CD32" s="704"/>
      <c r="CF32" s="701">
        <v>21</v>
      </c>
      <c r="CG32" s="702"/>
      <c r="CH32" s="702"/>
      <c r="CI32" s="703"/>
      <c r="CJ32" s="704"/>
      <c r="CL32" s="701">
        <v>21</v>
      </c>
      <c r="CM32" s="702"/>
      <c r="CN32" s="702"/>
      <c r="CO32" s="703"/>
      <c r="CP32" s="704"/>
      <c r="CR32" s="701">
        <v>21</v>
      </c>
      <c r="CS32" s="702"/>
      <c r="CT32" s="702"/>
      <c r="CU32" s="703"/>
      <c r="CV32" s="704"/>
      <c r="CX32" s="701">
        <v>21</v>
      </c>
      <c r="CY32" s="702"/>
      <c r="CZ32" s="702"/>
      <c r="DA32" s="703"/>
      <c r="DB32" s="704"/>
      <c r="DD32" s="701">
        <v>21</v>
      </c>
      <c r="DE32" s="702"/>
      <c r="DF32" s="702"/>
      <c r="DG32" s="703"/>
      <c r="DH32" s="704"/>
      <c r="DJ32" s="701">
        <v>21</v>
      </c>
      <c r="DK32" s="702"/>
      <c r="DL32" s="702"/>
      <c r="DM32" s="703"/>
      <c r="DN32" s="704"/>
      <c r="DP32" s="701">
        <v>21</v>
      </c>
      <c r="DQ32" s="702"/>
      <c r="DR32" s="702"/>
      <c r="DS32" s="703"/>
      <c r="DT32" s="704"/>
      <c r="DV32" s="701">
        <v>21</v>
      </c>
      <c r="DW32" s="702"/>
      <c r="DX32" s="702"/>
      <c r="DY32" s="703"/>
      <c r="DZ32" s="704"/>
      <c r="EB32" s="701">
        <v>21</v>
      </c>
      <c r="EC32" s="702"/>
      <c r="ED32" s="702"/>
      <c r="EE32" s="703"/>
      <c r="EF32" s="704"/>
      <c r="EH32" s="695">
        <v>21</v>
      </c>
      <c r="EI32" s="666"/>
      <c r="EJ32" s="666"/>
      <c r="EK32" s="645"/>
      <c r="EL32" s="640"/>
      <c r="EN32" s="695">
        <v>21</v>
      </c>
      <c r="EO32" s="666"/>
      <c r="EP32" s="666"/>
      <c r="EQ32" s="645"/>
      <c r="ER32" s="640"/>
      <c r="ET32" s="695">
        <v>21</v>
      </c>
      <c r="EU32" s="666"/>
      <c r="EV32" s="666"/>
      <c r="EW32" s="645"/>
      <c r="EX32" s="640"/>
    </row>
    <row r="33" spans="12:154">
      <c r="L33" s="701">
        <v>22</v>
      </c>
      <c r="M33" s="702">
        <v>69.659829999999999</v>
      </c>
      <c r="N33" s="702">
        <v>40.8902</v>
      </c>
      <c r="O33" s="703">
        <v>62.15</v>
      </c>
      <c r="P33" s="704"/>
      <c r="R33" s="701">
        <v>22</v>
      </c>
      <c r="S33" s="702">
        <v>5.3753900000000003</v>
      </c>
      <c r="T33" s="702">
        <v>1.0912500000000001</v>
      </c>
      <c r="U33" s="703">
        <v>3.7270599999999998</v>
      </c>
      <c r="V33" s="704"/>
      <c r="X33" s="701">
        <v>22</v>
      </c>
      <c r="Y33" s="702">
        <v>18.079999999999998</v>
      </c>
      <c r="Z33" s="702">
        <v>21.481000000000002</v>
      </c>
      <c r="AA33" s="703">
        <v>23.905999999999999</v>
      </c>
      <c r="AB33" s="704"/>
      <c r="AD33" s="701">
        <v>22</v>
      </c>
      <c r="AE33" s="702">
        <v>361.24</v>
      </c>
      <c r="AF33" s="702">
        <v>286.34399999999999</v>
      </c>
      <c r="AG33" s="703">
        <v>385.72699999999998</v>
      </c>
      <c r="AH33" s="704"/>
      <c r="AJ33" s="701">
        <v>22</v>
      </c>
      <c r="AK33" s="702">
        <v>238.11799999999999</v>
      </c>
      <c r="AL33" s="702">
        <v>234.279</v>
      </c>
      <c r="AM33" s="703">
        <v>251.62899999999999</v>
      </c>
      <c r="AN33" s="704"/>
      <c r="AP33" s="701">
        <v>22</v>
      </c>
      <c r="AQ33" s="702">
        <v>65.72</v>
      </c>
      <c r="AR33" s="702">
        <v>20.64</v>
      </c>
      <c r="AS33" s="703">
        <v>40.799999999999997</v>
      </c>
      <c r="AT33" s="704"/>
      <c r="AV33" s="701">
        <v>22</v>
      </c>
      <c r="AW33" s="702">
        <v>183.55</v>
      </c>
      <c r="AX33" s="702">
        <v>166.18</v>
      </c>
      <c r="AY33" s="703">
        <v>208.69</v>
      </c>
      <c r="AZ33" s="704"/>
      <c r="BB33" s="701">
        <v>22</v>
      </c>
      <c r="BC33" s="702">
        <v>110.12</v>
      </c>
      <c r="BD33" s="702">
        <v>57.73</v>
      </c>
      <c r="BE33" s="703">
        <v>94.6</v>
      </c>
      <c r="BF33" s="704"/>
      <c r="BH33" s="701">
        <v>22</v>
      </c>
      <c r="BI33" s="702">
        <v>23.573619999999998</v>
      </c>
      <c r="BJ33" s="702">
        <v>21.967120000000001</v>
      </c>
      <c r="BK33" s="703">
        <v>20.62039</v>
      </c>
      <c r="BL33" s="704"/>
      <c r="BN33" s="701">
        <v>22</v>
      </c>
      <c r="BO33" s="702">
        <v>67.331999999999994</v>
      </c>
      <c r="BP33" s="702">
        <v>66.716999999999999</v>
      </c>
      <c r="BQ33" s="703">
        <v>67.331999999999994</v>
      </c>
      <c r="BR33" s="704"/>
      <c r="BT33" s="701">
        <v>22</v>
      </c>
      <c r="BU33" s="702">
        <v>269.39</v>
      </c>
      <c r="BV33" s="702">
        <v>229.274</v>
      </c>
      <c r="BW33" s="703">
        <v>276.14800000000002</v>
      </c>
      <c r="BX33" s="704"/>
      <c r="BZ33" s="701">
        <v>22</v>
      </c>
      <c r="CA33" s="702">
        <v>306.47699999999998</v>
      </c>
      <c r="CB33" s="702">
        <v>237.16800000000001</v>
      </c>
      <c r="CC33" s="703">
        <v>329.68900000000002</v>
      </c>
      <c r="CD33" s="704"/>
      <c r="CF33" s="701">
        <v>22</v>
      </c>
      <c r="CG33" s="702"/>
      <c r="CH33" s="702"/>
      <c r="CI33" s="703"/>
      <c r="CJ33" s="704"/>
      <c r="CL33" s="701">
        <v>22</v>
      </c>
      <c r="CM33" s="702"/>
      <c r="CN33" s="702"/>
      <c r="CO33" s="703"/>
      <c r="CP33" s="704"/>
      <c r="CR33" s="701">
        <v>22</v>
      </c>
      <c r="CS33" s="702"/>
      <c r="CT33" s="702"/>
      <c r="CU33" s="703"/>
      <c r="CV33" s="704"/>
      <c r="CX33" s="701">
        <v>22</v>
      </c>
      <c r="CY33" s="702"/>
      <c r="CZ33" s="702"/>
      <c r="DA33" s="703"/>
      <c r="DB33" s="704"/>
      <c r="DD33" s="701">
        <v>22</v>
      </c>
      <c r="DE33" s="702"/>
      <c r="DF33" s="702"/>
      <c r="DG33" s="703"/>
      <c r="DH33" s="704"/>
      <c r="DJ33" s="701">
        <v>22</v>
      </c>
      <c r="DK33" s="702"/>
      <c r="DL33" s="702"/>
      <c r="DM33" s="703"/>
      <c r="DN33" s="704"/>
      <c r="DP33" s="701">
        <v>22</v>
      </c>
      <c r="DQ33" s="702"/>
      <c r="DR33" s="702"/>
      <c r="DS33" s="703"/>
      <c r="DT33" s="704"/>
      <c r="DV33" s="701">
        <v>22</v>
      </c>
      <c r="DW33" s="702"/>
      <c r="DX33" s="702"/>
      <c r="DY33" s="703"/>
      <c r="DZ33" s="704"/>
      <c r="EB33" s="701">
        <v>22</v>
      </c>
      <c r="EC33" s="702"/>
      <c r="ED33" s="702"/>
      <c r="EE33" s="703"/>
      <c r="EF33" s="704"/>
      <c r="EH33" s="695">
        <v>22</v>
      </c>
      <c r="EI33" s="666"/>
      <c r="EJ33" s="666"/>
      <c r="EK33" s="645"/>
      <c r="EL33" s="640"/>
      <c r="EN33" s="695">
        <v>22</v>
      </c>
      <c r="EO33" s="666"/>
      <c r="EP33" s="666"/>
      <c r="EQ33" s="645"/>
      <c r="ER33" s="640"/>
      <c r="ET33" s="695">
        <v>22</v>
      </c>
      <c r="EU33" s="666"/>
      <c r="EV33" s="666"/>
      <c r="EW33" s="645"/>
      <c r="EX33" s="640"/>
    </row>
    <row r="34" spans="12:154">
      <c r="L34" s="701">
        <v>23</v>
      </c>
      <c r="M34" s="702">
        <v>69.960059999999999</v>
      </c>
      <c r="N34" s="702">
        <v>41.637999999999998</v>
      </c>
      <c r="O34" s="703">
        <v>62.673000000000002</v>
      </c>
      <c r="P34" s="704"/>
      <c r="R34" s="701">
        <v>23</v>
      </c>
      <c r="S34" s="702">
        <v>5.0934400000000002</v>
      </c>
      <c r="T34" s="702">
        <v>1.12653</v>
      </c>
      <c r="U34" s="703">
        <v>4.7323500000000003</v>
      </c>
      <c r="V34" s="704"/>
      <c r="X34" s="701">
        <v>23</v>
      </c>
      <c r="Y34" s="702">
        <v>17.556000000000001</v>
      </c>
      <c r="Z34" s="702">
        <v>20.527999999999999</v>
      </c>
      <c r="AA34" s="703">
        <v>23.408000000000001</v>
      </c>
      <c r="AB34" s="704"/>
      <c r="AD34" s="701">
        <v>23</v>
      </c>
      <c r="AE34" s="702">
        <v>355.44200000000001</v>
      </c>
      <c r="AF34" s="702">
        <v>281.50400000000002</v>
      </c>
      <c r="AG34" s="703">
        <v>380.12700000000001</v>
      </c>
      <c r="AH34" s="704"/>
      <c r="AJ34" s="701">
        <v>23</v>
      </c>
      <c r="AK34" s="702">
        <v>237.53299999999999</v>
      </c>
      <c r="AL34" s="702">
        <v>233.827</v>
      </c>
      <c r="AM34" s="703">
        <v>251.17400000000001</v>
      </c>
      <c r="AN34" s="704"/>
      <c r="AP34" s="701">
        <v>23</v>
      </c>
      <c r="AQ34" s="702">
        <v>65.13</v>
      </c>
      <c r="AR34" s="702">
        <v>20.92</v>
      </c>
      <c r="AS34" s="703">
        <v>40.58</v>
      </c>
      <c r="AT34" s="704"/>
      <c r="AV34" s="701">
        <v>23</v>
      </c>
      <c r="AW34" s="702">
        <v>183.63</v>
      </c>
      <c r="AX34" s="702">
        <v>166.34</v>
      </c>
      <c r="AY34" s="703">
        <v>208.92</v>
      </c>
      <c r="AZ34" s="704"/>
      <c r="BB34" s="701">
        <v>23</v>
      </c>
      <c r="BC34" s="702">
        <v>109.38</v>
      </c>
      <c r="BD34" s="702">
        <v>57.73</v>
      </c>
      <c r="BE34" s="703">
        <v>94.6</v>
      </c>
      <c r="BF34" s="704"/>
      <c r="BH34" s="701">
        <v>23</v>
      </c>
      <c r="BI34" s="702">
        <v>23.70261</v>
      </c>
      <c r="BJ34" s="702">
        <v>22.030200000000001</v>
      </c>
      <c r="BK34" s="703">
        <v>20.949079999999999</v>
      </c>
      <c r="BL34" s="704"/>
      <c r="BN34" s="701">
        <v>23</v>
      </c>
      <c r="BO34" s="702">
        <v>66.102000000000004</v>
      </c>
      <c r="BP34" s="702">
        <v>66.536000000000001</v>
      </c>
      <c r="BQ34" s="703">
        <v>67.260000000000005</v>
      </c>
      <c r="BR34" s="704"/>
      <c r="BT34" s="701">
        <v>23</v>
      </c>
      <c r="BU34" s="702">
        <v>266.01799999999997</v>
      </c>
      <c r="BV34" s="702">
        <v>225.33</v>
      </c>
      <c r="BW34" s="703">
        <v>274.89</v>
      </c>
      <c r="BX34" s="704"/>
      <c r="BZ34" s="701">
        <v>23</v>
      </c>
      <c r="CA34" s="702">
        <v>304.13</v>
      </c>
      <c r="CB34" s="702">
        <v>237.16800000000001</v>
      </c>
      <c r="CC34" s="703">
        <v>330.89499999999998</v>
      </c>
      <c r="CD34" s="704"/>
      <c r="CF34" s="701">
        <v>23</v>
      </c>
      <c r="CG34" s="702"/>
      <c r="CH34" s="702"/>
      <c r="CI34" s="703"/>
      <c r="CJ34" s="704"/>
      <c r="CL34" s="701">
        <v>23</v>
      </c>
      <c r="CM34" s="702"/>
      <c r="CN34" s="702"/>
      <c r="CO34" s="703"/>
      <c r="CP34" s="704"/>
      <c r="CR34" s="701">
        <v>23</v>
      </c>
      <c r="CS34" s="702"/>
      <c r="CT34" s="702"/>
      <c r="CU34" s="703"/>
      <c r="CV34" s="704"/>
      <c r="CX34" s="701">
        <v>23</v>
      </c>
      <c r="CY34" s="702"/>
      <c r="CZ34" s="702"/>
      <c r="DA34" s="703"/>
      <c r="DB34" s="704"/>
      <c r="DD34" s="701">
        <v>23</v>
      </c>
      <c r="DE34" s="702"/>
      <c r="DF34" s="702"/>
      <c r="DG34" s="703"/>
      <c r="DH34" s="704"/>
      <c r="DJ34" s="701">
        <v>23</v>
      </c>
      <c r="DK34" s="702"/>
      <c r="DL34" s="702"/>
      <c r="DM34" s="703"/>
      <c r="DN34" s="704"/>
      <c r="DP34" s="701">
        <v>23</v>
      </c>
      <c r="DQ34" s="702"/>
      <c r="DR34" s="702"/>
      <c r="DS34" s="703"/>
      <c r="DT34" s="704"/>
      <c r="DV34" s="701">
        <v>23</v>
      </c>
      <c r="DW34" s="702"/>
      <c r="DX34" s="702"/>
      <c r="DY34" s="703"/>
      <c r="DZ34" s="704"/>
      <c r="EB34" s="701">
        <v>23</v>
      </c>
      <c r="EC34" s="702"/>
      <c r="ED34" s="702"/>
      <c r="EE34" s="703"/>
      <c r="EF34" s="704"/>
      <c r="EH34" s="695">
        <v>23</v>
      </c>
      <c r="EI34" s="666"/>
      <c r="EJ34" s="666"/>
      <c r="EK34" s="645"/>
      <c r="EL34" s="640"/>
      <c r="EN34" s="695">
        <v>23</v>
      </c>
      <c r="EO34" s="666"/>
      <c r="EP34" s="666"/>
      <c r="EQ34" s="645"/>
      <c r="ER34" s="640"/>
      <c r="ET34" s="695">
        <v>23</v>
      </c>
      <c r="EU34" s="666"/>
      <c r="EV34" s="666"/>
      <c r="EW34" s="645"/>
      <c r="EX34" s="640"/>
    </row>
    <row r="35" spans="12:154">
      <c r="L35" s="701">
        <v>24</v>
      </c>
      <c r="M35" s="702">
        <v>68.907259999999994</v>
      </c>
      <c r="N35" s="702">
        <v>40.918999999999997</v>
      </c>
      <c r="O35" s="703">
        <v>63.195999999999998</v>
      </c>
      <c r="P35" s="704"/>
      <c r="R35" s="701">
        <v>24</v>
      </c>
      <c r="S35" s="702">
        <v>3.66709</v>
      </c>
      <c r="T35" s="702">
        <v>3.2499500000000001</v>
      </c>
      <c r="U35" s="703">
        <v>5.8893199999999997</v>
      </c>
      <c r="V35" s="704"/>
      <c r="X35" s="701">
        <v>24</v>
      </c>
      <c r="Y35" s="702">
        <v>17.36</v>
      </c>
      <c r="Z35" s="702">
        <v>19.693999999999999</v>
      </c>
      <c r="AA35" s="703">
        <v>22.940999999999999</v>
      </c>
      <c r="AB35" s="704"/>
      <c r="AD35" s="701">
        <v>24</v>
      </c>
      <c r="AE35" s="702">
        <v>349.71600000000001</v>
      </c>
      <c r="AF35" s="702">
        <v>276.69200000000001</v>
      </c>
      <c r="AG35" s="703">
        <v>374.74799999999999</v>
      </c>
      <c r="AH35" s="704"/>
      <c r="AJ35" s="701">
        <v>24</v>
      </c>
      <c r="AK35" s="702">
        <v>236.947</v>
      </c>
      <c r="AL35" s="702">
        <v>233.37200000000001</v>
      </c>
      <c r="AM35" s="703">
        <v>250.72</v>
      </c>
      <c r="AN35" s="704"/>
      <c r="AP35" s="701">
        <v>24</v>
      </c>
      <c r="AQ35" s="702">
        <v>64.02</v>
      </c>
      <c r="AR35" s="702">
        <v>21.17</v>
      </c>
      <c r="AS35" s="703">
        <v>40.369999999999997</v>
      </c>
      <c r="AT35" s="704"/>
      <c r="AV35" s="701">
        <v>24</v>
      </c>
      <c r="AW35" s="702">
        <v>183.99</v>
      </c>
      <c r="AX35" s="702">
        <v>166.05</v>
      </c>
      <c r="AY35" s="703">
        <v>209.1</v>
      </c>
      <c r="AZ35" s="704"/>
      <c r="BB35" s="701">
        <v>24</v>
      </c>
      <c r="BC35" s="702">
        <v>104.53</v>
      </c>
      <c r="BD35" s="702">
        <v>57.17</v>
      </c>
      <c r="BE35" s="703">
        <v>94.31</v>
      </c>
      <c r="BF35" s="704"/>
      <c r="BH35" s="701">
        <v>24</v>
      </c>
      <c r="BI35" s="702">
        <v>23.767189999999999</v>
      </c>
      <c r="BJ35" s="702">
        <v>22.11861</v>
      </c>
      <c r="BK35" s="703">
        <v>21.478000000000002</v>
      </c>
      <c r="BL35" s="704"/>
      <c r="BN35" s="701">
        <v>24</v>
      </c>
      <c r="BO35" s="702">
        <v>65.849000000000004</v>
      </c>
      <c r="BP35" s="702">
        <v>66.245999999999995</v>
      </c>
      <c r="BQ35" s="703">
        <v>67.260000000000005</v>
      </c>
      <c r="BR35" s="704"/>
      <c r="BT35" s="701">
        <v>24</v>
      </c>
      <c r="BU35" s="702">
        <v>262.13</v>
      </c>
      <c r="BV35" s="702">
        <v>222.2</v>
      </c>
      <c r="BW35" s="703">
        <v>275.00299999999999</v>
      </c>
      <c r="BX35" s="704"/>
      <c r="BZ35" s="701">
        <v>24</v>
      </c>
      <c r="CA35" s="702">
        <v>295.96499999999997</v>
      </c>
      <c r="CB35" s="702">
        <v>237.16800000000001</v>
      </c>
      <c r="CC35" s="703">
        <v>327.28100000000001</v>
      </c>
      <c r="CD35" s="704"/>
      <c r="CF35" s="701">
        <v>24</v>
      </c>
      <c r="CG35" s="702"/>
      <c r="CH35" s="702"/>
      <c r="CI35" s="703"/>
      <c r="CJ35" s="704"/>
      <c r="CL35" s="701">
        <v>24</v>
      </c>
      <c r="CM35" s="702"/>
      <c r="CN35" s="702"/>
      <c r="CO35" s="703"/>
      <c r="CP35" s="704"/>
      <c r="CR35" s="701">
        <v>24</v>
      </c>
      <c r="CS35" s="702"/>
      <c r="CT35" s="702"/>
      <c r="CU35" s="703"/>
      <c r="CV35" s="704"/>
      <c r="CX35" s="701">
        <v>24</v>
      </c>
      <c r="CY35" s="702"/>
      <c r="CZ35" s="702"/>
      <c r="DA35" s="703"/>
      <c r="DB35" s="704"/>
      <c r="DD35" s="701">
        <v>24</v>
      </c>
      <c r="DE35" s="702"/>
      <c r="DF35" s="702"/>
      <c r="DG35" s="703"/>
      <c r="DH35" s="704"/>
      <c r="DJ35" s="701">
        <v>24</v>
      </c>
      <c r="DK35" s="702"/>
      <c r="DL35" s="702"/>
      <c r="DM35" s="703"/>
      <c r="DN35" s="704"/>
      <c r="DP35" s="701">
        <v>24</v>
      </c>
      <c r="DQ35" s="702"/>
      <c r="DR35" s="702"/>
      <c r="DS35" s="703"/>
      <c r="DT35" s="704"/>
      <c r="DV35" s="701">
        <v>24</v>
      </c>
      <c r="DW35" s="702"/>
      <c r="DX35" s="702"/>
      <c r="DY35" s="703"/>
      <c r="DZ35" s="704"/>
      <c r="EB35" s="701">
        <v>24</v>
      </c>
      <c r="EC35" s="702"/>
      <c r="ED35" s="702"/>
      <c r="EE35" s="703"/>
      <c r="EF35" s="704"/>
      <c r="EH35" s="695">
        <v>24</v>
      </c>
      <c r="EI35" s="666"/>
      <c r="EJ35" s="666"/>
      <c r="EK35" s="645"/>
      <c r="EL35" s="640"/>
      <c r="EN35" s="695">
        <v>24</v>
      </c>
      <c r="EO35" s="666"/>
      <c r="EP35" s="666"/>
      <c r="EQ35" s="645"/>
      <c r="ER35" s="640"/>
      <c r="ET35" s="695">
        <v>24</v>
      </c>
      <c r="EU35" s="666"/>
      <c r="EV35" s="666"/>
      <c r="EW35" s="645"/>
      <c r="EX35" s="640"/>
    </row>
    <row r="36" spans="12:154">
      <c r="L36" s="701">
        <v>25</v>
      </c>
      <c r="M36" s="702">
        <v>64.805999999999997</v>
      </c>
      <c r="N36" s="702">
        <v>41.066000000000003</v>
      </c>
      <c r="O36" s="703">
        <v>61.980780000000003</v>
      </c>
      <c r="P36" s="704"/>
      <c r="R36" s="701">
        <v>25</v>
      </c>
      <c r="S36" s="702">
        <v>2.8953799999999998</v>
      </c>
      <c r="T36" s="702">
        <v>4.1758199999999999</v>
      </c>
      <c r="U36" s="703">
        <v>6.3319900000000002</v>
      </c>
      <c r="V36" s="704"/>
      <c r="X36" s="701">
        <v>25</v>
      </c>
      <c r="Y36" s="702">
        <v>17.213000000000001</v>
      </c>
      <c r="Z36" s="702">
        <v>19.245000000000001</v>
      </c>
      <c r="AA36" s="703">
        <v>22.619</v>
      </c>
      <c r="AB36" s="704"/>
      <c r="AD36" s="701">
        <v>25</v>
      </c>
      <c r="AE36" s="702">
        <v>343.78100000000001</v>
      </c>
      <c r="AF36" s="702">
        <v>271.928</v>
      </c>
      <c r="AG36" s="703">
        <v>369.84699999999998</v>
      </c>
      <c r="AH36" s="704"/>
      <c r="AJ36" s="701">
        <v>25</v>
      </c>
      <c r="AK36" s="702">
        <v>237.00399999999999</v>
      </c>
      <c r="AL36" s="702">
        <v>232.92400000000001</v>
      </c>
      <c r="AM36" s="703">
        <v>250.2</v>
      </c>
      <c r="AN36" s="704"/>
      <c r="AP36" s="701">
        <v>25</v>
      </c>
      <c r="AQ36" s="702">
        <v>61.69</v>
      </c>
      <c r="AR36" s="702">
        <v>20.96</v>
      </c>
      <c r="AS36" s="703">
        <v>40.18</v>
      </c>
      <c r="AT36" s="704"/>
      <c r="AV36" s="701">
        <v>25</v>
      </c>
      <c r="AW36" s="702">
        <v>182.36</v>
      </c>
      <c r="AX36" s="702">
        <v>163.61000000000001</v>
      </c>
      <c r="AY36" s="703">
        <v>209.26</v>
      </c>
      <c r="AZ36" s="704"/>
      <c r="BB36" s="701">
        <v>25</v>
      </c>
      <c r="BC36" s="702">
        <v>99.26</v>
      </c>
      <c r="BD36" s="702">
        <v>57.1</v>
      </c>
      <c r="BE36" s="703">
        <v>94.31</v>
      </c>
      <c r="BF36" s="704"/>
      <c r="BH36" s="701">
        <v>25</v>
      </c>
      <c r="BI36" s="702">
        <v>23.83183</v>
      </c>
      <c r="BJ36" s="702">
        <v>22.181830000000001</v>
      </c>
      <c r="BK36" s="703">
        <v>22.01127</v>
      </c>
      <c r="BL36" s="704"/>
      <c r="BN36" s="701">
        <v>25</v>
      </c>
      <c r="BO36" s="702">
        <v>65.596000000000004</v>
      </c>
      <c r="BP36" s="702">
        <v>65.956999999999994</v>
      </c>
      <c r="BQ36" s="703">
        <v>67.150999999999996</v>
      </c>
      <c r="BR36" s="704"/>
      <c r="BT36" s="701">
        <v>25</v>
      </c>
      <c r="BU36" s="702">
        <v>258.60199999999998</v>
      </c>
      <c r="BV36" s="702">
        <v>217.72399999999999</v>
      </c>
      <c r="BW36" s="703">
        <v>270.87599999999998</v>
      </c>
      <c r="BX36" s="704"/>
      <c r="BZ36" s="701">
        <v>25</v>
      </c>
      <c r="CA36" s="702">
        <v>285.57900000000001</v>
      </c>
      <c r="CB36" s="702">
        <v>237.16800000000001</v>
      </c>
      <c r="CC36" s="703">
        <v>305.80900000000003</v>
      </c>
      <c r="CD36" s="704"/>
      <c r="CF36" s="701">
        <v>25</v>
      </c>
      <c r="CG36" s="702"/>
      <c r="CH36" s="702"/>
      <c r="CI36" s="703"/>
      <c r="CJ36" s="704"/>
      <c r="CL36" s="701">
        <v>25</v>
      </c>
      <c r="CM36" s="702"/>
      <c r="CN36" s="702"/>
      <c r="CO36" s="703"/>
      <c r="CP36" s="704"/>
      <c r="CR36" s="701">
        <v>25</v>
      </c>
      <c r="CS36" s="702"/>
      <c r="CT36" s="702"/>
      <c r="CU36" s="703"/>
      <c r="CV36" s="704"/>
      <c r="CX36" s="701">
        <v>25</v>
      </c>
      <c r="CY36" s="702"/>
      <c r="CZ36" s="702"/>
      <c r="DA36" s="703"/>
      <c r="DB36" s="704"/>
      <c r="DD36" s="701">
        <v>25</v>
      </c>
      <c r="DE36" s="702"/>
      <c r="DF36" s="702"/>
      <c r="DG36" s="703"/>
      <c r="DH36" s="704"/>
      <c r="DJ36" s="701">
        <v>25</v>
      </c>
      <c r="DK36" s="702"/>
      <c r="DL36" s="702"/>
      <c r="DM36" s="703"/>
      <c r="DN36" s="704"/>
      <c r="DP36" s="701">
        <v>25</v>
      </c>
      <c r="DQ36" s="702"/>
      <c r="DR36" s="702"/>
      <c r="DS36" s="703"/>
      <c r="DT36" s="704"/>
      <c r="DV36" s="701">
        <v>25</v>
      </c>
      <c r="DW36" s="702"/>
      <c r="DX36" s="702"/>
      <c r="DY36" s="703"/>
      <c r="DZ36" s="704"/>
      <c r="EB36" s="701">
        <v>25</v>
      </c>
      <c r="EC36" s="702"/>
      <c r="ED36" s="702"/>
      <c r="EE36" s="703"/>
      <c r="EF36" s="704"/>
      <c r="EH36" s="695">
        <v>25</v>
      </c>
      <c r="EI36" s="666"/>
      <c r="EJ36" s="666"/>
      <c r="EK36" s="645"/>
      <c r="EL36" s="640"/>
      <c r="EN36" s="695">
        <v>25</v>
      </c>
      <c r="EO36" s="666"/>
      <c r="EP36" s="666"/>
      <c r="EQ36" s="645"/>
      <c r="ER36" s="640"/>
      <c r="ET36" s="695">
        <v>25</v>
      </c>
      <c r="EU36" s="666"/>
      <c r="EV36" s="666"/>
      <c r="EW36" s="645"/>
      <c r="EX36" s="640"/>
    </row>
    <row r="37" spans="12:154">
      <c r="L37" s="701">
        <v>26</v>
      </c>
      <c r="M37" s="702">
        <v>61.132330000000003</v>
      </c>
      <c r="N37" s="702">
        <v>41.326000000000001</v>
      </c>
      <c r="O37" s="703">
        <v>62.097000000000001</v>
      </c>
      <c r="P37" s="704"/>
      <c r="R37" s="701">
        <v>26</v>
      </c>
      <c r="S37" s="702">
        <v>6.5664999999999996</v>
      </c>
      <c r="T37" s="702">
        <v>1.70645</v>
      </c>
      <c r="U37" s="703">
        <v>1.5789899999999999</v>
      </c>
      <c r="V37" s="704"/>
      <c r="X37" s="701">
        <v>26</v>
      </c>
      <c r="Y37" s="702">
        <v>16.940999999999999</v>
      </c>
      <c r="Z37" s="702">
        <v>19.297999999999998</v>
      </c>
      <c r="AA37" s="703">
        <v>22.073</v>
      </c>
      <c r="AB37" s="704"/>
      <c r="AD37" s="701">
        <v>26</v>
      </c>
      <c r="AE37" s="702">
        <v>338.74799999999999</v>
      </c>
      <c r="AF37" s="702">
        <v>267.02199999999999</v>
      </c>
      <c r="AG37" s="703">
        <v>364.88600000000002</v>
      </c>
      <c r="AH37" s="704"/>
      <c r="AJ37" s="701">
        <v>26</v>
      </c>
      <c r="AK37" s="702">
        <v>236.74799999999999</v>
      </c>
      <c r="AL37" s="702">
        <v>232.47300000000001</v>
      </c>
      <c r="AM37" s="703">
        <v>249.745</v>
      </c>
      <c r="AN37" s="704"/>
      <c r="AP37" s="701">
        <v>26</v>
      </c>
      <c r="AQ37" s="702">
        <v>56.96</v>
      </c>
      <c r="AR37" s="702">
        <v>20.89</v>
      </c>
      <c r="AS37" s="703">
        <v>39.94</v>
      </c>
      <c r="AT37" s="704"/>
      <c r="AV37" s="701">
        <v>26</v>
      </c>
      <c r="AW37" s="702">
        <v>182.08</v>
      </c>
      <c r="AX37" s="702">
        <v>160.47</v>
      </c>
      <c r="AY37" s="703">
        <v>209.31</v>
      </c>
      <c r="AZ37" s="704"/>
      <c r="BB37" s="701">
        <v>26</v>
      </c>
      <c r="BC37" s="702">
        <v>94.02</v>
      </c>
      <c r="BD37" s="702">
        <v>56.61</v>
      </c>
      <c r="BE37" s="703">
        <v>94.31</v>
      </c>
      <c r="BF37" s="704"/>
      <c r="BH37" s="701">
        <v>26</v>
      </c>
      <c r="BI37" s="702">
        <v>23.883579999999998</v>
      </c>
      <c r="BJ37" s="702">
        <v>22.23244</v>
      </c>
      <c r="BK37" s="703">
        <v>22.48095</v>
      </c>
      <c r="BL37" s="704"/>
      <c r="BN37" s="701">
        <v>26</v>
      </c>
      <c r="BO37" s="702">
        <v>65.271000000000001</v>
      </c>
      <c r="BP37" s="702">
        <v>65.668000000000006</v>
      </c>
      <c r="BQ37" s="703">
        <v>66.97</v>
      </c>
      <c r="BR37" s="704"/>
      <c r="BT37" s="701">
        <v>26</v>
      </c>
      <c r="BU37" s="702">
        <v>253.72200000000001</v>
      </c>
      <c r="BV37" s="702">
        <v>212.96700000000001</v>
      </c>
      <c r="BW37" s="703">
        <v>264.53699999999998</v>
      </c>
      <c r="BX37" s="704"/>
      <c r="BZ37" s="701">
        <v>26</v>
      </c>
      <c r="CA37" s="702">
        <v>274.75400000000002</v>
      </c>
      <c r="CB37" s="702">
        <v>237.16800000000001</v>
      </c>
      <c r="CC37" s="703">
        <v>294.80399999999997</v>
      </c>
      <c r="CD37" s="704"/>
      <c r="CF37" s="701">
        <v>26</v>
      </c>
      <c r="CG37" s="702"/>
      <c r="CH37" s="702"/>
      <c r="CI37" s="703"/>
      <c r="CJ37" s="704"/>
      <c r="CL37" s="701">
        <v>26</v>
      </c>
      <c r="CM37" s="702"/>
      <c r="CN37" s="702"/>
      <c r="CO37" s="703"/>
      <c r="CP37" s="704"/>
      <c r="CR37" s="701">
        <v>26</v>
      </c>
      <c r="CS37" s="702"/>
      <c r="CT37" s="702"/>
      <c r="CU37" s="703"/>
      <c r="CV37" s="704"/>
      <c r="CX37" s="701">
        <v>26</v>
      </c>
      <c r="CY37" s="702"/>
      <c r="CZ37" s="702"/>
      <c r="DA37" s="703"/>
      <c r="DB37" s="704"/>
      <c r="DD37" s="701">
        <v>26</v>
      </c>
      <c r="DE37" s="702"/>
      <c r="DF37" s="702"/>
      <c r="DG37" s="703"/>
      <c r="DH37" s="704"/>
      <c r="DJ37" s="701">
        <v>26</v>
      </c>
      <c r="DK37" s="702"/>
      <c r="DL37" s="702"/>
      <c r="DM37" s="703"/>
      <c r="DN37" s="704"/>
      <c r="DP37" s="701">
        <v>26</v>
      </c>
      <c r="DQ37" s="702"/>
      <c r="DR37" s="702"/>
      <c r="DS37" s="703"/>
      <c r="DT37" s="704"/>
      <c r="DV37" s="701">
        <v>26</v>
      </c>
      <c r="DW37" s="702"/>
      <c r="DX37" s="702"/>
      <c r="DY37" s="703"/>
      <c r="DZ37" s="704"/>
      <c r="EB37" s="701">
        <v>26</v>
      </c>
      <c r="EC37" s="702"/>
      <c r="ED37" s="702"/>
      <c r="EE37" s="703"/>
      <c r="EF37" s="704"/>
      <c r="EH37" s="695">
        <v>26</v>
      </c>
      <c r="EI37" s="666"/>
      <c r="EJ37" s="666"/>
      <c r="EK37" s="645"/>
      <c r="EL37" s="640"/>
      <c r="EN37" s="695">
        <v>26</v>
      </c>
      <c r="EO37" s="666"/>
      <c r="EP37" s="666"/>
      <c r="EQ37" s="645"/>
      <c r="ER37" s="640"/>
      <c r="ET37" s="695">
        <v>26</v>
      </c>
      <c r="EU37" s="666"/>
      <c r="EV37" s="666"/>
      <c r="EW37" s="645"/>
      <c r="EX37" s="640"/>
    </row>
    <row r="38" spans="12:154">
      <c r="L38" s="701">
        <v>27</v>
      </c>
      <c r="M38" s="702">
        <v>56.971089999999997</v>
      </c>
      <c r="N38" s="702">
        <v>41.364260000000002</v>
      </c>
      <c r="O38" s="703">
        <v>62.957000000000001</v>
      </c>
      <c r="P38" s="704"/>
      <c r="R38" s="701">
        <v>27</v>
      </c>
      <c r="S38" s="702">
        <v>2.6896300000000002</v>
      </c>
      <c r="T38" s="702">
        <v>2.9669400000000001</v>
      </c>
      <c r="U38" s="703">
        <v>3.1461399999999999</v>
      </c>
      <c r="V38" s="704"/>
      <c r="X38" s="701">
        <v>27</v>
      </c>
      <c r="Y38" s="702">
        <v>16.646000000000001</v>
      </c>
      <c r="Z38" s="702">
        <v>19.651</v>
      </c>
      <c r="AA38" s="703">
        <v>21.271999999999998</v>
      </c>
      <c r="AB38" s="704"/>
      <c r="AD38" s="701">
        <v>27</v>
      </c>
      <c r="AE38" s="702">
        <v>333.93799999999999</v>
      </c>
      <c r="AF38" s="702">
        <v>262.37</v>
      </c>
      <c r="AG38" s="703">
        <v>359.62599999999998</v>
      </c>
      <c r="AH38" s="704"/>
      <c r="AJ38" s="701">
        <v>27</v>
      </c>
      <c r="AK38" s="702">
        <v>236.29599999999999</v>
      </c>
      <c r="AL38" s="702">
        <v>232.02099999999999</v>
      </c>
      <c r="AM38" s="703">
        <v>249.35599999999999</v>
      </c>
      <c r="AN38" s="704"/>
      <c r="AP38" s="701">
        <v>27</v>
      </c>
      <c r="AQ38" s="702">
        <v>54.69</v>
      </c>
      <c r="AR38" s="702">
        <v>20.22</v>
      </c>
      <c r="AS38" s="703">
        <v>39.659999999999997</v>
      </c>
      <c r="AT38" s="704"/>
      <c r="AV38" s="701">
        <v>27</v>
      </c>
      <c r="AW38" s="702">
        <v>181.86</v>
      </c>
      <c r="AX38" s="702">
        <v>151.53</v>
      </c>
      <c r="AY38" s="703">
        <v>210.68</v>
      </c>
      <c r="AZ38" s="704"/>
      <c r="BB38" s="701">
        <v>27</v>
      </c>
      <c r="BC38" s="702">
        <v>92.71</v>
      </c>
      <c r="BD38" s="702">
        <v>56.61</v>
      </c>
      <c r="BE38" s="703">
        <v>94.31</v>
      </c>
      <c r="BF38" s="704"/>
      <c r="BH38" s="701">
        <v>27</v>
      </c>
      <c r="BI38" s="702">
        <v>23.909459999999999</v>
      </c>
      <c r="BJ38" s="702">
        <v>22.270420000000001</v>
      </c>
      <c r="BK38" s="703">
        <v>20.485520000000001</v>
      </c>
      <c r="BL38" s="704"/>
      <c r="BN38" s="701">
        <v>27</v>
      </c>
      <c r="BO38" s="702">
        <v>64.802999999999997</v>
      </c>
      <c r="BP38" s="702">
        <v>65.307000000000002</v>
      </c>
      <c r="BQ38" s="703">
        <v>66.861000000000004</v>
      </c>
      <c r="BR38" s="704"/>
      <c r="BT38" s="701">
        <v>27</v>
      </c>
      <c r="BU38" s="702">
        <v>246.78</v>
      </c>
      <c r="BV38" s="702">
        <v>206.529</v>
      </c>
      <c r="BW38" s="703">
        <v>261.25</v>
      </c>
      <c r="BX38" s="704"/>
      <c r="BZ38" s="701">
        <v>27</v>
      </c>
      <c r="CA38" s="702">
        <v>261.839</v>
      </c>
      <c r="CB38" s="702">
        <v>237.16800000000001</v>
      </c>
      <c r="CC38" s="703">
        <v>279.86399999999998</v>
      </c>
      <c r="CD38" s="704"/>
      <c r="CF38" s="701">
        <v>27</v>
      </c>
      <c r="CG38" s="702"/>
      <c r="CH38" s="702"/>
      <c r="CI38" s="703"/>
      <c r="CJ38" s="704"/>
      <c r="CL38" s="701">
        <v>27</v>
      </c>
      <c r="CM38" s="702"/>
      <c r="CN38" s="702"/>
      <c r="CO38" s="703"/>
      <c r="CP38" s="704"/>
      <c r="CR38" s="701">
        <v>27</v>
      </c>
      <c r="CS38" s="702"/>
      <c r="CT38" s="702"/>
      <c r="CU38" s="703"/>
      <c r="CV38" s="704"/>
      <c r="CX38" s="701">
        <v>27</v>
      </c>
      <c r="CY38" s="702"/>
      <c r="CZ38" s="702"/>
      <c r="DA38" s="703"/>
      <c r="DB38" s="704"/>
      <c r="DD38" s="701">
        <v>27</v>
      </c>
      <c r="DE38" s="702"/>
      <c r="DF38" s="702"/>
      <c r="DG38" s="703"/>
      <c r="DH38" s="704"/>
      <c r="DJ38" s="701">
        <v>27</v>
      </c>
      <c r="DK38" s="702"/>
      <c r="DL38" s="702"/>
      <c r="DM38" s="703"/>
      <c r="DN38" s="704"/>
      <c r="DP38" s="701">
        <v>27</v>
      </c>
      <c r="DQ38" s="702"/>
      <c r="DR38" s="702"/>
      <c r="DS38" s="703"/>
      <c r="DT38" s="704"/>
      <c r="DV38" s="701">
        <v>27</v>
      </c>
      <c r="DW38" s="702"/>
      <c r="DX38" s="702"/>
      <c r="DY38" s="703"/>
      <c r="DZ38" s="704"/>
      <c r="EB38" s="701">
        <v>27</v>
      </c>
      <c r="EC38" s="702"/>
      <c r="ED38" s="702"/>
      <c r="EE38" s="703"/>
      <c r="EF38" s="704"/>
      <c r="EH38" s="695">
        <v>27</v>
      </c>
      <c r="EI38" s="666"/>
      <c r="EJ38" s="666"/>
      <c r="EK38" s="645"/>
      <c r="EL38" s="640"/>
      <c r="EN38" s="695">
        <v>27</v>
      </c>
      <c r="EO38" s="666"/>
      <c r="EP38" s="666"/>
      <c r="EQ38" s="645"/>
      <c r="ER38" s="640"/>
      <c r="ET38" s="695">
        <v>27</v>
      </c>
      <c r="EU38" s="666"/>
      <c r="EV38" s="666"/>
      <c r="EW38" s="645"/>
      <c r="EX38" s="640"/>
    </row>
    <row r="39" spans="12:154">
      <c r="L39" s="701">
        <v>28</v>
      </c>
      <c r="M39" s="702">
        <v>51.164000000000001</v>
      </c>
      <c r="N39" s="702">
        <v>41.390999999999998</v>
      </c>
      <c r="O39" s="703">
        <v>63.361440000000002</v>
      </c>
      <c r="P39" s="704"/>
      <c r="R39" s="701">
        <v>28</v>
      </c>
      <c r="S39" s="702">
        <v>6.0178700000000003</v>
      </c>
      <c r="T39" s="702">
        <v>4.0349500000000003</v>
      </c>
      <c r="U39" s="703">
        <v>5.0529400000000004</v>
      </c>
      <c r="V39" s="704"/>
      <c r="X39" s="701">
        <v>28</v>
      </c>
      <c r="Y39" s="702">
        <v>16.148</v>
      </c>
      <c r="Z39" s="702">
        <v>19.282</v>
      </c>
      <c r="AA39" s="703">
        <v>20.292999999999999</v>
      </c>
      <c r="AB39" s="704"/>
      <c r="AD39" s="701">
        <v>28</v>
      </c>
      <c r="AE39" s="702">
        <v>326.92200000000003</v>
      </c>
      <c r="AF39" s="702">
        <v>258.77499999999998</v>
      </c>
      <c r="AG39" s="703">
        <v>354.04700000000003</v>
      </c>
      <c r="AH39" s="704"/>
      <c r="AJ39" s="701">
        <v>28</v>
      </c>
      <c r="AK39" s="702">
        <v>235.649</v>
      </c>
      <c r="AL39" s="702">
        <v>231.69900000000001</v>
      </c>
      <c r="AM39" s="703">
        <v>249.09200000000001</v>
      </c>
      <c r="AN39" s="704"/>
      <c r="AP39" s="701">
        <v>28</v>
      </c>
      <c r="AQ39" s="702">
        <v>55.6</v>
      </c>
      <c r="AR39" s="702">
        <v>19.739999999999998</v>
      </c>
      <c r="AS39" s="703">
        <v>39.28</v>
      </c>
      <c r="AT39" s="704"/>
      <c r="AV39" s="701">
        <v>28</v>
      </c>
      <c r="AW39" s="702">
        <v>181.48</v>
      </c>
      <c r="AX39" s="702">
        <v>146.47</v>
      </c>
      <c r="AY39" s="703">
        <v>209.05</v>
      </c>
      <c r="AZ39" s="704"/>
      <c r="BB39" s="701">
        <v>28</v>
      </c>
      <c r="BC39" s="702">
        <v>92.56</v>
      </c>
      <c r="BD39" s="702">
        <v>56.05</v>
      </c>
      <c r="BE39" s="703">
        <v>94.31</v>
      </c>
      <c r="BF39" s="704"/>
      <c r="BH39" s="701">
        <v>28</v>
      </c>
      <c r="BI39" s="702">
        <v>23.948309999999999</v>
      </c>
      <c r="BJ39" s="702">
        <v>20.965240000000001</v>
      </c>
      <c r="BK39" s="703">
        <v>20.5017</v>
      </c>
      <c r="BL39" s="704"/>
      <c r="BN39" s="701">
        <v>28</v>
      </c>
      <c r="BO39" s="702">
        <v>64.442999999999998</v>
      </c>
      <c r="BP39" s="702">
        <v>64.406999999999996</v>
      </c>
      <c r="BQ39" s="703">
        <v>66.644000000000005</v>
      </c>
      <c r="BR39" s="704"/>
      <c r="BT39" s="701">
        <v>28</v>
      </c>
      <c r="BU39" s="702">
        <v>241.68</v>
      </c>
      <c r="BV39" s="702">
        <v>202.28200000000001</v>
      </c>
      <c r="BW39" s="703">
        <v>254.369</v>
      </c>
      <c r="BX39" s="704"/>
      <c r="BZ39" s="701">
        <v>28</v>
      </c>
      <c r="CA39" s="702">
        <v>249.13</v>
      </c>
      <c r="CB39" s="702">
        <v>224.33500000000001</v>
      </c>
      <c r="CC39" s="703">
        <v>265.18799999999999</v>
      </c>
      <c r="CD39" s="704"/>
      <c r="CF39" s="701">
        <v>28</v>
      </c>
      <c r="CG39" s="702"/>
      <c r="CH39" s="702"/>
      <c r="CI39" s="703"/>
      <c r="CJ39" s="704"/>
      <c r="CL39" s="701">
        <v>28</v>
      </c>
      <c r="CM39" s="702"/>
      <c r="CN39" s="702"/>
      <c r="CO39" s="703"/>
      <c r="CP39" s="704"/>
      <c r="CR39" s="701">
        <v>28</v>
      </c>
      <c r="CS39" s="702"/>
      <c r="CT39" s="702"/>
      <c r="CU39" s="703"/>
      <c r="CV39" s="704"/>
      <c r="CX39" s="701">
        <v>28</v>
      </c>
      <c r="CY39" s="702"/>
      <c r="CZ39" s="702"/>
      <c r="DA39" s="703"/>
      <c r="DB39" s="704"/>
      <c r="DD39" s="701">
        <v>28</v>
      </c>
      <c r="DE39" s="702"/>
      <c r="DF39" s="702"/>
      <c r="DG39" s="703"/>
      <c r="DH39" s="704"/>
      <c r="DJ39" s="701">
        <v>28</v>
      </c>
      <c r="DK39" s="702"/>
      <c r="DL39" s="702"/>
      <c r="DM39" s="703"/>
      <c r="DN39" s="704"/>
      <c r="DP39" s="701">
        <v>28</v>
      </c>
      <c r="DQ39" s="702"/>
      <c r="DR39" s="702"/>
      <c r="DS39" s="703"/>
      <c r="DT39" s="704"/>
      <c r="DV39" s="701">
        <v>28</v>
      </c>
      <c r="DW39" s="702"/>
      <c r="DX39" s="702"/>
      <c r="DY39" s="703"/>
      <c r="DZ39" s="704"/>
      <c r="EB39" s="701">
        <v>28</v>
      </c>
      <c r="EC39" s="702"/>
      <c r="ED39" s="702"/>
      <c r="EE39" s="703"/>
      <c r="EF39" s="704"/>
      <c r="EH39" s="695">
        <v>28</v>
      </c>
      <c r="EI39" s="666"/>
      <c r="EJ39" s="666"/>
      <c r="EK39" s="645"/>
      <c r="EL39" s="640"/>
      <c r="EN39" s="695">
        <v>28</v>
      </c>
      <c r="EO39" s="666"/>
      <c r="EP39" s="666"/>
      <c r="EQ39" s="645"/>
      <c r="ER39" s="640"/>
      <c r="ET39" s="695">
        <v>28</v>
      </c>
      <c r="EU39" s="666"/>
      <c r="EV39" s="666"/>
      <c r="EW39" s="645"/>
      <c r="EX39" s="640"/>
    </row>
    <row r="40" spans="12:154">
      <c r="L40" s="701">
        <v>29</v>
      </c>
      <c r="M40" s="702">
        <v>48.278820000000003</v>
      </c>
      <c r="N40" s="702">
        <v>41.505000000000003</v>
      </c>
      <c r="O40" s="703">
        <v>61.584000000000003</v>
      </c>
      <c r="P40" s="704"/>
      <c r="R40" s="701">
        <v>29</v>
      </c>
      <c r="S40" s="702">
        <v>4.0867800000000001</v>
      </c>
      <c r="T40" s="702">
        <v>7.3959700000000002</v>
      </c>
      <c r="U40" s="703">
        <v>5.2208199999999998</v>
      </c>
      <c r="V40" s="704"/>
      <c r="X40" s="701">
        <v>29</v>
      </c>
      <c r="Y40" s="702">
        <v>15.862</v>
      </c>
      <c r="Z40" s="702">
        <v>19.079999999999998</v>
      </c>
      <c r="AA40" s="703">
        <v>19.414000000000001</v>
      </c>
      <c r="AB40" s="704"/>
      <c r="AD40" s="701">
        <v>29</v>
      </c>
      <c r="AE40" s="702">
        <v>320.94</v>
      </c>
      <c r="AF40" s="702">
        <v>253.39599999999999</v>
      </c>
      <c r="AG40" s="703">
        <v>348.47399999999999</v>
      </c>
      <c r="AH40" s="704"/>
      <c r="AJ40" s="701">
        <v>29</v>
      </c>
      <c r="AK40" s="702">
        <v>235.18899999999999</v>
      </c>
      <c r="AL40" s="702">
        <v>231.31200000000001</v>
      </c>
      <c r="AM40" s="703">
        <v>248.64099999999999</v>
      </c>
      <c r="AN40" s="704"/>
      <c r="AP40" s="701">
        <v>29</v>
      </c>
      <c r="AQ40" s="702">
        <v>53.7</v>
      </c>
      <c r="AR40" s="702">
        <v>18.75</v>
      </c>
      <c r="AS40" s="703">
        <v>38.18</v>
      </c>
      <c r="AT40" s="704"/>
      <c r="AV40" s="701">
        <v>29</v>
      </c>
      <c r="AW40" s="702">
        <v>180.88</v>
      </c>
      <c r="AX40" s="702">
        <v>141.34</v>
      </c>
      <c r="AY40" s="703">
        <v>208.93</v>
      </c>
      <c r="AZ40" s="704"/>
      <c r="BB40" s="701">
        <v>29</v>
      </c>
      <c r="BC40" s="702">
        <v>91.69</v>
      </c>
      <c r="BD40" s="702">
        <v>54.37</v>
      </c>
      <c r="BE40" s="703">
        <v>94.31</v>
      </c>
      <c r="BF40" s="704"/>
      <c r="BH40" s="701">
        <v>29</v>
      </c>
      <c r="BI40" s="702">
        <v>24.000139999999998</v>
      </c>
      <c r="BJ40" s="702">
        <v>17.818259999999999</v>
      </c>
      <c r="BK40" s="703">
        <v>20.568439999999999</v>
      </c>
      <c r="BL40" s="704"/>
      <c r="BN40" s="701">
        <v>29</v>
      </c>
      <c r="BO40" s="702">
        <v>62.325000000000003</v>
      </c>
      <c r="BP40" s="702">
        <v>58.485999999999997</v>
      </c>
      <c r="BQ40" s="703">
        <v>65.271000000000001</v>
      </c>
      <c r="BR40" s="704"/>
      <c r="BT40" s="701">
        <v>29</v>
      </c>
      <c r="BU40" s="702">
        <v>236.73</v>
      </c>
      <c r="BV40" s="702">
        <v>199.15700000000001</v>
      </c>
      <c r="BW40" s="703">
        <v>250.77500000000001</v>
      </c>
      <c r="BX40" s="704"/>
      <c r="BZ40" s="701">
        <v>29</v>
      </c>
      <c r="CA40" s="702">
        <v>235.55199999999999</v>
      </c>
      <c r="CB40" s="702">
        <v>237.16800000000001</v>
      </c>
      <c r="CC40" s="703">
        <v>252.17099999999999</v>
      </c>
      <c r="CD40" s="704"/>
      <c r="CF40" s="701">
        <v>29</v>
      </c>
      <c r="CG40" s="702"/>
      <c r="CH40" s="702"/>
      <c r="CI40" s="703"/>
      <c r="CJ40" s="704"/>
      <c r="CL40" s="701">
        <v>29</v>
      </c>
      <c r="CM40" s="702"/>
      <c r="CN40" s="702"/>
      <c r="CO40" s="703"/>
      <c r="CP40" s="704"/>
      <c r="CR40" s="701">
        <v>29</v>
      </c>
      <c r="CS40" s="702"/>
      <c r="CT40" s="702"/>
      <c r="CU40" s="703"/>
      <c r="CV40" s="704"/>
      <c r="CX40" s="701">
        <v>29</v>
      </c>
      <c r="CY40" s="702"/>
      <c r="CZ40" s="702"/>
      <c r="DA40" s="703"/>
      <c r="DB40" s="704"/>
      <c r="DD40" s="701">
        <v>29</v>
      </c>
      <c r="DE40" s="702"/>
      <c r="DF40" s="702"/>
      <c r="DG40" s="703"/>
      <c r="DH40" s="704"/>
      <c r="DJ40" s="701">
        <v>29</v>
      </c>
      <c r="DK40" s="702"/>
      <c r="DL40" s="702"/>
      <c r="DM40" s="703"/>
      <c r="DN40" s="704"/>
      <c r="DP40" s="701">
        <v>29</v>
      </c>
      <c r="DQ40" s="702"/>
      <c r="DR40" s="702"/>
      <c r="DS40" s="703"/>
      <c r="DT40" s="704"/>
      <c r="DV40" s="701">
        <v>29</v>
      </c>
      <c r="DW40" s="702"/>
      <c r="DX40" s="702"/>
      <c r="DY40" s="703"/>
      <c r="DZ40" s="704"/>
      <c r="EB40" s="701">
        <v>29</v>
      </c>
      <c r="EC40" s="702"/>
      <c r="ED40" s="702"/>
      <c r="EE40" s="703"/>
      <c r="EF40" s="704"/>
      <c r="EH40" s="695">
        <v>29</v>
      </c>
      <c r="EI40" s="666"/>
      <c r="EJ40" s="666"/>
      <c r="EK40" s="645"/>
      <c r="EL40" s="640"/>
      <c r="EN40" s="695">
        <v>29</v>
      </c>
      <c r="EO40" s="666"/>
      <c r="EP40" s="666"/>
      <c r="EQ40" s="645"/>
      <c r="ER40" s="640"/>
      <c r="ET40" s="695">
        <v>29</v>
      </c>
      <c r="EU40" s="666"/>
      <c r="EV40" s="666"/>
      <c r="EW40" s="645"/>
      <c r="EX40" s="640"/>
    </row>
    <row r="41" spans="12:154">
      <c r="L41" s="701">
        <v>30</v>
      </c>
      <c r="M41" s="702">
        <v>44.666820000000001</v>
      </c>
      <c r="N41" s="702">
        <v>38.171999999999997</v>
      </c>
      <c r="O41" s="703">
        <v>58.3611</v>
      </c>
      <c r="P41" s="704"/>
      <c r="R41" s="701">
        <v>30</v>
      </c>
      <c r="S41" s="702">
        <v>5.9424700000000001</v>
      </c>
      <c r="T41" s="702">
        <v>11.44375</v>
      </c>
      <c r="U41" s="703">
        <v>8.7349599999999992</v>
      </c>
      <c r="V41" s="704"/>
      <c r="X41" s="701">
        <v>30</v>
      </c>
      <c r="Y41" s="702">
        <v>15.571</v>
      </c>
      <c r="Z41" s="702">
        <v>17.611000000000001</v>
      </c>
      <c r="AA41" s="703">
        <v>18.855</v>
      </c>
      <c r="AB41" s="704"/>
      <c r="AD41" s="701">
        <v>30</v>
      </c>
      <c r="AE41" s="702">
        <v>315.70600000000002</v>
      </c>
      <c r="AF41" s="702">
        <v>248.548</v>
      </c>
      <c r="AG41" s="703">
        <v>342.58</v>
      </c>
      <c r="AH41" s="704"/>
      <c r="AJ41" s="701">
        <v>30</v>
      </c>
      <c r="AK41" s="702">
        <v>234.667</v>
      </c>
      <c r="AL41" s="702">
        <v>231.053</v>
      </c>
      <c r="AM41" s="703">
        <v>248.251</v>
      </c>
      <c r="AN41" s="704"/>
      <c r="AP41" s="701">
        <v>30</v>
      </c>
      <c r="AQ41" s="702">
        <v>47.68</v>
      </c>
      <c r="AR41" s="702">
        <v>15.821</v>
      </c>
      <c r="AS41" s="703">
        <v>37</v>
      </c>
      <c r="AT41" s="704"/>
      <c r="AV41" s="701">
        <v>30</v>
      </c>
      <c r="AW41" s="702">
        <v>177.18</v>
      </c>
      <c r="AX41" s="702">
        <v>131.79</v>
      </c>
      <c r="AY41" s="703">
        <v>207.48</v>
      </c>
      <c r="AZ41" s="704"/>
      <c r="BB41" s="701">
        <v>30</v>
      </c>
      <c r="BC41" s="702">
        <v>91.4</v>
      </c>
      <c r="BD41" s="702">
        <v>50.18</v>
      </c>
      <c r="BE41" s="703">
        <v>92.56</v>
      </c>
      <c r="BF41" s="704"/>
      <c r="BH41" s="701">
        <v>30</v>
      </c>
      <c r="BI41" s="702">
        <v>24.026060000000001</v>
      </c>
      <c r="BJ41" s="702">
        <v>14.810510000000001</v>
      </c>
      <c r="BK41" s="703">
        <v>22.21725</v>
      </c>
      <c r="BL41" s="704"/>
      <c r="BN41" s="701">
        <v>30</v>
      </c>
      <c r="BO41" s="702">
        <v>59.652000000000001</v>
      </c>
      <c r="BP41" s="702">
        <v>50.963000000000001</v>
      </c>
      <c r="BQ41" s="703">
        <v>61.753</v>
      </c>
      <c r="BR41" s="704"/>
      <c r="BT41" s="701">
        <v>30</v>
      </c>
      <c r="BU41" s="702">
        <v>232.23</v>
      </c>
      <c r="BV41" s="702">
        <v>195.05699999999999</v>
      </c>
      <c r="BW41" s="703">
        <v>244.952</v>
      </c>
      <c r="BX41" s="704"/>
      <c r="BZ41" s="701">
        <v>30</v>
      </c>
      <c r="CA41" s="702">
        <v>220.107</v>
      </c>
      <c r="CB41" s="702">
        <v>204.99100000000001</v>
      </c>
      <c r="CC41" s="703">
        <v>233.93899999999999</v>
      </c>
      <c r="CD41" s="704"/>
      <c r="CF41" s="701">
        <v>30</v>
      </c>
      <c r="CG41" s="702"/>
      <c r="CH41" s="702"/>
      <c r="CI41" s="703"/>
      <c r="CJ41" s="704"/>
      <c r="CL41" s="701">
        <v>30</v>
      </c>
      <c r="CM41" s="702"/>
      <c r="CN41" s="702"/>
      <c r="CO41" s="703"/>
      <c r="CP41" s="704"/>
      <c r="CR41" s="701">
        <v>30</v>
      </c>
      <c r="CS41" s="702"/>
      <c r="CT41" s="702"/>
      <c r="CU41" s="703"/>
      <c r="CV41" s="704"/>
      <c r="CX41" s="701">
        <v>30</v>
      </c>
      <c r="CY41" s="702"/>
      <c r="CZ41" s="702"/>
      <c r="DA41" s="703"/>
      <c r="DB41" s="704"/>
      <c r="DD41" s="701">
        <v>30</v>
      </c>
      <c r="DE41" s="702"/>
      <c r="DF41" s="702"/>
      <c r="DG41" s="703"/>
      <c r="DH41" s="704"/>
      <c r="DJ41" s="701">
        <v>30</v>
      </c>
      <c r="DK41" s="702"/>
      <c r="DL41" s="702"/>
      <c r="DM41" s="703"/>
      <c r="DN41" s="704"/>
      <c r="DP41" s="701">
        <v>30</v>
      </c>
      <c r="DQ41" s="702"/>
      <c r="DR41" s="702"/>
      <c r="DS41" s="703"/>
      <c r="DT41" s="704"/>
      <c r="DV41" s="701">
        <v>30</v>
      </c>
      <c r="DW41" s="702"/>
      <c r="DX41" s="702"/>
      <c r="DY41" s="703"/>
      <c r="DZ41" s="704"/>
      <c r="EB41" s="701">
        <v>30</v>
      </c>
      <c r="EC41" s="702"/>
      <c r="ED41" s="702"/>
      <c r="EE41" s="703"/>
      <c r="EF41" s="704"/>
      <c r="EH41" s="695">
        <v>30</v>
      </c>
      <c r="EI41" s="666"/>
      <c r="EJ41" s="666"/>
      <c r="EK41" s="645"/>
      <c r="EL41" s="640"/>
      <c r="EN41" s="695">
        <v>30</v>
      </c>
      <c r="EO41" s="666"/>
      <c r="EP41" s="666"/>
      <c r="EQ41" s="645"/>
      <c r="ER41" s="640"/>
      <c r="ET41" s="695">
        <v>30</v>
      </c>
      <c r="EU41" s="666"/>
      <c r="EV41" s="666"/>
      <c r="EW41" s="645"/>
      <c r="EX41" s="640"/>
    </row>
    <row r="42" spans="12:154">
      <c r="L42" s="701">
        <v>31</v>
      </c>
      <c r="M42" s="702">
        <v>37.41572</v>
      </c>
      <c r="N42" s="702">
        <v>24.141680000000001</v>
      </c>
      <c r="O42" s="703">
        <v>55.052599999999998</v>
      </c>
      <c r="P42" s="704"/>
      <c r="R42" s="701">
        <v>31</v>
      </c>
      <c r="S42" s="702">
        <v>7.4400399999999998</v>
      </c>
      <c r="T42" s="702">
        <v>8.5923200000000008</v>
      </c>
      <c r="U42" s="703">
        <v>2.6123500000000002</v>
      </c>
      <c r="V42" s="704"/>
      <c r="X42" s="701">
        <v>31</v>
      </c>
      <c r="Y42" s="702">
        <v>13.712</v>
      </c>
      <c r="Z42" s="702">
        <v>16.771999999999998</v>
      </c>
      <c r="AA42" s="703">
        <v>18.468</v>
      </c>
      <c r="AB42" s="704"/>
      <c r="AD42" s="701">
        <v>31</v>
      </c>
      <c r="AE42" s="702">
        <v>307.63</v>
      </c>
      <c r="AF42" s="702">
        <v>244.14400000000001</v>
      </c>
      <c r="AG42" s="703">
        <v>336.89400000000001</v>
      </c>
      <c r="AH42" s="704"/>
      <c r="AJ42" s="701">
        <v>31</v>
      </c>
      <c r="AK42" s="702">
        <v>234.089</v>
      </c>
      <c r="AL42" s="702">
        <v>230.614</v>
      </c>
      <c r="AM42" s="703">
        <v>247.732</v>
      </c>
      <c r="AN42" s="704"/>
      <c r="AP42" s="701">
        <v>31</v>
      </c>
      <c r="AQ42" s="702">
        <v>43.15</v>
      </c>
      <c r="AR42" s="702">
        <v>14.951000000000001</v>
      </c>
      <c r="AS42" s="703">
        <v>35.64</v>
      </c>
      <c r="AT42" s="704"/>
      <c r="AV42" s="701">
        <v>31</v>
      </c>
      <c r="AW42" s="702">
        <v>174.62</v>
      </c>
      <c r="AX42" s="702">
        <v>122.2</v>
      </c>
      <c r="AY42" s="703">
        <v>199.74</v>
      </c>
      <c r="AZ42" s="704"/>
      <c r="BB42" s="701">
        <v>31</v>
      </c>
      <c r="BC42" s="702">
        <v>90.82</v>
      </c>
      <c r="BD42" s="702">
        <v>44.63</v>
      </c>
      <c r="BE42" s="703">
        <v>91.69</v>
      </c>
      <c r="BF42" s="704"/>
      <c r="BH42" s="701">
        <v>31</v>
      </c>
      <c r="BI42" s="702">
        <v>24.03903</v>
      </c>
      <c r="BJ42" s="702">
        <v>13.64255</v>
      </c>
      <c r="BK42" s="703">
        <v>20.625340000000001</v>
      </c>
      <c r="BL42" s="704"/>
      <c r="BN42" s="701">
        <v>31</v>
      </c>
      <c r="BO42" s="702">
        <v>56.069000000000003</v>
      </c>
      <c r="BP42" s="702">
        <v>43.78</v>
      </c>
      <c r="BQ42" s="703">
        <v>58.415999999999997</v>
      </c>
      <c r="BR42" s="704"/>
      <c r="BT42" s="701">
        <v>31</v>
      </c>
      <c r="BU42" s="702">
        <v>226.416</v>
      </c>
      <c r="BV42" s="702">
        <v>191.31</v>
      </c>
      <c r="BW42" s="703">
        <v>238.69800000000001</v>
      </c>
      <c r="BX42" s="704"/>
      <c r="BZ42" s="701">
        <v>31</v>
      </c>
      <c r="CA42" s="702">
        <v>204.476</v>
      </c>
      <c r="CB42" s="702">
        <v>181.19200000000001</v>
      </c>
      <c r="CC42" s="703">
        <v>223.80500000000001</v>
      </c>
      <c r="CD42" s="704"/>
      <c r="CF42" s="701">
        <v>31</v>
      </c>
      <c r="CG42" s="702"/>
      <c r="CH42" s="702"/>
      <c r="CI42" s="703"/>
      <c r="CJ42" s="704"/>
      <c r="CL42" s="701">
        <v>31</v>
      </c>
      <c r="CM42" s="702"/>
      <c r="CN42" s="702"/>
      <c r="CO42" s="703"/>
      <c r="CP42" s="704"/>
      <c r="CR42" s="701">
        <v>31</v>
      </c>
      <c r="CS42" s="702"/>
      <c r="CT42" s="702"/>
      <c r="CU42" s="703"/>
      <c r="CV42" s="704"/>
      <c r="CX42" s="701">
        <v>31</v>
      </c>
      <c r="CY42" s="702"/>
      <c r="CZ42" s="702"/>
      <c r="DA42" s="703"/>
      <c r="DB42" s="704"/>
      <c r="DD42" s="701">
        <v>31</v>
      </c>
      <c r="DE42" s="702"/>
      <c r="DF42" s="702"/>
      <c r="DG42" s="703"/>
      <c r="DH42" s="704"/>
      <c r="DJ42" s="701">
        <v>31</v>
      </c>
      <c r="DK42" s="702"/>
      <c r="DL42" s="702"/>
      <c r="DM42" s="703"/>
      <c r="DN42" s="704"/>
      <c r="DP42" s="701">
        <v>31</v>
      </c>
      <c r="DQ42" s="702"/>
      <c r="DR42" s="702"/>
      <c r="DS42" s="703"/>
      <c r="DT42" s="704"/>
      <c r="DV42" s="701">
        <v>31</v>
      </c>
      <c r="DW42" s="702"/>
      <c r="DX42" s="702"/>
      <c r="DY42" s="703"/>
      <c r="DZ42" s="704"/>
      <c r="EB42" s="701">
        <v>31</v>
      </c>
      <c r="EC42" s="702"/>
      <c r="ED42" s="702"/>
      <c r="EE42" s="703"/>
      <c r="EF42" s="704"/>
      <c r="EH42" s="695">
        <v>31</v>
      </c>
      <c r="EI42" s="666"/>
      <c r="EJ42" s="666"/>
      <c r="EK42" s="645"/>
      <c r="EL42" s="640"/>
      <c r="EN42" s="695">
        <v>31</v>
      </c>
      <c r="EO42" s="666"/>
      <c r="EP42" s="666"/>
      <c r="EQ42" s="645"/>
      <c r="ER42" s="640"/>
      <c r="ET42" s="695">
        <v>31</v>
      </c>
      <c r="EU42" s="666"/>
      <c r="EV42" s="666"/>
      <c r="EW42" s="645"/>
      <c r="EX42" s="640"/>
    </row>
    <row r="43" spans="12:154">
      <c r="L43" s="701">
        <v>32</v>
      </c>
      <c r="M43" s="702">
        <v>35.721240000000002</v>
      </c>
      <c r="N43" s="702">
        <v>18.547999999999998</v>
      </c>
      <c r="O43" s="703">
        <v>53.03</v>
      </c>
      <c r="P43" s="704"/>
      <c r="R43" s="701">
        <v>32</v>
      </c>
      <c r="S43" s="702">
        <v>5.7191099999999997</v>
      </c>
      <c r="T43" s="702">
        <v>5.5311000000000003</v>
      </c>
      <c r="U43" s="703">
        <v>3.99831</v>
      </c>
      <c r="V43" s="704"/>
      <c r="X43" s="701">
        <v>32</v>
      </c>
      <c r="Y43" s="702">
        <v>13.773</v>
      </c>
      <c r="Z43" s="702">
        <v>13.62</v>
      </c>
      <c r="AA43" s="703">
        <v>18.652999999999999</v>
      </c>
      <c r="AB43" s="704"/>
      <c r="AD43" s="701">
        <v>32</v>
      </c>
      <c r="AE43" s="702">
        <v>300.04599999999999</v>
      </c>
      <c r="AF43" s="702">
        <v>239.78899999999999</v>
      </c>
      <c r="AG43" s="703">
        <v>331.45100000000002</v>
      </c>
      <c r="AH43" s="704"/>
      <c r="AJ43" s="701">
        <v>32</v>
      </c>
      <c r="AK43" s="702">
        <v>233.56899999999999</v>
      </c>
      <c r="AL43" s="702">
        <v>230.35599999999999</v>
      </c>
      <c r="AM43" s="703">
        <v>247.15100000000001</v>
      </c>
      <c r="AN43" s="704"/>
      <c r="AP43" s="701">
        <v>32</v>
      </c>
      <c r="AQ43" s="702">
        <v>39.96</v>
      </c>
      <c r="AR43" s="702">
        <v>13.531000000000001</v>
      </c>
      <c r="AS43" s="703">
        <v>34.49</v>
      </c>
      <c r="AT43" s="704"/>
      <c r="AV43" s="701">
        <v>32</v>
      </c>
      <c r="AW43" s="702">
        <v>167.3</v>
      </c>
      <c r="AX43" s="702">
        <v>112.36</v>
      </c>
      <c r="AY43" s="703">
        <v>189.72</v>
      </c>
      <c r="AZ43" s="704"/>
      <c r="BB43" s="701">
        <v>32</v>
      </c>
      <c r="BC43" s="702">
        <v>89.95</v>
      </c>
      <c r="BD43" s="702">
        <v>41.86</v>
      </c>
      <c r="BE43" s="703">
        <v>87.64</v>
      </c>
      <c r="BF43" s="704"/>
      <c r="BH43" s="701">
        <v>32</v>
      </c>
      <c r="BI43" s="702">
        <v>24.090920000000001</v>
      </c>
      <c r="BJ43" s="702">
        <v>13.430809999999999</v>
      </c>
      <c r="BK43" s="703">
        <v>19.64725</v>
      </c>
      <c r="BL43" s="704"/>
      <c r="BN43" s="701">
        <v>32</v>
      </c>
      <c r="BO43" s="702">
        <v>52.182000000000002</v>
      </c>
      <c r="BP43" s="702">
        <v>37.536000000000001</v>
      </c>
      <c r="BQ43" s="703">
        <v>55.097999999999999</v>
      </c>
      <c r="BR43" s="704"/>
      <c r="BT43" s="701">
        <v>32</v>
      </c>
      <c r="BU43" s="702">
        <v>216.404</v>
      </c>
      <c r="BV43" s="702">
        <v>184.37299999999999</v>
      </c>
      <c r="BW43" s="703">
        <v>232.90899999999999</v>
      </c>
      <c r="BX43" s="704"/>
      <c r="BZ43" s="701">
        <v>32</v>
      </c>
      <c r="CA43" s="702">
        <v>190.20400000000001</v>
      </c>
      <c r="CB43" s="702">
        <v>164.99799999999999</v>
      </c>
      <c r="CC43" s="703">
        <v>213.29</v>
      </c>
      <c r="CD43" s="704"/>
      <c r="CF43" s="701">
        <v>32</v>
      </c>
      <c r="CG43" s="702"/>
      <c r="CH43" s="702"/>
      <c r="CI43" s="703"/>
      <c r="CJ43" s="704"/>
      <c r="CL43" s="701">
        <v>32</v>
      </c>
      <c r="CM43" s="702"/>
      <c r="CN43" s="702"/>
      <c r="CO43" s="703"/>
      <c r="CP43" s="704"/>
      <c r="CR43" s="701">
        <v>32</v>
      </c>
      <c r="CS43" s="702"/>
      <c r="CT43" s="702"/>
      <c r="CU43" s="703"/>
      <c r="CV43" s="704"/>
      <c r="CX43" s="701">
        <v>32</v>
      </c>
      <c r="CY43" s="702"/>
      <c r="CZ43" s="702"/>
      <c r="DA43" s="703"/>
      <c r="DB43" s="704"/>
      <c r="DD43" s="701">
        <v>32</v>
      </c>
      <c r="DE43" s="702"/>
      <c r="DF43" s="702"/>
      <c r="DG43" s="703"/>
      <c r="DH43" s="704"/>
      <c r="DJ43" s="701">
        <v>32</v>
      </c>
      <c r="DK43" s="702"/>
      <c r="DL43" s="702"/>
      <c r="DM43" s="703"/>
      <c r="DN43" s="704"/>
      <c r="DP43" s="701">
        <v>32</v>
      </c>
      <c r="DQ43" s="702"/>
      <c r="DR43" s="702"/>
      <c r="DS43" s="703"/>
      <c r="DT43" s="704"/>
      <c r="DV43" s="701">
        <v>32</v>
      </c>
      <c r="DW43" s="702"/>
      <c r="DX43" s="702"/>
      <c r="DY43" s="703"/>
      <c r="DZ43" s="704"/>
      <c r="EB43" s="701">
        <v>32</v>
      </c>
      <c r="EC43" s="702"/>
      <c r="ED43" s="702"/>
      <c r="EE43" s="703"/>
      <c r="EF43" s="704"/>
      <c r="EH43" s="695">
        <v>32</v>
      </c>
      <c r="EI43" s="666"/>
      <c r="EJ43" s="666"/>
      <c r="EK43" s="645"/>
      <c r="EL43" s="640"/>
      <c r="EN43" s="695">
        <v>32</v>
      </c>
      <c r="EO43" s="666"/>
      <c r="EP43" s="666"/>
      <c r="EQ43" s="645"/>
      <c r="ER43" s="640"/>
      <c r="ET43" s="695">
        <v>32</v>
      </c>
      <c r="EU43" s="666"/>
      <c r="EV43" s="666"/>
      <c r="EW43" s="645"/>
      <c r="EX43" s="640"/>
    </row>
    <row r="44" spans="12:154">
      <c r="L44" s="701">
        <v>33</v>
      </c>
      <c r="M44" s="702">
        <v>29.614999999999998</v>
      </c>
      <c r="N44" s="702">
        <v>14.195</v>
      </c>
      <c r="O44" s="703">
        <v>51.814</v>
      </c>
      <c r="P44" s="704"/>
      <c r="R44" s="701">
        <v>33</v>
      </c>
      <c r="S44" s="702">
        <v>3.8620199999999998</v>
      </c>
      <c r="T44" s="702">
        <v>3.5014099999999999</v>
      </c>
      <c r="U44" s="703">
        <v>5.7900600000000004</v>
      </c>
      <c r="V44" s="704"/>
      <c r="X44" s="701">
        <v>33</v>
      </c>
      <c r="Y44" s="702">
        <v>13.949</v>
      </c>
      <c r="Z44" s="702">
        <v>13.686999999999999</v>
      </c>
      <c r="AA44" s="703">
        <v>17.952000000000002</v>
      </c>
      <c r="AB44" s="704"/>
      <c r="AD44" s="701">
        <v>33</v>
      </c>
      <c r="AE44" s="702">
        <v>292.548</v>
      </c>
      <c r="AF44" s="702">
        <v>234.19800000000001</v>
      </c>
      <c r="AG44" s="703">
        <v>325.71100000000001</v>
      </c>
      <c r="AH44" s="704"/>
      <c r="AJ44" s="701">
        <v>33</v>
      </c>
      <c r="AK44" s="702">
        <v>233.05699999999999</v>
      </c>
      <c r="AL44" s="702">
        <v>229.917</v>
      </c>
      <c r="AM44" s="703">
        <v>246.62700000000001</v>
      </c>
      <c r="AN44" s="704"/>
      <c r="AP44" s="701">
        <v>33</v>
      </c>
      <c r="AQ44" s="702">
        <v>35.93</v>
      </c>
      <c r="AR44" s="702">
        <v>11.861000000000001</v>
      </c>
      <c r="AS44" s="703">
        <v>32.97</v>
      </c>
      <c r="AT44" s="704"/>
      <c r="AV44" s="701">
        <v>33</v>
      </c>
      <c r="AW44" s="702">
        <v>157.97999999999999</v>
      </c>
      <c r="AX44" s="702">
        <v>100.25</v>
      </c>
      <c r="AY44" s="703">
        <v>181.2</v>
      </c>
      <c r="AZ44" s="704"/>
      <c r="BB44" s="701">
        <v>33</v>
      </c>
      <c r="BC44" s="702">
        <v>85.91</v>
      </c>
      <c r="BD44" s="702">
        <v>39.79</v>
      </c>
      <c r="BE44" s="703">
        <v>84.76</v>
      </c>
      <c r="BF44" s="704"/>
      <c r="BH44" s="701">
        <v>33</v>
      </c>
      <c r="BI44" s="702">
        <v>23.303439999999998</v>
      </c>
      <c r="BJ44" s="702">
        <v>13.27511</v>
      </c>
      <c r="BK44" s="703">
        <v>16.274529999999999</v>
      </c>
      <c r="BL44" s="704"/>
      <c r="BN44" s="701">
        <v>33</v>
      </c>
      <c r="BO44" s="702">
        <v>47.493000000000002</v>
      </c>
      <c r="BP44" s="702">
        <v>35.412999999999997</v>
      </c>
      <c r="BQ44" s="703">
        <v>51.841999999999999</v>
      </c>
      <c r="BR44" s="704"/>
      <c r="BT44" s="701">
        <v>33</v>
      </c>
      <c r="BU44" s="702">
        <v>210.66</v>
      </c>
      <c r="BV44" s="702">
        <v>180.17400000000001</v>
      </c>
      <c r="BW44" s="703">
        <v>226.97499999999999</v>
      </c>
      <c r="BX44" s="704"/>
      <c r="BZ44" s="701">
        <v>33</v>
      </c>
      <c r="CA44" s="702">
        <v>178.71100000000001</v>
      </c>
      <c r="CB44" s="702">
        <v>164.03</v>
      </c>
      <c r="CC44" s="703">
        <v>197.81100000000001</v>
      </c>
      <c r="CD44" s="704"/>
      <c r="CF44" s="701">
        <v>33</v>
      </c>
      <c r="CG44" s="702"/>
      <c r="CH44" s="702"/>
      <c r="CI44" s="703"/>
      <c r="CJ44" s="704"/>
      <c r="CL44" s="701">
        <v>33</v>
      </c>
      <c r="CM44" s="702"/>
      <c r="CN44" s="702"/>
      <c r="CO44" s="703"/>
      <c r="CP44" s="704"/>
      <c r="CR44" s="701">
        <v>33</v>
      </c>
      <c r="CS44" s="702"/>
      <c r="CT44" s="702"/>
      <c r="CU44" s="703"/>
      <c r="CV44" s="704"/>
      <c r="CX44" s="701">
        <v>33</v>
      </c>
      <c r="CY44" s="702"/>
      <c r="CZ44" s="702"/>
      <c r="DA44" s="703"/>
      <c r="DB44" s="704"/>
      <c r="DD44" s="701">
        <v>33</v>
      </c>
      <c r="DE44" s="702"/>
      <c r="DF44" s="702"/>
      <c r="DG44" s="703"/>
      <c r="DH44" s="704"/>
      <c r="DJ44" s="701">
        <v>33</v>
      </c>
      <c r="DK44" s="702"/>
      <c r="DL44" s="702"/>
      <c r="DM44" s="703"/>
      <c r="DN44" s="704"/>
      <c r="DP44" s="701">
        <v>33</v>
      </c>
      <c r="DQ44" s="702"/>
      <c r="DR44" s="702"/>
      <c r="DS44" s="703"/>
      <c r="DT44" s="704"/>
      <c r="DV44" s="701">
        <v>33</v>
      </c>
      <c r="DW44" s="702"/>
      <c r="DX44" s="702"/>
      <c r="DY44" s="703"/>
      <c r="DZ44" s="704"/>
      <c r="EB44" s="701">
        <v>33</v>
      </c>
      <c r="EC44" s="702"/>
      <c r="ED44" s="702"/>
      <c r="EE44" s="703"/>
      <c r="EF44" s="704"/>
      <c r="EH44" s="695">
        <v>33</v>
      </c>
      <c r="EI44" s="666"/>
      <c r="EJ44" s="666"/>
      <c r="EK44" s="645"/>
      <c r="EL44" s="640"/>
      <c r="EN44" s="695">
        <v>33</v>
      </c>
      <c r="EO44" s="666"/>
      <c r="EP44" s="666"/>
      <c r="EQ44" s="645"/>
      <c r="ER44" s="640"/>
      <c r="ET44" s="695">
        <v>33</v>
      </c>
      <c r="EU44" s="666"/>
      <c r="EV44" s="666"/>
      <c r="EW44" s="645"/>
      <c r="EX44" s="640"/>
    </row>
    <row r="45" spans="12:154">
      <c r="L45" s="701">
        <v>34</v>
      </c>
      <c r="M45" s="702">
        <v>25.618569999999998</v>
      </c>
      <c r="N45" s="702">
        <v>9.2729999999999997</v>
      </c>
      <c r="O45" s="703">
        <v>44.945999999999998</v>
      </c>
      <c r="P45" s="704"/>
      <c r="R45" s="701">
        <v>34</v>
      </c>
      <c r="S45" s="702">
        <v>7.01654</v>
      </c>
      <c r="T45" s="702">
        <v>9.7065000000000001</v>
      </c>
      <c r="U45" s="703">
        <v>5.5959399999999997</v>
      </c>
      <c r="V45" s="704"/>
      <c r="X45" s="701">
        <v>34</v>
      </c>
      <c r="Y45" s="702">
        <v>14.016</v>
      </c>
      <c r="Z45" s="702">
        <v>13.763</v>
      </c>
      <c r="AA45" s="703">
        <v>17.962</v>
      </c>
      <c r="AB45" s="704"/>
      <c r="AD45" s="701">
        <v>34</v>
      </c>
      <c r="AE45" s="702">
        <v>284.68</v>
      </c>
      <c r="AF45" s="702">
        <v>228.577</v>
      </c>
      <c r="AG45" s="703">
        <v>319.43799999999999</v>
      </c>
      <c r="AH45" s="704"/>
      <c r="AJ45" s="701">
        <v>34</v>
      </c>
      <c r="AK45" s="702">
        <v>232.53700000000001</v>
      </c>
      <c r="AL45" s="702">
        <v>229.47300000000001</v>
      </c>
      <c r="AM45" s="703">
        <v>246.04300000000001</v>
      </c>
      <c r="AN45" s="704"/>
      <c r="AP45" s="701">
        <v>34</v>
      </c>
      <c r="AQ45" s="702">
        <v>33.729999999999997</v>
      </c>
      <c r="AR45" s="702">
        <v>10.391</v>
      </c>
      <c r="AS45" s="703">
        <v>32.369999999999997</v>
      </c>
      <c r="AT45" s="704"/>
      <c r="AV45" s="701">
        <v>34</v>
      </c>
      <c r="AW45" s="702">
        <v>147.35</v>
      </c>
      <c r="AX45" s="702">
        <v>93.69</v>
      </c>
      <c r="AY45" s="703">
        <v>174.66</v>
      </c>
      <c r="AZ45" s="704"/>
      <c r="BB45" s="701">
        <v>34</v>
      </c>
      <c r="BC45" s="702">
        <v>81.02</v>
      </c>
      <c r="BD45" s="702">
        <v>37.17</v>
      </c>
      <c r="BE45" s="703">
        <v>81.59</v>
      </c>
      <c r="BF45" s="704"/>
      <c r="BH45" s="701">
        <v>34</v>
      </c>
      <c r="BI45" s="702">
        <v>20.087879999999998</v>
      </c>
      <c r="BJ45" s="702">
        <v>13.108599999999999</v>
      </c>
      <c r="BK45" s="703">
        <v>12.72129</v>
      </c>
      <c r="BL45" s="704"/>
      <c r="BN45" s="701">
        <v>34</v>
      </c>
      <c r="BO45" s="702">
        <v>42.947000000000003</v>
      </c>
      <c r="BP45" s="702">
        <v>33.356000000000002</v>
      </c>
      <c r="BQ45" s="703">
        <v>48.752000000000002</v>
      </c>
      <c r="BR45" s="704"/>
      <c r="BT45" s="701">
        <v>34</v>
      </c>
      <c r="BU45" s="702">
        <v>205.01</v>
      </c>
      <c r="BV45" s="702">
        <v>176.72300000000001</v>
      </c>
      <c r="BW45" s="703">
        <v>220.91900000000001</v>
      </c>
      <c r="BX45" s="704"/>
      <c r="BZ45" s="701">
        <v>34</v>
      </c>
      <c r="CA45" s="702">
        <v>173.77799999999999</v>
      </c>
      <c r="CB45" s="702">
        <v>164.03</v>
      </c>
      <c r="CC45" s="703">
        <v>183.68199999999999</v>
      </c>
      <c r="CD45" s="704"/>
      <c r="CF45" s="701">
        <v>34</v>
      </c>
      <c r="CG45" s="702"/>
      <c r="CH45" s="702"/>
      <c r="CI45" s="703"/>
      <c r="CJ45" s="704"/>
      <c r="CL45" s="701">
        <v>34</v>
      </c>
      <c r="CM45" s="702"/>
      <c r="CN45" s="702"/>
      <c r="CO45" s="703"/>
      <c r="CP45" s="704"/>
      <c r="CR45" s="701">
        <v>34</v>
      </c>
      <c r="CS45" s="702"/>
      <c r="CT45" s="702"/>
      <c r="CU45" s="703"/>
      <c r="CV45" s="704"/>
      <c r="CX45" s="701">
        <v>34</v>
      </c>
      <c r="CY45" s="702"/>
      <c r="CZ45" s="702"/>
      <c r="DA45" s="703"/>
      <c r="DB45" s="704"/>
      <c r="DD45" s="701">
        <v>34</v>
      </c>
      <c r="DE45" s="702"/>
      <c r="DF45" s="702"/>
      <c r="DG45" s="703"/>
      <c r="DH45" s="704"/>
      <c r="DJ45" s="701">
        <v>34</v>
      </c>
      <c r="DK45" s="702"/>
      <c r="DL45" s="702"/>
      <c r="DM45" s="703"/>
      <c r="DN45" s="704"/>
      <c r="DP45" s="701">
        <v>34</v>
      </c>
      <c r="DQ45" s="702"/>
      <c r="DR45" s="702"/>
      <c r="DS45" s="703"/>
      <c r="DT45" s="704"/>
      <c r="DV45" s="701">
        <v>34</v>
      </c>
      <c r="DW45" s="702"/>
      <c r="DX45" s="702"/>
      <c r="DY45" s="703"/>
      <c r="DZ45" s="704"/>
      <c r="EB45" s="701">
        <v>34</v>
      </c>
      <c r="EC45" s="702"/>
      <c r="ED45" s="702"/>
      <c r="EE45" s="703"/>
      <c r="EF45" s="704"/>
      <c r="EH45" s="695">
        <v>34</v>
      </c>
      <c r="EI45" s="666"/>
      <c r="EJ45" s="666"/>
      <c r="EK45" s="645"/>
      <c r="EL45" s="640"/>
      <c r="EN45" s="695">
        <v>34</v>
      </c>
      <c r="EO45" s="666"/>
      <c r="EP45" s="666"/>
      <c r="EQ45" s="645"/>
      <c r="ER45" s="640"/>
      <c r="ET45" s="695">
        <v>34</v>
      </c>
      <c r="EU45" s="666"/>
      <c r="EV45" s="666"/>
      <c r="EW45" s="645"/>
      <c r="EX45" s="640"/>
    </row>
    <row r="46" spans="12:154">
      <c r="L46" s="701">
        <v>35</v>
      </c>
      <c r="M46" s="705">
        <v>14.99722</v>
      </c>
      <c r="N46" s="702">
        <v>4.4256500000000001</v>
      </c>
      <c r="O46" s="703">
        <v>38.114539999999998</v>
      </c>
      <c r="P46" s="704"/>
      <c r="R46" s="701">
        <v>35</v>
      </c>
      <c r="S46" s="705">
        <v>7.6069100000000001</v>
      </c>
      <c r="T46" s="702">
        <v>10.17489</v>
      </c>
      <c r="U46" s="703">
        <v>3.8451</v>
      </c>
      <c r="V46" s="704"/>
      <c r="X46" s="701">
        <v>35</v>
      </c>
      <c r="Y46" s="705">
        <v>13.984</v>
      </c>
      <c r="Z46" s="702">
        <v>13.66</v>
      </c>
      <c r="AA46" s="703">
        <v>18.382999999999999</v>
      </c>
      <c r="AB46" s="704"/>
      <c r="AD46" s="701">
        <v>35</v>
      </c>
      <c r="AE46" s="705">
        <v>277.25400000000002</v>
      </c>
      <c r="AF46" s="702">
        <v>222.876</v>
      </c>
      <c r="AG46" s="703">
        <v>313.15800000000002</v>
      </c>
      <c r="AH46" s="704"/>
      <c r="AJ46" s="701">
        <v>35</v>
      </c>
      <c r="AK46" s="705">
        <v>232.02099999999999</v>
      </c>
      <c r="AL46" s="702">
        <v>229.09299999999999</v>
      </c>
      <c r="AM46" s="703">
        <v>245.71799999999999</v>
      </c>
      <c r="AN46" s="704"/>
      <c r="AP46" s="701">
        <v>35</v>
      </c>
      <c r="AQ46" s="705">
        <v>28.89</v>
      </c>
      <c r="AR46" s="702">
        <v>8.9220000000000006</v>
      </c>
      <c r="AS46" s="703">
        <v>30.12</v>
      </c>
      <c r="AT46" s="704"/>
      <c r="AV46" s="701">
        <v>35</v>
      </c>
      <c r="AW46" s="705">
        <v>135.57</v>
      </c>
      <c r="AX46" s="702">
        <v>87.4</v>
      </c>
      <c r="AY46" s="703">
        <v>163.89</v>
      </c>
      <c r="AZ46" s="704"/>
      <c r="BB46" s="701">
        <v>35</v>
      </c>
      <c r="BC46" s="705">
        <v>74.150000000000006</v>
      </c>
      <c r="BD46" s="702">
        <v>36.08</v>
      </c>
      <c r="BE46" s="703">
        <v>76.150000000000006</v>
      </c>
      <c r="BF46" s="704"/>
      <c r="BH46" s="701">
        <v>35</v>
      </c>
      <c r="BI46" s="705">
        <v>16.729209999999998</v>
      </c>
      <c r="BJ46" s="702">
        <v>12.931330000000001</v>
      </c>
      <c r="BK46" s="703">
        <v>10.002549999999999</v>
      </c>
      <c r="BL46" s="704"/>
      <c r="BN46" s="701">
        <v>35</v>
      </c>
      <c r="BO46" s="705">
        <v>38.334000000000003</v>
      </c>
      <c r="BP46" s="702">
        <v>30.838999999999999</v>
      </c>
      <c r="BQ46" s="703">
        <v>46.31</v>
      </c>
      <c r="BR46" s="704"/>
      <c r="BT46" s="701">
        <v>35</v>
      </c>
      <c r="BU46" s="705">
        <v>198.78</v>
      </c>
      <c r="BV46" s="702">
        <v>171.739</v>
      </c>
      <c r="BW46" s="703">
        <v>214.08799999999999</v>
      </c>
      <c r="BX46" s="704"/>
      <c r="BZ46" s="701">
        <v>35</v>
      </c>
      <c r="CA46" s="705">
        <v>169.37899999999999</v>
      </c>
      <c r="CB46" s="702">
        <v>164.03</v>
      </c>
      <c r="CC46" s="703">
        <v>171.816</v>
      </c>
      <c r="CD46" s="704"/>
      <c r="CF46" s="701">
        <v>35</v>
      </c>
      <c r="CG46" s="705"/>
      <c r="CH46" s="702"/>
      <c r="CI46" s="703"/>
      <c r="CJ46" s="704"/>
      <c r="CL46" s="701">
        <v>35</v>
      </c>
      <c r="CM46" s="705"/>
      <c r="CN46" s="702"/>
      <c r="CO46" s="703"/>
      <c r="CP46" s="704"/>
      <c r="CR46" s="701">
        <v>35</v>
      </c>
      <c r="CS46" s="705"/>
      <c r="CT46" s="702"/>
      <c r="CU46" s="703"/>
      <c r="CV46" s="704"/>
      <c r="CX46" s="701">
        <v>35</v>
      </c>
      <c r="CY46" s="705"/>
      <c r="CZ46" s="702"/>
      <c r="DA46" s="703"/>
      <c r="DB46" s="704"/>
      <c r="DD46" s="701">
        <v>35</v>
      </c>
      <c r="DE46" s="705"/>
      <c r="DF46" s="702"/>
      <c r="DG46" s="703"/>
      <c r="DH46" s="704"/>
      <c r="DJ46" s="701">
        <v>35</v>
      </c>
      <c r="DK46" s="705"/>
      <c r="DL46" s="702"/>
      <c r="DM46" s="703"/>
      <c r="DN46" s="704"/>
      <c r="DP46" s="701">
        <v>35</v>
      </c>
      <c r="DQ46" s="705"/>
      <c r="DR46" s="702"/>
      <c r="DS46" s="703"/>
      <c r="DT46" s="704"/>
      <c r="DV46" s="701">
        <v>35</v>
      </c>
      <c r="DW46" s="705"/>
      <c r="DX46" s="702"/>
      <c r="DY46" s="703"/>
      <c r="DZ46" s="704"/>
      <c r="EB46" s="701">
        <v>35</v>
      </c>
      <c r="EC46" s="705"/>
      <c r="ED46" s="702"/>
      <c r="EE46" s="703"/>
      <c r="EF46" s="704"/>
      <c r="EH46" s="695">
        <v>35</v>
      </c>
      <c r="EI46" s="696"/>
      <c r="EJ46" s="666"/>
      <c r="EK46" s="645"/>
      <c r="EL46" s="640"/>
      <c r="EN46" s="695">
        <v>35</v>
      </c>
      <c r="EO46" s="696"/>
      <c r="EP46" s="666"/>
      <c r="EQ46" s="645"/>
      <c r="ER46" s="640"/>
      <c r="ET46" s="695">
        <v>35</v>
      </c>
      <c r="EU46" s="696"/>
      <c r="EV46" s="666"/>
      <c r="EW46" s="645"/>
      <c r="EX46" s="640"/>
    </row>
    <row r="47" spans="12:154">
      <c r="L47" s="701">
        <v>36</v>
      </c>
      <c r="M47" s="705">
        <v>10.70562</v>
      </c>
      <c r="N47" s="702">
        <v>0.46200000000000002</v>
      </c>
      <c r="O47" s="703">
        <v>33.301000000000002</v>
      </c>
      <c r="P47" s="704"/>
      <c r="R47" s="701">
        <v>36</v>
      </c>
      <c r="S47" s="705">
        <v>4.4198300000000001</v>
      </c>
      <c r="T47" s="702">
        <v>10.21598</v>
      </c>
      <c r="U47" s="703">
        <v>6.4258499999999996</v>
      </c>
      <c r="V47" s="704"/>
      <c r="X47" s="701">
        <v>36</v>
      </c>
      <c r="Y47" s="705">
        <v>12.925000000000001</v>
      </c>
      <c r="Z47" s="702">
        <v>14.151999999999999</v>
      </c>
      <c r="AA47" s="703">
        <v>19.044</v>
      </c>
      <c r="AB47" s="704"/>
      <c r="AD47" s="701">
        <v>36</v>
      </c>
      <c r="AE47" s="705">
        <v>269.42</v>
      </c>
      <c r="AF47" s="702">
        <v>216.922</v>
      </c>
      <c r="AG47" s="703">
        <v>306.17099999999999</v>
      </c>
      <c r="AH47" s="704"/>
      <c r="AJ47" s="701">
        <v>36</v>
      </c>
      <c r="AK47" s="705">
        <v>231.316</v>
      </c>
      <c r="AL47" s="702">
        <v>228.65</v>
      </c>
      <c r="AM47" s="703">
        <v>245.00399999999999</v>
      </c>
      <c r="AN47" s="704"/>
      <c r="AP47" s="701">
        <v>36</v>
      </c>
      <c r="AQ47" s="705">
        <v>23.59</v>
      </c>
      <c r="AR47" s="702">
        <v>7.3719999999999999</v>
      </c>
      <c r="AS47" s="703">
        <v>28.15</v>
      </c>
      <c r="AT47" s="704"/>
      <c r="AV47" s="701">
        <v>36</v>
      </c>
      <c r="AW47" s="705">
        <v>124.28</v>
      </c>
      <c r="AX47" s="702">
        <v>80.23</v>
      </c>
      <c r="AY47" s="703">
        <v>148.07</v>
      </c>
      <c r="AZ47" s="704"/>
      <c r="BB47" s="701">
        <v>36</v>
      </c>
      <c r="BC47" s="705">
        <v>68.03</v>
      </c>
      <c r="BD47" s="702">
        <v>34.159999999999997</v>
      </c>
      <c r="BE47" s="703">
        <v>71.010000000000005</v>
      </c>
      <c r="BF47" s="704"/>
      <c r="BH47" s="701">
        <v>36</v>
      </c>
      <c r="BI47" s="705">
        <v>14.49457</v>
      </c>
      <c r="BJ47" s="702">
        <v>12.787559999999999</v>
      </c>
      <c r="BK47" s="703">
        <v>7.3456099999999998</v>
      </c>
      <c r="BL47" s="704"/>
      <c r="BN47" s="701">
        <v>36</v>
      </c>
      <c r="BO47" s="705">
        <v>33.89</v>
      </c>
      <c r="BP47" s="702">
        <v>28.798999999999999</v>
      </c>
      <c r="BQ47" s="703">
        <v>43.908999999999999</v>
      </c>
      <c r="BR47" s="704"/>
      <c r="BT47" s="701">
        <v>36</v>
      </c>
      <c r="BU47" s="705">
        <v>189.03</v>
      </c>
      <c r="BV47" s="702">
        <v>163.48400000000001</v>
      </c>
      <c r="BW47" s="703">
        <v>212.82900000000001</v>
      </c>
      <c r="BX47" s="704"/>
      <c r="BZ47" s="701">
        <v>36</v>
      </c>
      <c r="CA47" s="705">
        <v>165.482</v>
      </c>
      <c r="CB47" s="702">
        <v>132.05799999999999</v>
      </c>
      <c r="CC47" s="703">
        <v>161.136</v>
      </c>
      <c r="CD47" s="704"/>
      <c r="CF47" s="701">
        <v>36</v>
      </c>
      <c r="CG47" s="705"/>
      <c r="CH47" s="702"/>
      <c r="CI47" s="703"/>
      <c r="CJ47" s="704"/>
      <c r="CL47" s="701">
        <v>36</v>
      </c>
      <c r="CM47" s="705"/>
      <c r="CN47" s="702"/>
      <c r="CO47" s="703"/>
      <c r="CP47" s="704"/>
      <c r="CR47" s="701">
        <v>36</v>
      </c>
      <c r="CS47" s="705"/>
      <c r="CT47" s="702"/>
      <c r="CU47" s="703"/>
      <c r="CV47" s="704"/>
      <c r="CX47" s="701">
        <v>36</v>
      </c>
      <c r="CY47" s="705"/>
      <c r="CZ47" s="702"/>
      <c r="DA47" s="703"/>
      <c r="DB47" s="704"/>
      <c r="DD47" s="701">
        <v>36</v>
      </c>
      <c r="DE47" s="705"/>
      <c r="DF47" s="702"/>
      <c r="DG47" s="703"/>
      <c r="DH47" s="704"/>
      <c r="DJ47" s="701">
        <v>36</v>
      </c>
      <c r="DK47" s="705"/>
      <c r="DL47" s="702"/>
      <c r="DM47" s="703"/>
      <c r="DN47" s="704"/>
      <c r="DP47" s="701">
        <v>36</v>
      </c>
      <c r="DQ47" s="705"/>
      <c r="DR47" s="702"/>
      <c r="DS47" s="703"/>
      <c r="DT47" s="704"/>
      <c r="DV47" s="701">
        <v>36</v>
      </c>
      <c r="DW47" s="705"/>
      <c r="DX47" s="702"/>
      <c r="DY47" s="703"/>
      <c r="DZ47" s="704"/>
      <c r="EB47" s="701">
        <v>36</v>
      </c>
      <c r="EC47" s="705"/>
      <c r="ED47" s="702"/>
      <c r="EE47" s="703"/>
      <c r="EF47" s="704"/>
      <c r="EH47" s="695">
        <v>36</v>
      </c>
      <c r="EI47" s="696"/>
      <c r="EJ47" s="666"/>
      <c r="EK47" s="645"/>
      <c r="EL47" s="640"/>
      <c r="EN47" s="695">
        <v>36</v>
      </c>
      <c r="EO47" s="696"/>
      <c r="EP47" s="666"/>
      <c r="EQ47" s="645"/>
      <c r="ER47" s="640"/>
      <c r="ET47" s="695">
        <v>36</v>
      </c>
      <c r="EU47" s="696"/>
      <c r="EV47" s="666"/>
      <c r="EW47" s="645"/>
      <c r="EX47" s="640"/>
    </row>
    <row r="48" spans="12:154">
      <c r="L48" s="701">
        <v>37</v>
      </c>
      <c r="M48" s="702">
        <v>6.9379999999999997</v>
      </c>
      <c r="N48" s="702">
        <v>0.20300000000000001</v>
      </c>
      <c r="O48" s="703">
        <v>26.104500000000002</v>
      </c>
      <c r="P48" s="704"/>
      <c r="R48" s="701">
        <v>37</v>
      </c>
      <c r="S48" s="702">
        <v>5.6930300000000003</v>
      </c>
      <c r="T48" s="702">
        <v>7.30654</v>
      </c>
      <c r="U48" s="703">
        <v>4.5735799999999998</v>
      </c>
      <c r="V48" s="704"/>
      <c r="X48" s="701">
        <v>37</v>
      </c>
      <c r="Y48" s="702">
        <v>12.477</v>
      </c>
      <c r="Z48" s="702">
        <v>14.555999999999999</v>
      </c>
      <c r="AA48" s="703">
        <v>19.497</v>
      </c>
      <c r="AB48" s="704"/>
      <c r="AD48" s="701">
        <v>37</v>
      </c>
      <c r="AE48" s="702">
        <v>261.42899999999997</v>
      </c>
      <c r="AF48" s="702">
        <v>210.267</v>
      </c>
      <c r="AG48" s="703">
        <v>298.97899999999998</v>
      </c>
      <c r="AH48" s="704"/>
      <c r="AJ48" s="701">
        <v>37</v>
      </c>
      <c r="AK48" s="702">
        <v>230.80799999999999</v>
      </c>
      <c r="AL48" s="702">
        <v>228.143</v>
      </c>
      <c r="AM48" s="703">
        <v>244.358</v>
      </c>
      <c r="AN48" s="704"/>
      <c r="AP48" s="701">
        <v>37</v>
      </c>
      <c r="AQ48" s="702">
        <v>19.829999999999998</v>
      </c>
      <c r="AR48" s="702">
        <v>6.11</v>
      </c>
      <c r="AS48" s="703">
        <v>24.77</v>
      </c>
      <c r="AT48" s="704"/>
      <c r="AV48" s="701">
        <v>37</v>
      </c>
      <c r="AW48" s="702">
        <v>117.69</v>
      </c>
      <c r="AX48" s="702">
        <v>73.400000000000006</v>
      </c>
      <c r="AY48" s="703">
        <v>132.69</v>
      </c>
      <c r="AZ48" s="704"/>
      <c r="BB48" s="701">
        <v>37</v>
      </c>
      <c r="BC48" s="702">
        <v>58.01</v>
      </c>
      <c r="BD48" s="702">
        <v>31.96</v>
      </c>
      <c r="BE48" s="703">
        <v>63.65</v>
      </c>
      <c r="BF48" s="704"/>
      <c r="BH48" s="701">
        <v>37</v>
      </c>
      <c r="BI48" s="702">
        <v>11.09816</v>
      </c>
      <c r="BJ48" s="702">
        <v>12.632999999999999</v>
      </c>
      <c r="BK48" s="703">
        <v>4.7385400000000004</v>
      </c>
      <c r="BL48" s="704"/>
      <c r="BN48" s="701">
        <v>37</v>
      </c>
      <c r="BO48" s="702">
        <v>29.341999999999999</v>
      </c>
      <c r="BP48" s="702">
        <v>27.045000000000002</v>
      </c>
      <c r="BQ48" s="703">
        <v>41.485999999999997</v>
      </c>
      <c r="BR48" s="704"/>
      <c r="BT48" s="701">
        <v>37</v>
      </c>
      <c r="BU48" s="702">
        <v>182.27199999999999</v>
      </c>
      <c r="BV48" s="702">
        <v>158.86099999999999</v>
      </c>
      <c r="BW48" s="703">
        <v>199.108</v>
      </c>
      <c r="BX48" s="704"/>
      <c r="BZ48" s="701">
        <v>37</v>
      </c>
      <c r="CA48" s="702">
        <v>152.065</v>
      </c>
      <c r="CB48" s="702">
        <v>127.508</v>
      </c>
      <c r="CC48" s="703">
        <v>151.59200000000001</v>
      </c>
      <c r="CD48" s="704"/>
      <c r="CF48" s="701">
        <v>37</v>
      </c>
      <c r="CG48" s="702"/>
      <c r="CH48" s="702"/>
      <c r="CI48" s="703"/>
      <c r="CJ48" s="704"/>
      <c r="CL48" s="701">
        <v>37</v>
      </c>
      <c r="CM48" s="702"/>
      <c r="CN48" s="702"/>
      <c r="CO48" s="703"/>
      <c r="CP48" s="704"/>
      <c r="CR48" s="701">
        <v>37</v>
      </c>
      <c r="CS48" s="702"/>
      <c r="CT48" s="702"/>
      <c r="CU48" s="703"/>
      <c r="CV48" s="704"/>
      <c r="CX48" s="701">
        <v>37</v>
      </c>
      <c r="CY48" s="702"/>
      <c r="CZ48" s="702"/>
      <c r="DA48" s="703"/>
      <c r="DB48" s="704"/>
      <c r="DD48" s="701">
        <v>37</v>
      </c>
      <c r="DE48" s="702"/>
      <c r="DF48" s="702"/>
      <c r="DG48" s="703"/>
      <c r="DH48" s="704"/>
      <c r="DJ48" s="701">
        <v>37</v>
      </c>
      <c r="DK48" s="702"/>
      <c r="DL48" s="702"/>
      <c r="DM48" s="703"/>
      <c r="DN48" s="704"/>
      <c r="DP48" s="701">
        <v>37</v>
      </c>
      <c r="DQ48" s="702"/>
      <c r="DR48" s="702"/>
      <c r="DS48" s="703"/>
      <c r="DT48" s="704"/>
      <c r="DV48" s="701">
        <v>37</v>
      </c>
      <c r="DW48" s="702"/>
      <c r="DX48" s="702"/>
      <c r="DY48" s="703"/>
      <c r="DZ48" s="704"/>
      <c r="EB48" s="701">
        <v>37</v>
      </c>
      <c r="EC48" s="702"/>
      <c r="ED48" s="702"/>
      <c r="EE48" s="703"/>
      <c r="EF48" s="704"/>
      <c r="EH48" s="695">
        <v>37</v>
      </c>
      <c r="EI48" s="666"/>
      <c r="EJ48" s="666"/>
      <c r="EK48" s="645"/>
      <c r="EL48" s="640"/>
      <c r="EN48" s="695">
        <v>37</v>
      </c>
      <c r="EO48" s="666"/>
      <c r="EP48" s="666"/>
      <c r="EQ48" s="645"/>
      <c r="ER48" s="640"/>
      <c r="ET48" s="695">
        <v>37</v>
      </c>
      <c r="EU48" s="666"/>
      <c r="EV48" s="666"/>
      <c r="EW48" s="645"/>
      <c r="EX48" s="640"/>
    </row>
    <row r="49" spans="12:154">
      <c r="L49" s="701">
        <v>38</v>
      </c>
      <c r="M49" s="702">
        <v>5.1178999999999997</v>
      </c>
      <c r="N49" s="702">
        <v>0.22700000000000001</v>
      </c>
      <c r="O49" s="703">
        <v>20.126999999999999</v>
      </c>
      <c r="P49" s="704"/>
      <c r="R49" s="701">
        <v>38</v>
      </c>
      <c r="S49" s="702">
        <v>9.1631900000000002</v>
      </c>
      <c r="T49" s="702">
        <v>6.6578499999999998</v>
      </c>
      <c r="U49" s="703">
        <v>4.1420300000000001</v>
      </c>
      <c r="V49" s="704"/>
      <c r="X49" s="701">
        <v>38</v>
      </c>
      <c r="Y49" s="702">
        <v>11.8</v>
      </c>
      <c r="Z49" s="702">
        <v>15.157</v>
      </c>
      <c r="AA49" s="703">
        <v>20.135999999999999</v>
      </c>
      <c r="AB49" s="704"/>
      <c r="AD49" s="701">
        <v>38</v>
      </c>
      <c r="AE49" s="702">
        <v>253.24100000000001</v>
      </c>
      <c r="AF49" s="702">
        <v>203.304</v>
      </c>
      <c r="AG49" s="703">
        <v>291.31</v>
      </c>
      <c r="AH49" s="704"/>
      <c r="AJ49" s="701">
        <v>38</v>
      </c>
      <c r="AK49" s="702">
        <v>230.17400000000001</v>
      </c>
      <c r="AL49" s="702">
        <v>227.577</v>
      </c>
      <c r="AM49" s="703">
        <v>243.709</v>
      </c>
      <c r="AN49" s="704"/>
      <c r="AP49" s="701">
        <v>38</v>
      </c>
      <c r="AQ49" s="702">
        <v>14.8</v>
      </c>
      <c r="AR49" s="702">
        <v>4.1399999999999997</v>
      </c>
      <c r="AS49" s="703">
        <v>21.85</v>
      </c>
      <c r="AT49" s="704"/>
      <c r="AV49" s="701">
        <v>38</v>
      </c>
      <c r="AW49" s="702">
        <v>108.71</v>
      </c>
      <c r="AX49" s="702">
        <v>69.510000000000005</v>
      </c>
      <c r="AY49" s="703">
        <v>118.81</v>
      </c>
      <c r="AZ49" s="704"/>
      <c r="BB49" s="701">
        <v>38</v>
      </c>
      <c r="BC49" s="702">
        <v>51.3</v>
      </c>
      <c r="BD49" s="702">
        <v>30.6</v>
      </c>
      <c r="BE49" s="703">
        <v>58.3</v>
      </c>
      <c r="BF49" s="704"/>
      <c r="BH49" s="701">
        <v>38</v>
      </c>
      <c r="BI49" s="702">
        <v>8.1864799999999995</v>
      </c>
      <c r="BJ49" s="702">
        <v>12.511760000000001</v>
      </c>
      <c r="BK49" s="703">
        <v>1.8517300000000001</v>
      </c>
      <c r="BL49" s="704"/>
      <c r="BN49" s="701">
        <v>38</v>
      </c>
      <c r="BO49" s="702">
        <v>24.901</v>
      </c>
      <c r="BP49" s="702">
        <v>23.696999999999999</v>
      </c>
      <c r="BQ49" s="703">
        <v>37.383000000000003</v>
      </c>
      <c r="BR49" s="704"/>
      <c r="BT49" s="701">
        <v>38</v>
      </c>
      <c r="BU49" s="702">
        <v>176.78100000000001</v>
      </c>
      <c r="BV49" s="702">
        <v>155.50800000000001</v>
      </c>
      <c r="BW49" s="703">
        <v>191.923</v>
      </c>
      <c r="BX49" s="704"/>
      <c r="BZ49" s="701">
        <v>38</v>
      </c>
      <c r="CA49" s="702">
        <v>132.51499999999999</v>
      </c>
      <c r="CB49" s="702">
        <v>123.447</v>
      </c>
      <c r="CC49" s="703">
        <v>140.809</v>
      </c>
      <c r="CD49" s="704"/>
      <c r="CF49" s="701">
        <v>38</v>
      </c>
      <c r="CG49" s="702"/>
      <c r="CH49" s="702"/>
      <c r="CI49" s="703"/>
      <c r="CJ49" s="704"/>
      <c r="CL49" s="701">
        <v>38</v>
      </c>
      <c r="CM49" s="702"/>
      <c r="CN49" s="702"/>
      <c r="CO49" s="703"/>
      <c r="CP49" s="704"/>
      <c r="CR49" s="701">
        <v>38</v>
      </c>
      <c r="CS49" s="702"/>
      <c r="CT49" s="702"/>
      <c r="CU49" s="703"/>
      <c r="CV49" s="704"/>
      <c r="CX49" s="701">
        <v>38</v>
      </c>
      <c r="CY49" s="702"/>
      <c r="CZ49" s="702"/>
      <c r="DA49" s="703"/>
      <c r="DB49" s="704"/>
      <c r="DD49" s="701">
        <v>38</v>
      </c>
      <c r="DE49" s="702"/>
      <c r="DF49" s="702"/>
      <c r="DG49" s="703"/>
      <c r="DH49" s="704"/>
      <c r="DJ49" s="701">
        <v>38</v>
      </c>
      <c r="DK49" s="702"/>
      <c r="DL49" s="702"/>
      <c r="DM49" s="703"/>
      <c r="DN49" s="704"/>
      <c r="DP49" s="701">
        <v>38</v>
      </c>
      <c r="DQ49" s="702"/>
      <c r="DR49" s="702"/>
      <c r="DS49" s="703"/>
      <c r="DT49" s="704"/>
      <c r="DV49" s="701">
        <v>38</v>
      </c>
      <c r="DW49" s="702"/>
      <c r="DX49" s="702"/>
      <c r="DY49" s="703"/>
      <c r="DZ49" s="704"/>
      <c r="EB49" s="701">
        <v>38</v>
      </c>
      <c r="EC49" s="702"/>
      <c r="ED49" s="702"/>
      <c r="EE49" s="703"/>
      <c r="EF49" s="704"/>
      <c r="EH49" s="695">
        <v>38</v>
      </c>
      <c r="EI49" s="666"/>
      <c r="EJ49" s="666"/>
      <c r="EK49" s="645"/>
      <c r="EL49" s="640"/>
      <c r="EN49" s="695">
        <v>38</v>
      </c>
      <c r="EO49" s="666"/>
      <c r="EP49" s="666"/>
      <c r="EQ49" s="645"/>
      <c r="ER49" s="640"/>
      <c r="ET49" s="695">
        <v>38</v>
      </c>
      <c r="EU49" s="666"/>
      <c r="EV49" s="666"/>
      <c r="EW49" s="645"/>
      <c r="EX49" s="640"/>
    </row>
    <row r="50" spans="12:154">
      <c r="L50" s="701">
        <v>39</v>
      </c>
      <c r="M50" s="702">
        <v>3.278</v>
      </c>
      <c r="N50" s="702">
        <v>0.31674000000000002</v>
      </c>
      <c r="O50" s="703">
        <v>14.269</v>
      </c>
      <c r="P50" s="704"/>
      <c r="R50" s="701">
        <v>39</v>
      </c>
      <c r="S50" s="702">
        <v>7.4690399999999997</v>
      </c>
      <c r="T50" s="702">
        <v>9.04331</v>
      </c>
      <c r="U50" s="703">
        <v>4.5357399999999997</v>
      </c>
      <c r="V50" s="704"/>
      <c r="X50" s="701">
        <v>39</v>
      </c>
      <c r="Y50" s="702">
        <v>11.196999999999999</v>
      </c>
      <c r="Z50" s="702">
        <v>13.507</v>
      </c>
      <c r="AA50" s="703">
        <v>21.244</v>
      </c>
      <c r="AB50" s="704"/>
      <c r="AD50" s="701">
        <v>39</v>
      </c>
      <c r="AE50" s="702">
        <v>244.69300000000001</v>
      </c>
      <c r="AF50" s="702">
        <v>196.76900000000001</v>
      </c>
      <c r="AG50" s="703">
        <v>283.77199999999999</v>
      </c>
      <c r="AH50" s="704"/>
      <c r="AJ50" s="701">
        <v>39</v>
      </c>
      <c r="AK50" s="702">
        <v>229.53700000000001</v>
      </c>
      <c r="AL50" s="702">
        <v>226.94300000000001</v>
      </c>
      <c r="AM50" s="703">
        <v>242.994</v>
      </c>
      <c r="AN50" s="704"/>
      <c r="AP50" s="701">
        <v>39</v>
      </c>
      <c r="AQ50" s="702">
        <v>11.9</v>
      </c>
      <c r="AR50" s="702">
        <v>2.9929999999999999</v>
      </c>
      <c r="AS50" s="703">
        <v>17.91</v>
      </c>
      <c r="AT50" s="704"/>
      <c r="AV50" s="701">
        <v>39</v>
      </c>
      <c r="AW50" s="702">
        <v>91.8</v>
      </c>
      <c r="AX50" s="702">
        <v>64.09</v>
      </c>
      <c r="AY50" s="703">
        <v>107.3</v>
      </c>
      <c r="AZ50" s="704"/>
      <c r="BB50" s="701">
        <v>39</v>
      </c>
      <c r="BC50" s="702">
        <v>50.18</v>
      </c>
      <c r="BD50" s="702">
        <v>28.96</v>
      </c>
      <c r="BE50" s="703">
        <v>54.65</v>
      </c>
      <c r="BF50" s="704"/>
      <c r="BH50" s="701">
        <v>39</v>
      </c>
      <c r="BI50" s="702">
        <v>5.2450000000000001</v>
      </c>
      <c r="BJ50" s="702">
        <v>12.368679999999999</v>
      </c>
      <c r="BK50" s="703">
        <v>0.15282000000000001</v>
      </c>
      <c r="BL50" s="704"/>
      <c r="BN50" s="701">
        <v>39</v>
      </c>
      <c r="BO50" s="702">
        <v>20.411000000000001</v>
      </c>
      <c r="BP50" s="702">
        <v>20.542000000000002</v>
      </c>
      <c r="BQ50" s="703">
        <v>33.682000000000002</v>
      </c>
      <c r="BR50" s="704"/>
      <c r="BT50" s="701">
        <v>39</v>
      </c>
      <c r="BU50" s="702">
        <v>169.20699999999999</v>
      </c>
      <c r="BV50" s="702">
        <v>153.41999999999999</v>
      </c>
      <c r="BW50" s="703">
        <v>184.51400000000001</v>
      </c>
      <c r="BX50" s="704"/>
      <c r="BZ50" s="701">
        <v>39</v>
      </c>
      <c r="CA50" s="702">
        <v>131.601</v>
      </c>
      <c r="CB50" s="702">
        <v>107.521</v>
      </c>
      <c r="CC50" s="703">
        <v>125.7</v>
      </c>
      <c r="CD50" s="704"/>
      <c r="CF50" s="701">
        <v>39</v>
      </c>
      <c r="CG50" s="702"/>
      <c r="CH50" s="702"/>
      <c r="CI50" s="703"/>
      <c r="CJ50" s="704"/>
      <c r="CL50" s="701">
        <v>39</v>
      </c>
      <c r="CM50" s="702"/>
      <c r="CN50" s="702"/>
      <c r="CO50" s="703"/>
      <c r="CP50" s="704"/>
      <c r="CR50" s="701">
        <v>39</v>
      </c>
      <c r="CS50" s="702"/>
      <c r="CT50" s="702"/>
      <c r="CU50" s="703"/>
      <c r="CV50" s="704"/>
      <c r="CX50" s="701">
        <v>39</v>
      </c>
      <c r="CY50" s="702"/>
      <c r="CZ50" s="702"/>
      <c r="DA50" s="703"/>
      <c r="DB50" s="704"/>
      <c r="DD50" s="701">
        <v>39</v>
      </c>
      <c r="DE50" s="702"/>
      <c r="DF50" s="702"/>
      <c r="DG50" s="703"/>
      <c r="DH50" s="704"/>
      <c r="DJ50" s="701">
        <v>39</v>
      </c>
      <c r="DK50" s="702"/>
      <c r="DL50" s="702"/>
      <c r="DM50" s="703"/>
      <c r="DN50" s="704"/>
      <c r="DP50" s="701">
        <v>39</v>
      </c>
      <c r="DQ50" s="702"/>
      <c r="DR50" s="702"/>
      <c r="DS50" s="703"/>
      <c r="DT50" s="704"/>
      <c r="DV50" s="701">
        <v>39</v>
      </c>
      <c r="DW50" s="702"/>
      <c r="DX50" s="702"/>
      <c r="DY50" s="703"/>
      <c r="DZ50" s="704"/>
      <c r="EB50" s="701">
        <v>39</v>
      </c>
      <c r="EC50" s="702"/>
      <c r="ED50" s="702"/>
      <c r="EE50" s="703"/>
      <c r="EF50" s="704"/>
      <c r="EH50" s="695">
        <v>39</v>
      </c>
      <c r="EI50" s="666"/>
      <c r="EJ50" s="666"/>
      <c r="EK50" s="645"/>
      <c r="EL50" s="640"/>
      <c r="EN50" s="695">
        <v>39</v>
      </c>
      <c r="EO50" s="666"/>
      <c r="EP50" s="666"/>
      <c r="EQ50" s="645"/>
      <c r="ER50" s="640"/>
      <c r="ET50" s="695">
        <v>39</v>
      </c>
      <c r="EU50" s="666"/>
      <c r="EV50" s="666"/>
      <c r="EW50" s="645"/>
      <c r="EX50" s="640"/>
    </row>
    <row r="51" spans="12:154">
      <c r="L51" s="701">
        <v>40</v>
      </c>
      <c r="M51" s="702">
        <v>0.95</v>
      </c>
      <c r="N51" s="702">
        <v>0.2</v>
      </c>
      <c r="O51" s="703">
        <v>9.4369999999999994</v>
      </c>
      <c r="P51" s="704"/>
      <c r="R51" s="701">
        <v>40</v>
      </c>
      <c r="S51" s="702">
        <v>8.2416</v>
      </c>
      <c r="T51" s="702">
        <v>9.3686199999999999</v>
      </c>
      <c r="U51" s="703">
        <v>5.9834300000000002</v>
      </c>
      <c r="V51" s="704"/>
      <c r="X51" s="701">
        <v>40</v>
      </c>
      <c r="Y51" s="702">
        <v>11.542</v>
      </c>
      <c r="Z51" s="702">
        <v>13.553000000000001</v>
      </c>
      <c r="AA51" s="703">
        <v>21.969000000000001</v>
      </c>
      <c r="AB51" s="704"/>
      <c r="AD51" s="701">
        <v>40</v>
      </c>
      <c r="AE51" s="702">
        <v>236.32599999999999</v>
      </c>
      <c r="AF51" s="702">
        <v>190.02799999999999</v>
      </c>
      <c r="AG51" s="703">
        <v>277.19400000000002</v>
      </c>
      <c r="AH51" s="704"/>
      <c r="AJ51" s="701">
        <v>40</v>
      </c>
      <c r="AK51" s="702">
        <v>228.84399999999999</v>
      </c>
      <c r="AL51" s="702">
        <v>226.369</v>
      </c>
      <c r="AM51" s="703">
        <v>242.27600000000001</v>
      </c>
      <c r="AN51" s="704"/>
      <c r="AP51" s="701">
        <v>40</v>
      </c>
      <c r="AQ51" s="702">
        <v>10.47</v>
      </c>
      <c r="AR51" s="702">
        <v>2.2229999999999999</v>
      </c>
      <c r="AS51" s="703">
        <v>14.641</v>
      </c>
      <c r="AT51" s="704"/>
      <c r="AV51" s="701">
        <v>40</v>
      </c>
      <c r="AW51" s="702">
        <v>83.27</v>
      </c>
      <c r="AX51" s="702">
        <v>59.64</v>
      </c>
      <c r="AY51" s="703">
        <v>96.19</v>
      </c>
      <c r="AZ51" s="704"/>
      <c r="BB51" s="701">
        <v>40</v>
      </c>
      <c r="BC51" s="702">
        <v>46.43</v>
      </c>
      <c r="BD51" s="702">
        <v>27.06</v>
      </c>
      <c r="BE51" s="703">
        <v>51.02</v>
      </c>
      <c r="BF51" s="704"/>
      <c r="BH51" s="701">
        <v>40</v>
      </c>
      <c r="BI51" s="702">
        <v>2.8734199999999999</v>
      </c>
      <c r="BJ51" s="702">
        <v>12.258789999999999</v>
      </c>
      <c r="BK51" s="703">
        <v>5.9769999999999997E-2</v>
      </c>
      <c r="BL51" s="704"/>
      <c r="BN51" s="701">
        <v>40</v>
      </c>
      <c r="BO51" s="702">
        <v>17.067</v>
      </c>
      <c r="BP51" s="702">
        <v>18.646999999999998</v>
      </c>
      <c r="BQ51" s="703">
        <v>30.347000000000001</v>
      </c>
      <c r="BR51" s="704"/>
      <c r="BT51" s="701">
        <v>40</v>
      </c>
      <c r="BU51" s="702">
        <v>151.602</v>
      </c>
      <c r="BV51" s="702">
        <v>145.35</v>
      </c>
      <c r="BW51" s="703">
        <v>179.47</v>
      </c>
      <c r="BX51" s="704"/>
      <c r="BZ51" s="701">
        <v>40</v>
      </c>
      <c r="CA51" s="702">
        <v>127.056</v>
      </c>
      <c r="CB51" s="702">
        <v>101.464</v>
      </c>
      <c r="CC51" s="703">
        <v>114.979</v>
      </c>
      <c r="CD51" s="704"/>
      <c r="CF51" s="701">
        <v>40</v>
      </c>
      <c r="CG51" s="702"/>
      <c r="CH51" s="702"/>
      <c r="CI51" s="703"/>
      <c r="CJ51" s="704"/>
      <c r="CL51" s="701">
        <v>40</v>
      </c>
      <c r="CM51" s="702"/>
      <c r="CN51" s="702"/>
      <c r="CO51" s="703"/>
      <c r="CP51" s="704"/>
      <c r="CR51" s="701">
        <v>40</v>
      </c>
      <c r="CS51" s="702"/>
      <c r="CT51" s="702"/>
      <c r="CU51" s="703"/>
      <c r="CV51" s="704"/>
      <c r="CX51" s="701">
        <v>40</v>
      </c>
      <c r="CY51" s="702"/>
      <c r="CZ51" s="702"/>
      <c r="DA51" s="703"/>
      <c r="DB51" s="704"/>
      <c r="DD51" s="701">
        <v>40</v>
      </c>
      <c r="DE51" s="702"/>
      <c r="DF51" s="702"/>
      <c r="DG51" s="703"/>
      <c r="DH51" s="704"/>
      <c r="DJ51" s="701">
        <v>40</v>
      </c>
      <c r="DK51" s="702"/>
      <c r="DL51" s="702"/>
      <c r="DM51" s="703"/>
      <c r="DN51" s="704"/>
      <c r="DP51" s="701">
        <v>40</v>
      </c>
      <c r="DQ51" s="702"/>
      <c r="DR51" s="702"/>
      <c r="DS51" s="703"/>
      <c r="DT51" s="704"/>
      <c r="DV51" s="701">
        <v>40</v>
      </c>
      <c r="DW51" s="702"/>
      <c r="DX51" s="702"/>
      <c r="DY51" s="703"/>
      <c r="DZ51" s="704"/>
      <c r="EB51" s="701">
        <v>40</v>
      </c>
      <c r="EC51" s="702"/>
      <c r="ED51" s="702"/>
      <c r="EE51" s="703"/>
      <c r="EF51" s="704"/>
      <c r="EH51" s="695">
        <v>40</v>
      </c>
      <c r="EI51" s="666"/>
      <c r="EJ51" s="666"/>
      <c r="EK51" s="645"/>
      <c r="EL51" s="640"/>
      <c r="EN51" s="695">
        <v>40</v>
      </c>
      <c r="EO51" s="666"/>
      <c r="EP51" s="666"/>
      <c r="EQ51" s="645"/>
      <c r="ER51" s="640"/>
      <c r="ET51" s="695">
        <v>40</v>
      </c>
      <c r="EU51" s="666"/>
      <c r="EV51" s="666"/>
      <c r="EW51" s="645"/>
      <c r="EX51" s="640"/>
    </row>
    <row r="52" spans="12:154">
      <c r="L52" s="701">
        <v>41</v>
      </c>
      <c r="M52" s="702">
        <v>0.45400000000000001</v>
      </c>
      <c r="N52" s="702">
        <v>0.52600000000000002</v>
      </c>
      <c r="O52" s="703">
        <v>6.4403699999999997</v>
      </c>
      <c r="P52" s="704"/>
      <c r="R52" s="701">
        <v>41</v>
      </c>
      <c r="S52" s="702">
        <v>1.6935899999999999</v>
      </c>
      <c r="T52" s="702">
        <v>9.7717600000000004</v>
      </c>
      <c r="U52" s="703">
        <v>4.9361699999999997</v>
      </c>
      <c r="V52" s="704"/>
      <c r="X52" s="701">
        <v>41</v>
      </c>
      <c r="Y52" s="702">
        <v>11.058999999999999</v>
      </c>
      <c r="Z52" s="702">
        <v>13.538</v>
      </c>
      <c r="AA52" s="703">
        <v>22.631</v>
      </c>
      <c r="AB52" s="704"/>
      <c r="AD52" s="701">
        <v>41</v>
      </c>
      <c r="AE52" s="702">
        <v>227.797</v>
      </c>
      <c r="AF52" s="702">
        <v>174.73400000000001</v>
      </c>
      <c r="AG52" s="703">
        <v>270.46600000000001</v>
      </c>
      <c r="AH52" s="704"/>
      <c r="AJ52" s="701">
        <v>41</v>
      </c>
      <c r="AK52" s="702">
        <v>228.14699999999999</v>
      </c>
      <c r="AL52" s="702">
        <v>225.67599999999999</v>
      </c>
      <c r="AM52" s="703">
        <v>241.626</v>
      </c>
      <c r="AN52" s="704"/>
      <c r="AP52" s="701">
        <v>41</v>
      </c>
      <c r="AQ52" s="702">
        <v>5.78</v>
      </c>
      <c r="AR52" s="702">
        <v>1.663</v>
      </c>
      <c r="AS52" s="703">
        <v>11.861000000000001</v>
      </c>
      <c r="AT52" s="704"/>
      <c r="AV52" s="701">
        <v>41</v>
      </c>
      <c r="AW52" s="702">
        <v>72.739999999999995</v>
      </c>
      <c r="AX52" s="702">
        <v>55.48</v>
      </c>
      <c r="AY52" s="703">
        <v>87.35</v>
      </c>
      <c r="AZ52" s="704"/>
      <c r="BB52" s="701">
        <v>41</v>
      </c>
      <c r="BC52" s="702">
        <v>44.49</v>
      </c>
      <c r="BD52" s="702">
        <v>26.51</v>
      </c>
      <c r="BE52" s="703">
        <v>46.85</v>
      </c>
      <c r="BF52" s="704"/>
      <c r="BH52" s="701">
        <v>41</v>
      </c>
      <c r="BI52" s="702">
        <v>2.544</v>
      </c>
      <c r="BJ52" s="702">
        <v>11.37379</v>
      </c>
      <c r="BK52" s="703">
        <v>3.6519999999999997E-2</v>
      </c>
      <c r="BL52" s="704"/>
      <c r="BN52" s="701">
        <v>41</v>
      </c>
      <c r="BO52" s="702">
        <v>14.009</v>
      </c>
      <c r="BP52" s="702">
        <v>17.751999999999999</v>
      </c>
      <c r="BQ52" s="703">
        <v>26.315999999999999</v>
      </c>
      <c r="BR52" s="704"/>
      <c r="BT52" s="701">
        <v>41</v>
      </c>
      <c r="BU52" s="702">
        <v>154.06700000000001</v>
      </c>
      <c r="BV52" s="702">
        <v>143.97499999999999</v>
      </c>
      <c r="BW52" s="703">
        <v>170.803</v>
      </c>
      <c r="BX52" s="704"/>
      <c r="BZ52" s="701">
        <v>41</v>
      </c>
      <c r="CA52" s="702">
        <v>114.979</v>
      </c>
      <c r="CB52" s="702">
        <v>87.491</v>
      </c>
      <c r="CC52" s="703">
        <v>104.05</v>
      </c>
      <c r="CD52" s="704"/>
      <c r="CF52" s="701">
        <v>41</v>
      </c>
      <c r="CG52" s="702"/>
      <c r="CH52" s="702"/>
      <c r="CI52" s="703"/>
      <c r="CJ52" s="704"/>
      <c r="CL52" s="701">
        <v>41</v>
      </c>
      <c r="CM52" s="702"/>
      <c r="CN52" s="702"/>
      <c r="CO52" s="703"/>
      <c r="CP52" s="704"/>
      <c r="CR52" s="701">
        <v>41</v>
      </c>
      <c r="CS52" s="702"/>
      <c r="CT52" s="702"/>
      <c r="CU52" s="703"/>
      <c r="CV52" s="704"/>
      <c r="CX52" s="701">
        <v>41</v>
      </c>
      <c r="CY52" s="702"/>
      <c r="CZ52" s="702"/>
      <c r="DA52" s="703"/>
      <c r="DB52" s="704"/>
      <c r="DD52" s="701">
        <v>41</v>
      </c>
      <c r="DE52" s="702"/>
      <c r="DF52" s="702"/>
      <c r="DG52" s="703"/>
      <c r="DH52" s="704"/>
      <c r="DJ52" s="701">
        <v>41</v>
      </c>
      <c r="DK52" s="702"/>
      <c r="DL52" s="702"/>
      <c r="DM52" s="703"/>
      <c r="DN52" s="704"/>
      <c r="DP52" s="701">
        <v>41</v>
      </c>
      <c r="DQ52" s="702"/>
      <c r="DR52" s="702"/>
      <c r="DS52" s="703"/>
      <c r="DT52" s="704"/>
      <c r="DV52" s="701">
        <v>41</v>
      </c>
      <c r="DW52" s="702"/>
      <c r="DX52" s="702"/>
      <c r="DY52" s="703"/>
      <c r="DZ52" s="704"/>
      <c r="EB52" s="701">
        <v>41</v>
      </c>
      <c r="EC52" s="702"/>
      <c r="ED52" s="702"/>
      <c r="EE52" s="703"/>
      <c r="EF52" s="704"/>
      <c r="EH52" s="695">
        <v>41</v>
      </c>
      <c r="EI52" s="666"/>
      <c r="EJ52" s="666"/>
      <c r="EK52" s="645"/>
      <c r="EL52" s="640"/>
      <c r="EN52" s="695">
        <v>41</v>
      </c>
      <c r="EO52" s="666"/>
      <c r="EP52" s="666"/>
      <c r="EQ52" s="645"/>
      <c r="ER52" s="640"/>
      <c r="ET52" s="695">
        <v>41</v>
      </c>
      <c r="EU52" s="666"/>
      <c r="EV52" s="666"/>
      <c r="EW52" s="645"/>
      <c r="EX52" s="640"/>
    </row>
    <row r="53" spans="12:154">
      <c r="L53" s="701">
        <v>42</v>
      </c>
      <c r="M53" s="702">
        <v>0.498</v>
      </c>
      <c r="N53" s="702">
        <v>0.74099999999999999</v>
      </c>
      <c r="O53" s="703">
        <v>6.7220000000000004</v>
      </c>
      <c r="P53" s="704"/>
      <c r="R53" s="701">
        <v>42</v>
      </c>
      <c r="S53" s="702">
        <v>4.9916200000000002</v>
      </c>
      <c r="T53" s="702">
        <v>7.3199899999999998</v>
      </c>
      <c r="U53" s="703">
        <v>6.8728199999999999</v>
      </c>
      <c r="V53" s="704"/>
      <c r="X53" s="701">
        <v>42</v>
      </c>
      <c r="Y53" s="702">
        <v>10.561</v>
      </c>
      <c r="Z53" s="702">
        <v>12.882</v>
      </c>
      <c r="AA53" s="703">
        <v>23.263000000000002</v>
      </c>
      <c r="AB53" s="704"/>
      <c r="AD53" s="701">
        <v>42</v>
      </c>
      <c r="AE53" s="702">
        <v>219.47</v>
      </c>
      <c r="AF53" s="702">
        <v>168.92599999999999</v>
      </c>
      <c r="AG53" s="703">
        <v>264.512</v>
      </c>
      <c r="AH53" s="704"/>
      <c r="AJ53" s="701">
        <v>42</v>
      </c>
      <c r="AK53" s="702">
        <v>227.50899999999999</v>
      </c>
      <c r="AL53" s="702">
        <v>225.03899999999999</v>
      </c>
      <c r="AM53" s="703">
        <v>240.851</v>
      </c>
      <c r="AN53" s="704"/>
      <c r="AP53" s="701">
        <v>42</v>
      </c>
      <c r="AQ53" s="702">
        <v>2.37</v>
      </c>
      <c r="AR53" s="702">
        <v>1.1850000000000001</v>
      </c>
      <c r="AS53" s="703">
        <v>8.8219999999999992</v>
      </c>
      <c r="AT53" s="704"/>
      <c r="AV53" s="701">
        <v>42</v>
      </c>
      <c r="AW53" s="702">
        <v>66.569999999999993</v>
      </c>
      <c r="AX53" s="702">
        <v>48.25</v>
      </c>
      <c r="AY53" s="703">
        <v>79.72</v>
      </c>
      <c r="AZ53" s="704"/>
      <c r="BB53" s="701">
        <v>42</v>
      </c>
      <c r="BC53" s="702">
        <v>39.93</v>
      </c>
      <c r="BD53" s="702">
        <v>27.87</v>
      </c>
      <c r="BE53" s="703">
        <v>41.86</v>
      </c>
      <c r="BF53" s="704"/>
      <c r="BH53" s="701">
        <v>42</v>
      </c>
      <c r="BI53" s="702">
        <v>0.47025</v>
      </c>
      <c r="BJ53" s="702">
        <v>10.39049</v>
      </c>
      <c r="BK53" s="703">
        <v>3.6519999999999997E-2</v>
      </c>
      <c r="BL53" s="704"/>
      <c r="BN53" s="701">
        <v>42</v>
      </c>
      <c r="BO53" s="702">
        <v>11.071999999999999</v>
      </c>
      <c r="BP53" s="702">
        <v>17.015999999999998</v>
      </c>
      <c r="BQ53" s="703">
        <v>22.265999999999998</v>
      </c>
      <c r="BR53" s="704"/>
      <c r="BT53" s="701">
        <v>42</v>
      </c>
      <c r="BU53" s="702">
        <v>147.15899999999999</v>
      </c>
      <c r="BV53" s="702">
        <v>140.572</v>
      </c>
      <c r="BW53" s="703">
        <v>167.434</v>
      </c>
      <c r="BX53" s="704"/>
      <c r="BZ53" s="701">
        <v>42</v>
      </c>
      <c r="CA53" s="702">
        <v>110.14</v>
      </c>
      <c r="CB53" s="702">
        <v>80.688999999999993</v>
      </c>
      <c r="CC53" s="703">
        <v>95.909000000000006</v>
      </c>
      <c r="CD53" s="704"/>
      <c r="CF53" s="701">
        <v>42</v>
      </c>
      <c r="CG53" s="702"/>
      <c r="CH53" s="702"/>
      <c r="CI53" s="703"/>
      <c r="CJ53" s="704"/>
      <c r="CL53" s="701">
        <v>42</v>
      </c>
      <c r="CM53" s="702"/>
      <c r="CN53" s="702"/>
      <c r="CO53" s="703"/>
      <c r="CP53" s="704"/>
      <c r="CR53" s="701">
        <v>42</v>
      </c>
      <c r="CS53" s="702"/>
      <c r="CT53" s="702"/>
      <c r="CU53" s="703"/>
      <c r="CV53" s="704"/>
      <c r="CX53" s="701">
        <v>42</v>
      </c>
      <c r="CY53" s="702"/>
      <c r="CZ53" s="702"/>
      <c r="DA53" s="703"/>
      <c r="DB53" s="704"/>
      <c r="DD53" s="701">
        <v>42</v>
      </c>
      <c r="DE53" s="702"/>
      <c r="DF53" s="702"/>
      <c r="DG53" s="703"/>
      <c r="DH53" s="704"/>
      <c r="DJ53" s="701">
        <v>42</v>
      </c>
      <c r="DK53" s="702"/>
      <c r="DL53" s="702"/>
      <c r="DM53" s="703"/>
      <c r="DN53" s="704"/>
      <c r="DP53" s="701">
        <v>42</v>
      </c>
      <c r="DQ53" s="702"/>
      <c r="DR53" s="702"/>
      <c r="DS53" s="703"/>
      <c r="DT53" s="704"/>
      <c r="DV53" s="701">
        <v>42</v>
      </c>
      <c r="DW53" s="702"/>
      <c r="DX53" s="702"/>
      <c r="DY53" s="703"/>
      <c r="DZ53" s="704"/>
      <c r="EB53" s="701">
        <v>42</v>
      </c>
      <c r="EC53" s="702"/>
      <c r="ED53" s="702"/>
      <c r="EE53" s="703"/>
      <c r="EF53" s="704"/>
      <c r="EH53" s="695">
        <v>42</v>
      </c>
      <c r="EI53" s="666"/>
      <c r="EJ53" s="666"/>
      <c r="EK53" s="645"/>
      <c r="EL53" s="640"/>
      <c r="EN53" s="695">
        <v>42</v>
      </c>
      <c r="EO53" s="666"/>
      <c r="EP53" s="666"/>
      <c r="EQ53" s="645"/>
      <c r="ER53" s="640"/>
      <c r="ET53" s="695">
        <v>42</v>
      </c>
      <c r="EU53" s="666"/>
      <c r="EV53" s="666"/>
      <c r="EW53" s="645"/>
      <c r="EX53" s="640"/>
    </row>
    <row r="54" spans="12:154">
      <c r="L54" s="701">
        <v>43</v>
      </c>
      <c r="M54" s="702">
        <v>0.88200000000000001</v>
      </c>
      <c r="N54" s="702">
        <v>3.867</v>
      </c>
      <c r="O54" s="703">
        <v>7.42544</v>
      </c>
      <c r="P54" s="704"/>
      <c r="R54" s="701">
        <v>43</v>
      </c>
      <c r="S54" s="702">
        <v>2.4561500000000001</v>
      </c>
      <c r="T54" s="702">
        <v>4.9557500000000001</v>
      </c>
      <c r="U54" s="703">
        <v>5.9700300000000004</v>
      </c>
      <c r="V54" s="704"/>
      <c r="X54" s="701">
        <v>43</v>
      </c>
      <c r="Y54" s="702">
        <v>10.223000000000001</v>
      </c>
      <c r="Z54" s="702">
        <v>12.717000000000001</v>
      </c>
      <c r="AA54" s="703">
        <v>20.736999999999998</v>
      </c>
      <c r="AB54" s="704"/>
      <c r="AD54" s="701">
        <v>43</v>
      </c>
      <c r="AE54" s="702">
        <v>211.226</v>
      </c>
      <c r="AF54" s="702">
        <v>169.084</v>
      </c>
      <c r="AG54" s="703">
        <v>257.36900000000003</v>
      </c>
      <c r="AH54" s="704"/>
      <c r="AJ54" s="701">
        <v>43</v>
      </c>
      <c r="AK54" s="702">
        <v>227.12899999999999</v>
      </c>
      <c r="AL54" s="702">
        <v>224.595</v>
      </c>
      <c r="AM54" s="703">
        <v>240.197</v>
      </c>
      <c r="AN54" s="704"/>
      <c r="AP54" s="701">
        <v>43</v>
      </c>
      <c r="AQ54" s="702">
        <v>2.13</v>
      </c>
      <c r="AR54" s="702">
        <v>1.8839999999999999</v>
      </c>
      <c r="AS54" s="703">
        <v>8.0120000000000005</v>
      </c>
      <c r="AT54" s="704"/>
      <c r="AV54" s="701">
        <v>43</v>
      </c>
      <c r="AW54" s="702">
        <v>58.51</v>
      </c>
      <c r="AX54" s="702">
        <v>40.04</v>
      </c>
      <c r="AY54" s="703">
        <v>71.67</v>
      </c>
      <c r="AZ54" s="704"/>
      <c r="BB54" s="701">
        <v>43</v>
      </c>
      <c r="BC54" s="702">
        <v>36.35</v>
      </c>
      <c r="BD54" s="702">
        <v>29.23</v>
      </c>
      <c r="BE54" s="703">
        <v>44.07</v>
      </c>
      <c r="BF54" s="704"/>
      <c r="BH54" s="701">
        <v>43</v>
      </c>
      <c r="BI54" s="702">
        <v>0.31133</v>
      </c>
      <c r="BJ54" s="702">
        <v>9.8871699999999993</v>
      </c>
      <c r="BK54" s="703">
        <v>3.6519999999999997E-2</v>
      </c>
      <c r="BL54" s="704"/>
      <c r="BN54" s="701">
        <v>43</v>
      </c>
      <c r="BO54" s="702">
        <v>10.077</v>
      </c>
      <c r="BP54" s="702">
        <v>16.991</v>
      </c>
      <c r="BQ54" s="703">
        <v>18.646999999999998</v>
      </c>
      <c r="BR54" s="704"/>
      <c r="BT54" s="701">
        <v>43</v>
      </c>
      <c r="BU54" s="702">
        <v>143.071</v>
      </c>
      <c r="BV54" s="702">
        <v>139.97300000000001</v>
      </c>
      <c r="BW54" s="703">
        <v>160.43899999999999</v>
      </c>
      <c r="BX54" s="704"/>
      <c r="BZ54" s="701">
        <v>43</v>
      </c>
      <c r="CA54" s="702">
        <v>91.259</v>
      </c>
      <c r="CB54" s="702">
        <v>66.733999999999995</v>
      </c>
      <c r="CC54" s="703">
        <v>84.995999999999995</v>
      </c>
      <c r="CD54" s="704"/>
      <c r="CF54" s="701">
        <v>43</v>
      </c>
      <c r="CG54" s="702"/>
      <c r="CH54" s="702"/>
      <c r="CI54" s="703"/>
      <c r="CJ54" s="704"/>
      <c r="CL54" s="701">
        <v>43</v>
      </c>
      <c r="CM54" s="702"/>
      <c r="CN54" s="702"/>
      <c r="CO54" s="703"/>
      <c r="CP54" s="704"/>
      <c r="CR54" s="701">
        <v>43</v>
      </c>
      <c r="CS54" s="702"/>
      <c r="CT54" s="702"/>
      <c r="CU54" s="703"/>
      <c r="CV54" s="704"/>
      <c r="CX54" s="701">
        <v>43</v>
      </c>
      <c r="CY54" s="702"/>
      <c r="CZ54" s="702"/>
      <c r="DA54" s="703"/>
      <c r="DB54" s="704"/>
      <c r="DD54" s="701">
        <v>43</v>
      </c>
      <c r="DE54" s="702"/>
      <c r="DF54" s="702"/>
      <c r="DG54" s="703"/>
      <c r="DH54" s="704"/>
      <c r="DJ54" s="701">
        <v>43</v>
      </c>
      <c r="DK54" s="702"/>
      <c r="DL54" s="702"/>
      <c r="DM54" s="703"/>
      <c r="DN54" s="704"/>
      <c r="DP54" s="701">
        <v>43</v>
      </c>
      <c r="DQ54" s="702"/>
      <c r="DR54" s="702"/>
      <c r="DS54" s="703"/>
      <c r="DT54" s="704"/>
      <c r="DV54" s="701">
        <v>43</v>
      </c>
      <c r="DW54" s="702"/>
      <c r="DX54" s="702"/>
      <c r="DY54" s="703"/>
      <c r="DZ54" s="704"/>
      <c r="EB54" s="701">
        <v>43</v>
      </c>
      <c r="EC54" s="702"/>
      <c r="ED54" s="702"/>
      <c r="EE54" s="703"/>
      <c r="EF54" s="704"/>
      <c r="EH54" s="695">
        <v>43</v>
      </c>
      <c r="EI54" s="666"/>
      <c r="EJ54" s="666"/>
      <c r="EK54" s="645"/>
      <c r="EL54" s="640"/>
      <c r="EN54" s="695">
        <v>43</v>
      </c>
      <c r="EO54" s="666"/>
      <c r="EP54" s="666"/>
      <c r="EQ54" s="645"/>
      <c r="ER54" s="640"/>
      <c r="ET54" s="695">
        <v>43</v>
      </c>
      <c r="EU54" s="666"/>
      <c r="EV54" s="666"/>
      <c r="EW54" s="645"/>
      <c r="EX54" s="640"/>
    </row>
    <row r="55" spans="12:154">
      <c r="L55" s="701">
        <v>44</v>
      </c>
      <c r="M55" s="702">
        <v>1.2310000000000001</v>
      </c>
      <c r="N55" s="702">
        <v>4.3319999999999999</v>
      </c>
      <c r="O55" s="704">
        <v>8.25</v>
      </c>
      <c r="P55" s="704"/>
      <c r="R55" s="701">
        <v>44</v>
      </c>
      <c r="S55" s="702">
        <v>4.6734900000000001</v>
      </c>
      <c r="T55" s="702">
        <v>6.5204300000000002</v>
      </c>
      <c r="U55" s="704">
        <v>2.6734200000000001</v>
      </c>
      <c r="V55" s="704"/>
      <c r="X55" s="701">
        <v>44</v>
      </c>
      <c r="Y55" s="702">
        <v>10.006</v>
      </c>
      <c r="Z55" s="702">
        <v>12.375</v>
      </c>
      <c r="AA55" s="704">
        <v>20.739000000000001</v>
      </c>
      <c r="AB55" s="704"/>
      <c r="AD55" s="701">
        <v>44</v>
      </c>
      <c r="AE55" s="702">
        <v>203.00899999999999</v>
      </c>
      <c r="AF55" s="702">
        <v>162.71299999999999</v>
      </c>
      <c r="AG55" s="704">
        <v>250.57</v>
      </c>
      <c r="AH55" s="704"/>
      <c r="AJ55" s="701">
        <v>44</v>
      </c>
      <c r="AK55" s="702">
        <v>226.43600000000001</v>
      </c>
      <c r="AL55" s="702">
        <v>223.96600000000001</v>
      </c>
      <c r="AM55" s="704">
        <v>239.48699999999999</v>
      </c>
      <c r="AN55" s="704"/>
      <c r="AP55" s="701">
        <v>44</v>
      </c>
      <c r="AQ55" s="702">
        <v>0.99</v>
      </c>
      <c r="AR55" s="702">
        <v>2.1640000000000001</v>
      </c>
      <c r="AS55" s="704">
        <v>8.4120000000000008</v>
      </c>
      <c r="AT55" s="704"/>
      <c r="AV55" s="701">
        <v>44</v>
      </c>
      <c r="AW55" s="702">
        <v>51.46</v>
      </c>
      <c r="AX55" s="702">
        <v>30.7</v>
      </c>
      <c r="AY55" s="704">
        <v>65.78</v>
      </c>
      <c r="AZ55" s="704"/>
      <c r="BB55" s="701">
        <v>44</v>
      </c>
      <c r="BC55" s="702">
        <v>31.69</v>
      </c>
      <c r="BD55" s="702">
        <v>29.78</v>
      </c>
      <c r="BE55" s="704">
        <v>42.41</v>
      </c>
      <c r="BF55" s="704"/>
      <c r="BH55" s="701">
        <v>44</v>
      </c>
      <c r="BI55" s="702">
        <v>0.23296</v>
      </c>
      <c r="BJ55" s="702">
        <v>7.5205099999999998</v>
      </c>
      <c r="BK55" s="704">
        <v>3.6519999999999997E-2</v>
      </c>
      <c r="BL55" s="704"/>
      <c r="BN55" s="701">
        <v>44</v>
      </c>
      <c r="BO55" s="702">
        <v>9.6430000000000007</v>
      </c>
      <c r="BP55" s="702">
        <v>16.663</v>
      </c>
      <c r="BQ55" s="704">
        <v>15.189</v>
      </c>
      <c r="BR55" s="704"/>
      <c r="BT55" s="701">
        <v>44</v>
      </c>
      <c r="BU55" s="702">
        <v>134.79</v>
      </c>
      <c r="BV55" s="702">
        <v>138.04400000000001</v>
      </c>
      <c r="BW55" s="704">
        <v>153.518</v>
      </c>
      <c r="BX55" s="704"/>
      <c r="BZ55" s="701">
        <v>44</v>
      </c>
      <c r="CA55" s="702">
        <v>69.921999999999997</v>
      </c>
      <c r="CB55" s="702">
        <v>61.997</v>
      </c>
      <c r="CC55" s="704">
        <v>76.375</v>
      </c>
      <c r="CD55" s="704"/>
      <c r="CF55" s="701">
        <v>44</v>
      </c>
      <c r="CG55" s="702"/>
      <c r="CH55" s="702"/>
      <c r="CI55" s="704"/>
      <c r="CJ55" s="704"/>
      <c r="CL55" s="701">
        <v>44</v>
      </c>
      <c r="CM55" s="702"/>
      <c r="CN55" s="702"/>
      <c r="CO55" s="704"/>
      <c r="CP55" s="704"/>
      <c r="CR55" s="701">
        <v>44</v>
      </c>
      <c r="CS55" s="702"/>
      <c r="CT55" s="702"/>
      <c r="CU55" s="704"/>
      <c r="CV55" s="704"/>
      <c r="CX55" s="701">
        <v>44</v>
      </c>
      <c r="CY55" s="702"/>
      <c r="CZ55" s="702"/>
      <c r="DA55" s="704"/>
      <c r="DB55" s="704"/>
      <c r="DD55" s="701">
        <v>44</v>
      </c>
      <c r="DE55" s="702"/>
      <c r="DF55" s="702"/>
      <c r="DG55" s="704"/>
      <c r="DH55" s="704"/>
      <c r="DJ55" s="701">
        <v>44</v>
      </c>
      <c r="DK55" s="702"/>
      <c r="DL55" s="702"/>
      <c r="DM55" s="704"/>
      <c r="DN55" s="704"/>
      <c r="DP55" s="701">
        <v>44</v>
      </c>
      <c r="DQ55" s="702"/>
      <c r="DR55" s="702"/>
      <c r="DS55" s="704"/>
      <c r="DT55" s="704"/>
      <c r="DV55" s="701">
        <v>44</v>
      </c>
      <c r="DW55" s="702"/>
      <c r="DX55" s="702"/>
      <c r="DY55" s="704"/>
      <c r="DZ55" s="704"/>
      <c r="EB55" s="701">
        <v>44</v>
      </c>
      <c r="EC55" s="702"/>
      <c r="ED55" s="702"/>
      <c r="EE55" s="704"/>
      <c r="EF55" s="704"/>
      <c r="EH55" s="695">
        <v>44</v>
      </c>
      <c r="EI55" s="666"/>
      <c r="EJ55" s="666"/>
      <c r="EK55" s="640"/>
      <c r="EL55" s="640"/>
      <c r="EN55" s="695">
        <v>44</v>
      </c>
      <c r="EO55" s="666"/>
      <c r="EP55" s="666"/>
      <c r="EQ55" s="640"/>
      <c r="ER55" s="640"/>
      <c r="ET55" s="695">
        <v>44</v>
      </c>
      <c r="EU55" s="666"/>
      <c r="EV55" s="666"/>
      <c r="EW55" s="640"/>
      <c r="EX55" s="640"/>
    </row>
    <row r="56" spans="12:154">
      <c r="L56" s="701">
        <v>45</v>
      </c>
      <c r="M56" s="702">
        <v>1.25</v>
      </c>
      <c r="N56" s="702">
        <v>5.3739999999999997</v>
      </c>
      <c r="O56" s="703">
        <v>9.08474</v>
      </c>
      <c r="P56" s="704"/>
      <c r="R56" s="701">
        <v>45</v>
      </c>
      <c r="S56" s="702">
        <v>1.81396</v>
      </c>
      <c r="T56" s="702">
        <v>4.2035</v>
      </c>
      <c r="U56" s="703">
        <v>3.1323300000000001</v>
      </c>
      <c r="V56" s="704"/>
      <c r="X56" s="701">
        <v>45</v>
      </c>
      <c r="Y56" s="702">
        <v>10.326000000000001</v>
      </c>
      <c r="Z56" s="702">
        <v>11.545</v>
      </c>
      <c r="AA56" s="703">
        <v>21.411000000000001</v>
      </c>
      <c r="AB56" s="704"/>
      <c r="AD56" s="701">
        <v>45</v>
      </c>
      <c r="AE56" s="702">
        <v>194.50800000000001</v>
      </c>
      <c r="AF56" s="702">
        <v>162.71299999999999</v>
      </c>
      <c r="AG56" s="703">
        <v>241.316</v>
      </c>
      <c r="AH56" s="704"/>
      <c r="AJ56" s="701">
        <v>45</v>
      </c>
      <c r="AK56" s="702">
        <v>226.05199999999999</v>
      </c>
      <c r="AL56" s="702">
        <v>223.328</v>
      </c>
      <c r="AM56" s="703">
        <v>238.642</v>
      </c>
      <c r="AN56" s="704"/>
      <c r="AP56" s="701">
        <v>45</v>
      </c>
      <c r="AQ56" s="702">
        <v>0.69</v>
      </c>
      <c r="AR56" s="702">
        <v>2.274</v>
      </c>
      <c r="AS56" s="703">
        <v>8.3819999999999997</v>
      </c>
      <c r="AT56" s="704"/>
      <c r="AV56" s="701">
        <v>45</v>
      </c>
      <c r="AW56" s="702">
        <v>45.88</v>
      </c>
      <c r="AX56" s="702">
        <v>30.471</v>
      </c>
      <c r="AY56" s="703">
        <v>56.13</v>
      </c>
      <c r="AZ56" s="704"/>
      <c r="BB56" s="701">
        <v>45</v>
      </c>
      <c r="BC56" s="702">
        <v>27.87</v>
      </c>
      <c r="BD56" s="702">
        <v>30.6</v>
      </c>
      <c r="BE56" s="703">
        <v>43.24</v>
      </c>
      <c r="BF56" s="704"/>
      <c r="BH56" s="701">
        <v>45</v>
      </c>
      <c r="BI56" s="702">
        <v>0.75168000000000001</v>
      </c>
      <c r="BJ56" s="702">
        <v>6.0836899999999998</v>
      </c>
      <c r="BK56" s="703">
        <v>3.8379999999999997E-2</v>
      </c>
      <c r="BL56" s="704"/>
      <c r="BN56" s="701">
        <v>45</v>
      </c>
      <c r="BO56" s="702">
        <v>9.1229999999999993</v>
      </c>
      <c r="BP56" s="702">
        <v>15.363</v>
      </c>
      <c r="BQ56" s="703">
        <v>12.536</v>
      </c>
      <c r="BR56" s="704"/>
      <c r="BT56" s="701">
        <v>45</v>
      </c>
      <c r="BU56" s="702">
        <v>125.34399999999999</v>
      </c>
      <c r="BV56" s="702">
        <v>133.803</v>
      </c>
      <c r="BW56" s="703">
        <v>145.03899999999999</v>
      </c>
      <c r="BX56" s="704"/>
      <c r="BZ56" s="701">
        <v>45</v>
      </c>
      <c r="CA56" s="702">
        <v>66.932000000000002</v>
      </c>
      <c r="CB56" s="702">
        <v>55.384</v>
      </c>
      <c r="CC56" s="703">
        <v>69.522000000000006</v>
      </c>
      <c r="CD56" s="704"/>
      <c r="CF56" s="701">
        <v>45</v>
      </c>
      <c r="CG56" s="702"/>
      <c r="CH56" s="702"/>
      <c r="CI56" s="703"/>
      <c r="CJ56" s="704"/>
      <c r="CL56" s="701">
        <v>45</v>
      </c>
      <c r="CM56" s="702"/>
      <c r="CN56" s="702"/>
      <c r="CO56" s="703"/>
      <c r="CP56" s="704"/>
      <c r="CR56" s="701">
        <v>45</v>
      </c>
      <c r="CS56" s="702"/>
      <c r="CT56" s="702"/>
      <c r="CU56" s="703"/>
      <c r="CV56" s="704"/>
      <c r="CX56" s="701">
        <v>45</v>
      </c>
      <c r="CY56" s="702"/>
      <c r="CZ56" s="702"/>
      <c r="DA56" s="703"/>
      <c r="DB56" s="704"/>
      <c r="DD56" s="701">
        <v>45</v>
      </c>
      <c r="DE56" s="702"/>
      <c r="DF56" s="702"/>
      <c r="DG56" s="703"/>
      <c r="DH56" s="704"/>
      <c r="DJ56" s="701">
        <v>45</v>
      </c>
      <c r="DK56" s="702"/>
      <c r="DL56" s="702"/>
      <c r="DM56" s="703"/>
      <c r="DN56" s="704"/>
      <c r="DP56" s="701">
        <v>45</v>
      </c>
      <c r="DQ56" s="702"/>
      <c r="DR56" s="702"/>
      <c r="DS56" s="703"/>
      <c r="DT56" s="704"/>
      <c r="DV56" s="701">
        <v>45</v>
      </c>
      <c r="DW56" s="702"/>
      <c r="DX56" s="702"/>
      <c r="DY56" s="703"/>
      <c r="DZ56" s="704"/>
      <c r="EB56" s="701">
        <v>45</v>
      </c>
      <c r="EC56" s="702"/>
      <c r="ED56" s="702"/>
      <c r="EE56" s="703"/>
      <c r="EF56" s="704"/>
      <c r="EH56" s="695">
        <v>45</v>
      </c>
      <c r="EI56" s="666"/>
      <c r="EJ56" s="666"/>
      <c r="EK56" s="645"/>
      <c r="EL56" s="640"/>
      <c r="EN56" s="695">
        <v>45</v>
      </c>
      <c r="EO56" s="666"/>
      <c r="EP56" s="666"/>
      <c r="EQ56" s="645"/>
      <c r="ER56" s="640"/>
      <c r="ET56" s="695">
        <v>45</v>
      </c>
      <c r="EU56" s="666"/>
      <c r="EV56" s="666"/>
      <c r="EW56" s="645"/>
      <c r="EX56" s="640"/>
    </row>
    <row r="57" spans="12:154">
      <c r="L57" s="701">
        <v>46</v>
      </c>
      <c r="M57" s="702">
        <v>0.96413000000000004</v>
      </c>
      <c r="N57" s="702">
        <v>8.016</v>
      </c>
      <c r="O57" s="703">
        <v>11.356999999999999</v>
      </c>
      <c r="P57" s="704"/>
      <c r="R57" s="701">
        <v>46</v>
      </c>
      <c r="S57" s="702">
        <v>4.6856799999999996</v>
      </c>
      <c r="T57" s="702">
        <v>6.0189300000000001</v>
      </c>
      <c r="U57" s="703">
        <v>8.5278700000000001</v>
      </c>
      <c r="V57" s="704"/>
      <c r="X57" s="701">
        <v>46</v>
      </c>
      <c r="Y57" s="702">
        <v>11.214</v>
      </c>
      <c r="Z57" s="702">
        <v>10.134</v>
      </c>
      <c r="AA57" s="703">
        <v>21.323</v>
      </c>
      <c r="AB57" s="704"/>
      <c r="AD57" s="701">
        <v>46</v>
      </c>
      <c r="AE57" s="702">
        <v>186.048</v>
      </c>
      <c r="AF57" s="702">
        <v>150.68199999999999</v>
      </c>
      <c r="AG57" s="703">
        <v>233.97900000000001</v>
      </c>
      <c r="AH57" s="704"/>
      <c r="AJ57" s="701">
        <v>46</v>
      </c>
      <c r="AK57" s="702">
        <v>225.73500000000001</v>
      </c>
      <c r="AL57" s="702">
        <v>222.69900000000001</v>
      </c>
      <c r="AM57" s="703">
        <v>237.92400000000001</v>
      </c>
      <c r="AN57" s="704"/>
      <c r="AP57" s="701">
        <v>46</v>
      </c>
      <c r="AQ57" s="702">
        <v>0.23</v>
      </c>
      <c r="AR57" s="702">
        <v>2.5430000000000001</v>
      </c>
      <c r="AS57" s="703">
        <v>8.8019999999999996</v>
      </c>
      <c r="AT57" s="704"/>
      <c r="AV57" s="701">
        <v>46</v>
      </c>
      <c r="AW57" s="702">
        <v>38.450000000000003</v>
      </c>
      <c r="AX57" s="702">
        <v>26.73</v>
      </c>
      <c r="AY57" s="703">
        <v>46.16</v>
      </c>
      <c r="AZ57" s="704"/>
      <c r="BB57" s="701">
        <v>46</v>
      </c>
      <c r="BC57" s="702">
        <v>25.15</v>
      </c>
      <c r="BD57" s="702">
        <v>30.87</v>
      </c>
      <c r="BE57" s="703">
        <v>44.35</v>
      </c>
      <c r="BF57" s="704"/>
      <c r="BH57" s="701">
        <v>46</v>
      </c>
      <c r="BI57" s="702">
        <v>0.84577000000000002</v>
      </c>
      <c r="BJ57" s="702">
        <v>3.7729300000000001</v>
      </c>
      <c r="BK57" s="703">
        <v>3.6519999999999997E-2</v>
      </c>
      <c r="BL57" s="704"/>
      <c r="BN57" s="701">
        <v>46</v>
      </c>
      <c r="BO57" s="702">
        <v>8.0169999999999995</v>
      </c>
      <c r="BP57" s="702">
        <v>13.231999999999999</v>
      </c>
      <c r="BQ57" s="703">
        <v>10.792</v>
      </c>
      <c r="BR57" s="704"/>
      <c r="BT57" s="701">
        <v>46</v>
      </c>
      <c r="BU57" s="702">
        <v>118.37</v>
      </c>
      <c r="BV57" s="702">
        <v>130.03200000000001</v>
      </c>
      <c r="BW57" s="703">
        <v>140.398</v>
      </c>
      <c r="BX57" s="704"/>
      <c r="BZ57" s="701">
        <v>46</v>
      </c>
      <c r="CA57" s="702">
        <v>50.783999999999999</v>
      </c>
      <c r="CB57" s="702">
        <v>46.616999999999997</v>
      </c>
      <c r="CC57" s="703">
        <v>61.997</v>
      </c>
      <c r="CD57" s="704"/>
      <c r="CF57" s="701">
        <v>46</v>
      </c>
      <c r="CG57" s="702"/>
      <c r="CH57" s="702"/>
      <c r="CI57" s="703"/>
      <c r="CJ57" s="704"/>
      <c r="CL57" s="701">
        <v>46</v>
      </c>
      <c r="CM57" s="702"/>
      <c r="CN57" s="702"/>
      <c r="CO57" s="703"/>
      <c r="CP57" s="704"/>
      <c r="CR57" s="701">
        <v>46</v>
      </c>
      <c r="CS57" s="702"/>
      <c r="CT57" s="702"/>
      <c r="CU57" s="703"/>
      <c r="CV57" s="704"/>
      <c r="CX57" s="701">
        <v>46</v>
      </c>
      <c r="CY57" s="702"/>
      <c r="CZ57" s="702"/>
      <c r="DA57" s="703"/>
      <c r="DB57" s="704"/>
      <c r="DD57" s="701">
        <v>46</v>
      </c>
      <c r="DE57" s="702"/>
      <c r="DF57" s="702"/>
      <c r="DG57" s="703"/>
      <c r="DH57" s="704"/>
      <c r="DJ57" s="701">
        <v>46</v>
      </c>
      <c r="DK57" s="702"/>
      <c r="DL57" s="702"/>
      <c r="DM57" s="703"/>
      <c r="DN57" s="704"/>
      <c r="DP57" s="701">
        <v>46</v>
      </c>
      <c r="DQ57" s="702"/>
      <c r="DR57" s="702"/>
      <c r="DS57" s="703"/>
      <c r="DT57" s="704"/>
      <c r="DV57" s="701">
        <v>46</v>
      </c>
      <c r="DW57" s="702"/>
      <c r="DX57" s="702"/>
      <c r="DY57" s="703"/>
      <c r="DZ57" s="704"/>
      <c r="EB57" s="701">
        <v>46</v>
      </c>
      <c r="EC57" s="702"/>
      <c r="ED57" s="702"/>
      <c r="EE57" s="703"/>
      <c r="EF57" s="704"/>
      <c r="EH57" s="695">
        <v>46</v>
      </c>
      <c r="EI57" s="666"/>
      <c r="EJ57" s="666"/>
      <c r="EK57" s="645"/>
      <c r="EL57" s="640"/>
      <c r="EN57" s="695">
        <v>46</v>
      </c>
      <c r="EO57" s="666"/>
      <c r="EP57" s="666"/>
      <c r="EQ57" s="645"/>
      <c r="ER57" s="640"/>
      <c r="ET57" s="695">
        <v>46</v>
      </c>
      <c r="EU57" s="666"/>
      <c r="EV57" s="666"/>
      <c r="EW57" s="645"/>
      <c r="EX57" s="640"/>
    </row>
    <row r="58" spans="12:154">
      <c r="L58" s="701">
        <v>47</v>
      </c>
      <c r="M58" s="702">
        <v>1.4550000000000001</v>
      </c>
      <c r="N58" s="702">
        <v>10.019</v>
      </c>
      <c r="O58" s="703">
        <v>12.486000000000001</v>
      </c>
      <c r="P58" s="704"/>
      <c r="R58" s="701">
        <v>47</v>
      </c>
      <c r="S58" s="702">
        <v>1.3083400000000001</v>
      </c>
      <c r="T58" s="702">
        <v>5.1637399999999998</v>
      </c>
      <c r="U58" s="703">
        <v>16.682289999999998</v>
      </c>
      <c r="V58" s="704"/>
      <c r="X58" s="701">
        <v>47</v>
      </c>
      <c r="Y58" s="702">
        <v>11.19</v>
      </c>
      <c r="Z58" s="702">
        <v>10.676</v>
      </c>
      <c r="AA58" s="703">
        <v>20.683</v>
      </c>
      <c r="AB58" s="704"/>
      <c r="AD58" s="701">
        <v>47</v>
      </c>
      <c r="AE58" s="702">
        <v>178.67</v>
      </c>
      <c r="AF58" s="702">
        <v>143.595</v>
      </c>
      <c r="AG58" s="703">
        <v>227.13</v>
      </c>
      <c r="AH58" s="704"/>
      <c r="AJ58" s="701">
        <v>47</v>
      </c>
      <c r="AK58" s="702">
        <v>225.482</v>
      </c>
      <c r="AL58" s="702">
        <v>221.99799999999999</v>
      </c>
      <c r="AM58" s="703">
        <v>237.143</v>
      </c>
      <c r="AN58" s="704"/>
      <c r="AP58" s="701">
        <v>47</v>
      </c>
      <c r="AQ58" s="702"/>
      <c r="AR58" s="702">
        <v>2.843</v>
      </c>
      <c r="AS58" s="703">
        <v>10.3</v>
      </c>
      <c r="AT58" s="704"/>
      <c r="AV58" s="701">
        <v>47</v>
      </c>
      <c r="AW58" s="702">
        <v>36.200000000000003</v>
      </c>
      <c r="AX58" s="702">
        <v>22.24</v>
      </c>
      <c r="AY58" s="703">
        <v>43.57</v>
      </c>
      <c r="AZ58" s="704"/>
      <c r="BB58" s="701">
        <v>47</v>
      </c>
      <c r="BC58" s="702">
        <v>20.28</v>
      </c>
      <c r="BD58" s="702">
        <v>32.79</v>
      </c>
      <c r="BE58" s="703">
        <v>47.4</v>
      </c>
      <c r="BF58" s="704"/>
      <c r="BH58" s="701">
        <v>47</v>
      </c>
      <c r="BI58" s="702">
        <v>0.98716999999999999</v>
      </c>
      <c r="BJ58" s="702">
        <v>2.78606</v>
      </c>
      <c r="BK58" s="703">
        <v>0.19008</v>
      </c>
      <c r="BL58" s="704"/>
      <c r="BN58" s="701">
        <v>47</v>
      </c>
      <c r="BO58" s="702">
        <v>6.9429999999999996</v>
      </c>
      <c r="BP58" s="702">
        <v>11.564</v>
      </c>
      <c r="BQ58" s="703">
        <v>10.191000000000001</v>
      </c>
      <c r="BR58" s="704"/>
      <c r="BT58" s="701">
        <v>47</v>
      </c>
      <c r="BU58" s="702">
        <v>111.124</v>
      </c>
      <c r="BV58" s="702">
        <v>130.88499999999999</v>
      </c>
      <c r="BW58" s="703">
        <v>136.78800000000001</v>
      </c>
      <c r="BX58" s="704"/>
      <c r="BZ58" s="701">
        <v>47</v>
      </c>
      <c r="CA58" s="702">
        <v>43.99</v>
      </c>
      <c r="CB58" s="702">
        <v>36.588999999999999</v>
      </c>
      <c r="CC58" s="703">
        <v>57.704999999999998</v>
      </c>
      <c r="CD58" s="704"/>
      <c r="CF58" s="701">
        <v>47</v>
      </c>
      <c r="CG58" s="702"/>
      <c r="CH58" s="702"/>
      <c r="CI58" s="703"/>
      <c r="CJ58" s="704"/>
      <c r="CL58" s="701">
        <v>47</v>
      </c>
      <c r="CM58" s="702"/>
      <c r="CN58" s="702"/>
      <c r="CO58" s="703"/>
      <c r="CP58" s="704"/>
      <c r="CR58" s="701">
        <v>47</v>
      </c>
      <c r="CS58" s="702"/>
      <c r="CT58" s="702"/>
      <c r="CU58" s="703"/>
      <c r="CV58" s="704"/>
      <c r="CX58" s="701">
        <v>47</v>
      </c>
      <c r="CY58" s="702"/>
      <c r="CZ58" s="702"/>
      <c r="DA58" s="703"/>
      <c r="DB58" s="704"/>
      <c r="DD58" s="701">
        <v>47</v>
      </c>
      <c r="DE58" s="702"/>
      <c r="DF58" s="702"/>
      <c r="DG58" s="703"/>
      <c r="DH58" s="704"/>
      <c r="DJ58" s="701">
        <v>47</v>
      </c>
      <c r="DK58" s="702"/>
      <c r="DL58" s="702"/>
      <c r="DM58" s="703"/>
      <c r="DN58" s="704"/>
      <c r="DP58" s="701">
        <v>47</v>
      </c>
      <c r="DQ58" s="702"/>
      <c r="DR58" s="702"/>
      <c r="DS58" s="703"/>
      <c r="DT58" s="704"/>
      <c r="DV58" s="701">
        <v>47</v>
      </c>
      <c r="DW58" s="702"/>
      <c r="DX58" s="702"/>
      <c r="DY58" s="703"/>
      <c r="DZ58" s="704"/>
      <c r="EB58" s="701">
        <v>47</v>
      </c>
      <c r="EC58" s="702"/>
      <c r="ED58" s="702"/>
      <c r="EE58" s="703"/>
      <c r="EF58" s="704"/>
      <c r="EH58" s="695">
        <v>47</v>
      </c>
      <c r="EI58" s="666"/>
      <c r="EJ58" s="666"/>
      <c r="EK58" s="645"/>
      <c r="EL58" s="640"/>
      <c r="EN58" s="695">
        <v>47</v>
      </c>
      <c r="EO58" s="666"/>
      <c r="EP58" s="666"/>
      <c r="EQ58" s="645"/>
      <c r="ER58" s="640"/>
      <c r="ET58" s="695">
        <v>47</v>
      </c>
      <c r="EU58" s="666"/>
      <c r="EV58" s="666"/>
      <c r="EW58" s="645"/>
      <c r="EX58" s="640"/>
    </row>
    <row r="59" spans="12:154">
      <c r="L59" s="701">
        <v>48</v>
      </c>
      <c r="M59" s="702">
        <v>0.81899999999999995</v>
      </c>
      <c r="N59" s="702">
        <v>9.5239999999999991</v>
      </c>
      <c r="O59" s="703">
        <v>13.622</v>
      </c>
      <c r="P59" s="704"/>
      <c r="R59" s="701">
        <v>48</v>
      </c>
      <c r="S59" s="702">
        <v>3.21854</v>
      </c>
      <c r="T59" s="702">
        <v>6.64717</v>
      </c>
      <c r="U59" s="703">
        <v>10.44577</v>
      </c>
      <c r="V59" s="704"/>
      <c r="X59" s="701">
        <v>48</v>
      </c>
      <c r="Y59" s="702">
        <v>11.832000000000001</v>
      </c>
      <c r="Z59" s="702">
        <v>14.132</v>
      </c>
      <c r="AA59" s="703">
        <v>20.96</v>
      </c>
      <c r="AB59" s="704"/>
      <c r="AD59" s="701">
        <v>48</v>
      </c>
      <c r="AE59" s="702">
        <v>171.28899999999999</v>
      </c>
      <c r="AF59" s="702">
        <v>137.82599999999999</v>
      </c>
      <c r="AG59" s="703">
        <v>225.03100000000001</v>
      </c>
      <c r="AH59" s="704"/>
      <c r="AJ59" s="701">
        <v>48</v>
      </c>
      <c r="AK59" s="702">
        <v>225.16499999999999</v>
      </c>
      <c r="AL59" s="702">
        <v>221.364</v>
      </c>
      <c r="AM59" s="703">
        <v>236.62100000000001</v>
      </c>
      <c r="AN59" s="704"/>
      <c r="AP59" s="701">
        <v>48</v>
      </c>
      <c r="AQ59" s="702"/>
      <c r="AR59" s="702">
        <v>5.8819999999999997</v>
      </c>
      <c r="AS59" s="703">
        <v>12.23</v>
      </c>
      <c r="AT59" s="704"/>
      <c r="AV59" s="701">
        <v>48</v>
      </c>
      <c r="AW59" s="702">
        <v>30.02</v>
      </c>
      <c r="AX59" s="702">
        <v>22.04</v>
      </c>
      <c r="AY59" s="703">
        <v>44.78</v>
      </c>
      <c r="AZ59" s="704"/>
      <c r="BB59" s="701">
        <v>48</v>
      </c>
      <c r="BC59" s="702">
        <v>19</v>
      </c>
      <c r="BD59" s="702">
        <v>35.25</v>
      </c>
      <c r="BE59" s="703">
        <v>51.02</v>
      </c>
      <c r="BF59" s="704"/>
      <c r="BH59" s="701">
        <v>48</v>
      </c>
      <c r="BI59" s="702">
        <v>1.15726</v>
      </c>
      <c r="BJ59" s="702">
        <v>1.2803899999999999</v>
      </c>
      <c r="BK59" s="703">
        <v>0.19008</v>
      </c>
      <c r="BL59" s="704"/>
      <c r="BN59" s="701">
        <v>48</v>
      </c>
      <c r="BO59" s="702">
        <v>5.9829999999999997</v>
      </c>
      <c r="BP59" s="702">
        <v>12.536</v>
      </c>
      <c r="BQ59" s="703">
        <v>13.16</v>
      </c>
      <c r="BR59" s="704"/>
      <c r="BT59" s="701">
        <v>48</v>
      </c>
      <c r="BU59" s="702">
        <v>103.988</v>
      </c>
      <c r="BV59" s="702">
        <v>134.708</v>
      </c>
      <c r="BW59" s="703">
        <v>139.51900000000001</v>
      </c>
      <c r="BX59" s="704"/>
      <c r="BZ59" s="701">
        <v>48</v>
      </c>
      <c r="CA59" s="702">
        <v>28.986999999999998</v>
      </c>
      <c r="CB59" s="702">
        <v>40.270000000000003</v>
      </c>
      <c r="CC59" s="703">
        <v>61.213999999999999</v>
      </c>
      <c r="CD59" s="704"/>
      <c r="CF59" s="701">
        <v>48</v>
      </c>
      <c r="CG59" s="702"/>
      <c r="CH59" s="702"/>
      <c r="CI59" s="703"/>
      <c r="CJ59" s="704"/>
      <c r="CL59" s="701">
        <v>48</v>
      </c>
      <c r="CM59" s="702"/>
      <c r="CN59" s="702"/>
      <c r="CO59" s="703"/>
      <c r="CP59" s="704"/>
      <c r="CR59" s="701">
        <v>48</v>
      </c>
      <c r="CS59" s="702"/>
      <c r="CT59" s="702"/>
      <c r="CU59" s="703"/>
      <c r="CV59" s="704"/>
      <c r="CX59" s="701">
        <v>48</v>
      </c>
      <c r="CY59" s="702"/>
      <c r="CZ59" s="702"/>
      <c r="DA59" s="703"/>
      <c r="DB59" s="704"/>
      <c r="DD59" s="701">
        <v>48</v>
      </c>
      <c r="DE59" s="702"/>
      <c r="DF59" s="702"/>
      <c r="DG59" s="703"/>
      <c r="DH59" s="704"/>
      <c r="DJ59" s="701">
        <v>48</v>
      </c>
      <c r="DK59" s="702"/>
      <c r="DL59" s="702"/>
      <c r="DM59" s="703"/>
      <c r="DN59" s="704"/>
      <c r="DP59" s="701">
        <v>48</v>
      </c>
      <c r="DQ59" s="702"/>
      <c r="DR59" s="702"/>
      <c r="DS59" s="703"/>
      <c r="DT59" s="704"/>
      <c r="DV59" s="701">
        <v>48</v>
      </c>
      <c r="DW59" s="702"/>
      <c r="DX59" s="702"/>
      <c r="DY59" s="703"/>
      <c r="DZ59" s="704"/>
      <c r="EB59" s="701">
        <v>48</v>
      </c>
      <c r="EC59" s="702"/>
      <c r="ED59" s="702"/>
      <c r="EE59" s="703"/>
      <c r="EF59" s="704"/>
      <c r="EH59" s="695">
        <v>48</v>
      </c>
      <c r="EI59" s="666"/>
      <c r="EJ59" s="666"/>
      <c r="EK59" s="645"/>
      <c r="EL59" s="640"/>
      <c r="EN59" s="695">
        <v>48</v>
      </c>
      <c r="EO59" s="666"/>
      <c r="EP59" s="666"/>
      <c r="EQ59" s="645"/>
      <c r="ER59" s="640"/>
      <c r="ET59" s="695">
        <v>48</v>
      </c>
      <c r="EU59" s="666"/>
      <c r="EV59" s="666"/>
      <c r="EW59" s="645"/>
      <c r="EX59" s="640"/>
    </row>
    <row r="60" spans="12:154">
      <c r="L60" s="701">
        <v>49</v>
      </c>
      <c r="M60" s="702">
        <v>0.81899999999999995</v>
      </c>
      <c r="N60" s="702">
        <v>12.363</v>
      </c>
      <c r="O60" s="703">
        <v>14.760999999999999</v>
      </c>
      <c r="P60" s="704"/>
      <c r="R60" s="701">
        <v>49</v>
      </c>
      <c r="S60" s="702">
        <v>1.52075</v>
      </c>
      <c r="T60" s="702">
        <v>3.4623400000000002</v>
      </c>
      <c r="U60" s="703">
        <v>9.8271800000000002</v>
      </c>
      <c r="V60" s="704"/>
      <c r="X60" s="701">
        <v>49</v>
      </c>
      <c r="Y60" s="702">
        <v>12.503</v>
      </c>
      <c r="Z60" s="702">
        <v>15.808</v>
      </c>
      <c r="AA60" s="703">
        <v>20.838999999999999</v>
      </c>
      <c r="AB60" s="704"/>
      <c r="AD60" s="701">
        <v>49</v>
      </c>
      <c r="AE60" s="702">
        <v>166.762</v>
      </c>
      <c r="AF60" s="702">
        <v>132.54499999999999</v>
      </c>
      <c r="AG60" s="703">
        <v>222.96799999999999</v>
      </c>
      <c r="AH60" s="704"/>
      <c r="AJ60" s="701">
        <v>49</v>
      </c>
      <c r="AK60" s="702">
        <v>224.845</v>
      </c>
      <c r="AL60" s="702">
        <v>220.667</v>
      </c>
      <c r="AM60" s="703">
        <v>236.166</v>
      </c>
      <c r="AN60" s="704"/>
      <c r="AP60" s="701">
        <v>49</v>
      </c>
      <c r="AQ60" s="702"/>
      <c r="AR60" s="702">
        <v>6.6520000000000001</v>
      </c>
      <c r="AS60" s="703">
        <v>13.85</v>
      </c>
      <c r="AT60" s="704"/>
      <c r="AV60" s="701">
        <v>49</v>
      </c>
      <c r="AW60" s="702">
        <v>25.56</v>
      </c>
      <c r="AX60" s="702">
        <v>31.88</v>
      </c>
      <c r="AY60" s="703">
        <v>56.27</v>
      </c>
      <c r="AZ60" s="704"/>
      <c r="BB60" s="701">
        <v>49</v>
      </c>
      <c r="BC60" s="702">
        <v>19.47</v>
      </c>
      <c r="BD60" s="702">
        <v>36.619999999999997</v>
      </c>
      <c r="BE60" s="703">
        <v>53.25</v>
      </c>
      <c r="BF60" s="704"/>
      <c r="BH60" s="701">
        <v>49</v>
      </c>
      <c r="BI60" s="702">
        <v>1.2614300000000001</v>
      </c>
      <c r="BJ60" s="702">
        <v>1.89</v>
      </c>
      <c r="BK60" s="703">
        <v>0.19008</v>
      </c>
      <c r="BL60" s="704"/>
      <c r="BN60" s="701">
        <v>49</v>
      </c>
      <c r="BO60" s="702">
        <v>5.15</v>
      </c>
      <c r="BP60" s="702">
        <v>13.619</v>
      </c>
      <c r="BQ60" s="703">
        <v>15.986000000000001</v>
      </c>
      <c r="BR60" s="704"/>
      <c r="BT60" s="701">
        <v>49</v>
      </c>
      <c r="BU60" s="702">
        <v>93.575000000000003</v>
      </c>
      <c r="BV60" s="702">
        <v>147.88</v>
      </c>
      <c r="BW60" s="703">
        <v>143.97399999999999</v>
      </c>
      <c r="BX60" s="704"/>
      <c r="BZ60" s="701">
        <v>49</v>
      </c>
      <c r="CA60" s="702">
        <v>14.64</v>
      </c>
      <c r="CB60" s="702">
        <v>34.764000000000003</v>
      </c>
      <c r="CC60" s="703">
        <v>55.384</v>
      </c>
      <c r="CD60" s="704"/>
      <c r="CF60" s="701">
        <v>49</v>
      </c>
      <c r="CG60" s="702"/>
      <c r="CH60" s="702"/>
      <c r="CI60" s="703"/>
      <c r="CJ60" s="704"/>
      <c r="CL60" s="701">
        <v>49</v>
      </c>
      <c r="CM60" s="702"/>
      <c r="CN60" s="702"/>
      <c r="CO60" s="703"/>
      <c r="CP60" s="704"/>
      <c r="CR60" s="701">
        <v>49</v>
      </c>
      <c r="CS60" s="702"/>
      <c r="CT60" s="702"/>
      <c r="CU60" s="703"/>
      <c r="CV60" s="704"/>
      <c r="CX60" s="701">
        <v>49</v>
      </c>
      <c r="CY60" s="702"/>
      <c r="CZ60" s="702"/>
      <c r="DA60" s="703"/>
      <c r="DB60" s="704"/>
      <c r="DD60" s="701">
        <v>49</v>
      </c>
      <c r="DE60" s="702"/>
      <c r="DF60" s="702"/>
      <c r="DG60" s="703"/>
      <c r="DH60" s="704"/>
      <c r="DJ60" s="701">
        <v>49</v>
      </c>
      <c r="DK60" s="702"/>
      <c r="DL60" s="702"/>
      <c r="DM60" s="703"/>
      <c r="DN60" s="704"/>
      <c r="DP60" s="701">
        <v>49</v>
      </c>
      <c r="DQ60" s="702"/>
      <c r="DR60" s="702"/>
      <c r="DS60" s="703"/>
      <c r="DT60" s="704"/>
      <c r="DV60" s="701">
        <v>49</v>
      </c>
      <c r="DW60" s="702"/>
      <c r="DX60" s="702"/>
      <c r="DY60" s="703"/>
      <c r="DZ60" s="704"/>
      <c r="EB60" s="701">
        <v>49</v>
      </c>
      <c r="EC60" s="702"/>
      <c r="ED60" s="702"/>
      <c r="EE60" s="703"/>
      <c r="EF60" s="704"/>
      <c r="EH60" s="695">
        <v>49</v>
      </c>
      <c r="EI60" s="666"/>
      <c r="EJ60" s="666"/>
      <c r="EK60" s="645"/>
      <c r="EL60" s="640"/>
      <c r="EN60" s="695">
        <v>49</v>
      </c>
      <c r="EO60" s="666"/>
      <c r="EP60" s="666"/>
      <c r="EQ60" s="645"/>
      <c r="ER60" s="640"/>
      <c r="ET60" s="695">
        <v>49</v>
      </c>
      <c r="EU60" s="666"/>
      <c r="EV60" s="666"/>
      <c r="EW60" s="645"/>
      <c r="EX60" s="640"/>
    </row>
    <row r="61" spans="12:154">
      <c r="L61" s="701">
        <v>50</v>
      </c>
      <c r="M61" s="702">
        <v>2.55125</v>
      </c>
      <c r="N61" s="702">
        <v>13.51</v>
      </c>
      <c r="O61" s="703">
        <v>16.103999999999999</v>
      </c>
      <c r="P61" s="704"/>
      <c r="R61" s="701">
        <v>50</v>
      </c>
      <c r="S61" s="702">
        <v>5.6227799999999997</v>
      </c>
      <c r="T61" s="702">
        <v>9.6512100000000007</v>
      </c>
      <c r="U61" s="703">
        <v>2.7149800000000002</v>
      </c>
      <c r="V61" s="704"/>
      <c r="X61" s="701">
        <v>50</v>
      </c>
      <c r="Y61" s="702">
        <v>12.728999999999999</v>
      </c>
      <c r="Z61" s="702">
        <v>17.873999999999999</v>
      </c>
      <c r="AA61" s="703">
        <v>22.806000000000001</v>
      </c>
      <c r="AB61" s="704"/>
      <c r="AD61" s="701">
        <v>50</v>
      </c>
      <c r="AE61" s="702">
        <v>168.37299999999999</v>
      </c>
      <c r="AF61" s="702">
        <v>134.864</v>
      </c>
      <c r="AG61" s="703">
        <v>235.82300000000001</v>
      </c>
      <c r="AH61" s="704"/>
      <c r="AJ61" s="701">
        <v>50</v>
      </c>
      <c r="AK61" s="702">
        <v>225.33949999999999</v>
      </c>
      <c r="AL61" s="702">
        <v>220.22</v>
      </c>
      <c r="AM61" s="703">
        <v>235.453</v>
      </c>
      <c r="AN61" s="704"/>
      <c r="AP61" s="701">
        <v>50</v>
      </c>
      <c r="AQ61" s="702"/>
      <c r="AR61" s="702">
        <v>7.3019999999999996</v>
      </c>
      <c r="AS61" s="703">
        <v>16.64</v>
      </c>
      <c r="AT61" s="704"/>
      <c r="AV61" s="701">
        <v>50</v>
      </c>
      <c r="AW61" s="702">
        <v>23.86</v>
      </c>
      <c r="AX61" s="702">
        <v>34.33</v>
      </c>
      <c r="AY61" s="703">
        <v>61.55</v>
      </c>
      <c r="AZ61" s="704"/>
      <c r="BB61" s="701">
        <v>50</v>
      </c>
      <c r="BC61" s="702">
        <v>22.17</v>
      </c>
      <c r="BD61" s="702">
        <v>39.1</v>
      </c>
      <c r="BE61" s="703">
        <v>52.84</v>
      </c>
      <c r="BF61" s="704"/>
      <c r="BH61" s="701">
        <v>50</v>
      </c>
      <c r="BI61" s="702">
        <v>1.5844800000000001</v>
      </c>
      <c r="BJ61" s="702">
        <v>2.7278899999999999</v>
      </c>
      <c r="BK61" s="703">
        <v>1.79437</v>
      </c>
      <c r="BL61" s="704"/>
      <c r="BN61" s="701">
        <v>50</v>
      </c>
      <c r="BO61" s="702">
        <v>5.09</v>
      </c>
      <c r="BP61" s="702">
        <v>13.497999999999999</v>
      </c>
      <c r="BQ61" s="703">
        <v>13.015000000000001</v>
      </c>
      <c r="BR61" s="704"/>
      <c r="BT61" s="701">
        <v>50</v>
      </c>
      <c r="BU61" s="702">
        <v>89.162999999999997</v>
      </c>
      <c r="BV61" s="702">
        <v>152.45599999999999</v>
      </c>
      <c r="BW61" s="703">
        <v>150.971</v>
      </c>
      <c r="BX61" s="704"/>
      <c r="BZ61" s="701">
        <v>50</v>
      </c>
      <c r="CA61" s="702">
        <v>29.344999999999999</v>
      </c>
      <c r="CB61" s="702">
        <v>26.847000000000001</v>
      </c>
      <c r="CC61" s="703">
        <v>41.381999999999998</v>
      </c>
      <c r="CD61" s="704"/>
      <c r="CF61" s="701">
        <v>50</v>
      </c>
      <c r="CG61" s="702"/>
      <c r="CH61" s="702"/>
      <c r="CI61" s="703"/>
      <c r="CJ61" s="704"/>
      <c r="CL61" s="701">
        <v>50</v>
      </c>
      <c r="CM61" s="702"/>
      <c r="CN61" s="702"/>
      <c r="CO61" s="703"/>
      <c r="CP61" s="704"/>
      <c r="CR61" s="701">
        <v>50</v>
      </c>
      <c r="CS61" s="702"/>
      <c r="CT61" s="702"/>
      <c r="CU61" s="703"/>
      <c r="CV61" s="704"/>
      <c r="CX61" s="701">
        <v>50</v>
      </c>
      <c r="CY61" s="702"/>
      <c r="CZ61" s="702"/>
      <c r="DA61" s="703"/>
      <c r="DB61" s="704"/>
      <c r="DD61" s="701">
        <v>50</v>
      </c>
      <c r="DE61" s="702"/>
      <c r="DF61" s="702"/>
      <c r="DG61" s="703"/>
      <c r="DH61" s="704"/>
      <c r="DJ61" s="701">
        <v>50</v>
      </c>
      <c r="DK61" s="702"/>
      <c r="DL61" s="702"/>
      <c r="DM61" s="703"/>
      <c r="DN61" s="704"/>
      <c r="DP61" s="701">
        <v>50</v>
      </c>
      <c r="DQ61" s="702"/>
      <c r="DR61" s="702"/>
      <c r="DS61" s="703"/>
      <c r="DT61" s="704"/>
      <c r="DV61" s="701">
        <v>50</v>
      </c>
      <c r="DW61" s="702"/>
      <c r="DX61" s="702"/>
      <c r="DY61" s="703"/>
      <c r="DZ61" s="704"/>
      <c r="EB61" s="701">
        <v>50</v>
      </c>
      <c r="EC61" s="702"/>
      <c r="ED61" s="702"/>
      <c r="EE61" s="703"/>
      <c r="EF61" s="704"/>
      <c r="EH61" s="695">
        <v>50</v>
      </c>
      <c r="EI61" s="666"/>
      <c r="EJ61" s="666"/>
      <c r="EK61" s="645"/>
      <c r="EL61" s="640"/>
      <c r="EN61" s="695">
        <v>50</v>
      </c>
      <c r="EO61" s="666"/>
      <c r="EP61" s="666"/>
      <c r="EQ61" s="645"/>
      <c r="ER61" s="640"/>
      <c r="ET61" s="695">
        <v>50</v>
      </c>
      <c r="EU61" s="666"/>
      <c r="EV61" s="666"/>
      <c r="EW61" s="645"/>
      <c r="EX61" s="640"/>
    </row>
    <row r="62" spans="12:154">
      <c r="L62" s="701">
        <v>51</v>
      </c>
      <c r="M62" s="702">
        <v>3.6850000000000001</v>
      </c>
      <c r="N62" s="702">
        <v>16.503509999999999</v>
      </c>
      <c r="O62" s="703">
        <v>17.636610000000001</v>
      </c>
      <c r="P62" s="704"/>
      <c r="R62" s="701">
        <v>51</v>
      </c>
      <c r="S62" s="702">
        <v>0.27295999999999998</v>
      </c>
      <c r="T62" s="702">
        <v>10.670439999999999</v>
      </c>
      <c r="U62" s="703">
        <v>13.84319</v>
      </c>
      <c r="V62" s="704"/>
      <c r="X62" s="701">
        <v>51</v>
      </c>
      <c r="Y62" s="702">
        <v>13.117000000000001</v>
      </c>
      <c r="Z62" s="702">
        <v>19.007000000000001</v>
      </c>
      <c r="AA62" s="703">
        <v>23.748999999999999</v>
      </c>
      <c r="AB62" s="704"/>
      <c r="AD62" s="701">
        <v>51</v>
      </c>
      <c r="AE62" s="702">
        <v>163.90299999999999</v>
      </c>
      <c r="AF62" s="702">
        <v>132.346</v>
      </c>
      <c r="AG62" s="703">
        <v>229.12799999999999</v>
      </c>
      <c r="AH62" s="704"/>
      <c r="AJ62" s="701">
        <v>51</v>
      </c>
      <c r="AK62" s="702">
        <v>225.60499999999999</v>
      </c>
      <c r="AL62" s="702">
        <v>219.721</v>
      </c>
      <c r="AM62" s="703">
        <v>234.798</v>
      </c>
      <c r="AN62" s="704"/>
      <c r="AP62" s="701">
        <v>51</v>
      </c>
      <c r="AQ62" s="702"/>
      <c r="AR62" s="702">
        <v>8.3019999999999996</v>
      </c>
      <c r="AS62" s="703">
        <v>18.11</v>
      </c>
      <c r="AT62" s="704"/>
      <c r="AV62" s="701">
        <v>51</v>
      </c>
      <c r="AW62" s="702">
        <v>21.17</v>
      </c>
      <c r="AX62" s="702">
        <v>44.21</v>
      </c>
      <c r="AY62" s="703">
        <v>68.38</v>
      </c>
      <c r="AZ62" s="704"/>
      <c r="BB62" s="701">
        <v>51</v>
      </c>
      <c r="BC62" s="702">
        <v>22.98</v>
      </c>
      <c r="BD62" s="702">
        <v>40.479999999999997</v>
      </c>
      <c r="BE62" s="703">
        <v>58.01</v>
      </c>
      <c r="BF62" s="704"/>
      <c r="BH62" s="701">
        <v>51</v>
      </c>
      <c r="BI62" s="702">
        <v>2.1008800000000001</v>
      </c>
      <c r="BJ62" s="702">
        <v>3.3999600000000001</v>
      </c>
      <c r="BK62" s="703">
        <v>1.79437</v>
      </c>
      <c r="BL62" s="704"/>
      <c r="BN62" s="701">
        <v>51</v>
      </c>
      <c r="BO62" s="702">
        <v>7.0060000000000002</v>
      </c>
      <c r="BP62" s="702">
        <v>13.837999999999999</v>
      </c>
      <c r="BQ62" s="703">
        <v>12.488</v>
      </c>
      <c r="BR62" s="704"/>
      <c r="BT62" s="701">
        <v>51</v>
      </c>
      <c r="BU62" s="702">
        <v>87.28</v>
      </c>
      <c r="BV62" s="702">
        <v>160.58799999999999</v>
      </c>
      <c r="BW62" s="703">
        <v>161.72900000000001</v>
      </c>
      <c r="BX62" s="704"/>
      <c r="BZ62" s="701">
        <v>51</v>
      </c>
      <c r="CA62" s="702">
        <v>24.72</v>
      </c>
      <c r="CB62" s="702">
        <v>18.425999999999998</v>
      </c>
      <c r="CC62" s="703">
        <v>44.738999999999997</v>
      </c>
      <c r="CD62" s="704"/>
      <c r="CF62" s="701">
        <v>51</v>
      </c>
      <c r="CG62" s="702"/>
      <c r="CH62" s="702"/>
      <c r="CI62" s="703"/>
      <c r="CJ62" s="704"/>
      <c r="CL62" s="701">
        <v>51</v>
      </c>
      <c r="CM62" s="702"/>
      <c r="CN62" s="702"/>
      <c r="CO62" s="703"/>
      <c r="CP62" s="704"/>
      <c r="CR62" s="701">
        <v>51</v>
      </c>
      <c r="CS62" s="702"/>
      <c r="CT62" s="702"/>
      <c r="CU62" s="703"/>
      <c r="CV62" s="704"/>
      <c r="CX62" s="701">
        <v>51</v>
      </c>
      <c r="CY62" s="702"/>
      <c r="CZ62" s="702"/>
      <c r="DA62" s="703"/>
      <c r="DB62" s="704"/>
      <c r="DD62" s="701">
        <v>51</v>
      </c>
      <c r="DE62" s="702"/>
      <c r="DF62" s="702"/>
      <c r="DG62" s="703"/>
      <c r="DH62" s="704"/>
      <c r="DJ62" s="701">
        <v>51</v>
      </c>
      <c r="DK62" s="702"/>
      <c r="DL62" s="702"/>
      <c r="DM62" s="703"/>
      <c r="DN62" s="704"/>
      <c r="DP62" s="701">
        <v>51</v>
      </c>
      <c r="DQ62" s="702"/>
      <c r="DR62" s="702"/>
      <c r="DS62" s="703"/>
      <c r="DT62" s="704"/>
      <c r="DV62" s="701">
        <v>51</v>
      </c>
      <c r="DW62" s="702"/>
      <c r="DX62" s="702"/>
      <c r="DY62" s="703"/>
      <c r="DZ62" s="704"/>
      <c r="EB62" s="701">
        <v>51</v>
      </c>
      <c r="EC62" s="702"/>
      <c r="ED62" s="702"/>
      <c r="EE62" s="703"/>
      <c r="EF62" s="704"/>
      <c r="EH62" s="695">
        <v>51</v>
      </c>
      <c r="EI62" s="666"/>
      <c r="EJ62" s="666"/>
      <c r="EK62" s="645"/>
      <c r="EL62" s="640"/>
      <c r="EN62" s="695">
        <v>51</v>
      </c>
      <c r="EO62" s="666"/>
      <c r="EP62" s="666"/>
      <c r="EQ62" s="645"/>
      <c r="ER62" s="640"/>
      <c r="ET62" s="695">
        <v>51</v>
      </c>
      <c r="EU62" s="666"/>
      <c r="EV62" s="666"/>
      <c r="EW62" s="645"/>
      <c r="EX62" s="640"/>
    </row>
    <row r="63" spans="12:154">
      <c r="L63" s="701">
        <v>52</v>
      </c>
      <c r="M63" s="702">
        <v>4.6349999999999998</v>
      </c>
      <c r="N63" s="702">
        <v>19.209</v>
      </c>
      <c r="O63" s="703">
        <v>18.959</v>
      </c>
      <c r="P63" s="704"/>
      <c r="R63" s="701">
        <v>52</v>
      </c>
      <c r="S63" s="702">
        <v>2.1626099999999999</v>
      </c>
      <c r="T63" s="702">
        <v>9.21814</v>
      </c>
      <c r="U63" s="703">
        <v>6.9455400000000003</v>
      </c>
      <c r="V63" s="704"/>
      <c r="X63" s="701">
        <v>52</v>
      </c>
      <c r="Y63" s="702">
        <v>13.202999999999999</v>
      </c>
      <c r="Z63" s="702">
        <v>19.138999999999999</v>
      </c>
      <c r="AA63" s="703">
        <v>24.681999999999999</v>
      </c>
      <c r="AB63" s="704"/>
      <c r="AD63" s="701">
        <v>52</v>
      </c>
      <c r="AE63" s="702">
        <v>155.81899999999999</v>
      </c>
      <c r="AF63" s="702">
        <v>129.75700000000001</v>
      </c>
      <c r="AG63" s="703">
        <v>225.49</v>
      </c>
      <c r="AH63" s="704"/>
      <c r="AJ63" s="701">
        <v>52</v>
      </c>
      <c r="AK63" s="702">
        <v>225.35499999999999</v>
      </c>
      <c r="AL63" s="702">
        <v>219.14699999999999</v>
      </c>
      <c r="AM63" s="703">
        <v>234.214</v>
      </c>
      <c r="AN63" s="704"/>
      <c r="AP63" s="701">
        <v>52</v>
      </c>
      <c r="AQ63" s="702">
        <v>0.34</v>
      </c>
      <c r="AR63" s="702">
        <v>8.9410000000000007</v>
      </c>
      <c r="AS63" s="703">
        <v>19.11</v>
      </c>
      <c r="AT63" s="704"/>
      <c r="AV63" s="701">
        <v>52</v>
      </c>
      <c r="AW63" s="702">
        <v>23.61</v>
      </c>
      <c r="AX63" s="702">
        <v>48.42</v>
      </c>
      <c r="AY63" s="703">
        <v>81.61</v>
      </c>
      <c r="AZ63" s="704"/>
      <c r="BB63" s="701">
        <v>52</v>
      </c>
      <c r="BC63" s="702">
        <v>22.98</v>
      </c>
      <c r="BD63" s="702">
        <v>44.63</v>
      </c>
      <c r="BE63" s="703">
        <v>60.26</v>
      </c>
      <c r="BF63" s="704"/>
      <c r="BH63" s="701">
        <v>52</v>
      </c>
      <c r="BI63" s="702">
        <v>2.50535</v>
      </c>
      <c r="BJ63" s="702">
        <v>4.5050400000000002</v>
      </c>
      <c r="BK63" s="703">
        <v>1.79437</v>
      </c>
      <c r="BL63" s="704"/>
      <c r="BN63" s="701">
        <v>52</v>
      </c>
      <c r="BO63" s="702">
        <v>9.1010000000000009</v>
      </c>
      <c r="BP63" s="702">
        <v>13.087</v>
      </c>
      <c r="BQ63" s="703">
        <v>13.522</v>
      </c>
      <c r="BR63" s="704"/>
      <c r="BT63" s="701">
        <v>52</v>
      </c>
      <c r="BU63" s="702">
        <v>90.01</v>
      </c>
      <c r="BV63" s="702">
        <v>166.024</v>
      </c>
      <c r="BW63" s="703">
        <v>171.66399999999999</v>
      </c>
      <c r="BX63" s="704"/>
      <c r="BZ63" s="701">
        <v>52</v>
      </c>
      <c r="CA63" s="702">
        <v>25.782</v>
      </c>
      <c r="CB63" s="702">
        <v>16.012</v>
      </c>
      <c r="CC63" s="703">
        <v>60.430999999999997</v>
      </c>
      <c r="CD63" s="704"/>
      <c r="CF63" s="701">
        <v>52</v>
      </c>
      <c r="CG63" s="702"/>
      <c r="CH63" s="702"/>
      <c r="CI63" s="703"/>
      <c r="CJ63" s="704"/>
      <c r="CL63" s="701">
        <v>52</v>
      </c>
      <c r="CM63" s="702"/>
      <c r="CN63" s="702"/>
      <c r="CO63" s="703"/>
      <c r="CP63" s="704"/>
      <c r="CR63" s="701">
        <v>52</v>
      </c>
      <c r="CS63" s="702"/>
      <c r="CT63" s="702"/>
      <c r="CU63" s="703"/>
      <c r="CV63" s="704"/>
      <c r="CX63" s="701">
        <v>52</v>
      </c>
      <c r="CY63" s="702"/>
      <c r="CZ63" s="702"/>
      <c r="DA63" s="703"/>
      <c r="DB63" s="704"/>
      <c r="DD63" s="701">
        <v>52</v>
      </c>
      <c r="DE63" s="702"/>
      <c r="DF63" s="702"/>
      <c r="DG63" s="703"/>
      <c r="DH63" s="704"/>
      <c r="DJ63" s="701">
        <v>52</v>
      </c>
      <c r="DK63" s="702"/>
      <c r="DL63" s="702"/>
      <c r="DM63" s="703"/>
      <c r="DN63" s="704"/>
      <c r="DP63" s="701">
        <v>52</v>
      </c>
      <c r="DQ63" s="702"/>
      <c r="DR63" s="702"/>
      <c r="DS63" s="703"/>
      <c r="DT63" s="704"/>
      <c r="DV63" s="701">
        <v>52</v>
      </c>
      <c r="DW63" s="702"/>
      <c r="DX63" s="702"/>
      <c r="DY63" s="703"/>
      <c r="DZ63" s="704"/>
      <c r="EB63" s="701">
        <v>52</v>
      </c>
      <c r="EC63" s="702"/>
      <c r="ED63" s="702"/>
      <c r="EE63" s="703"/>
      <c r="EF63" s="704"/>
      <c r="EH63" s="695">
        <v>52</v>
      </c>
      <c r="EI63" s="666"/>
      <c r="EJ63" s="666"/>
      <c r="EK63" s="645"/>
      <c r="EL63" s="640"/>
      <c r="EN63" s="695">
        <v>52</v>
      </c>
      <c r="EO63" s="666"/>
      <c r="EP63" s="666"/>
      <c r="EQ63" s="645"/>
      <c r="ER63" s="640"/>
      <c r="ET63" s="695">
        <v>52</v>
      </c>
      <c r="EU63" s="666"/>
      <c r="EV63" s="666"/>
      <c r="EW63" s="645"/>
      <c r="EX63" s="640"/>
    </row>
    <row r="64" spans="12:154">
      <c r="L64" s="701">
        <v>53</v>
      </c>
      <c r="M64" s="702"/>
      <c r="N64" s="702"/>
      <c r="O64" s="703">
        <v>24.044</v>
      </c>
      <c r="R64" s="701">
        <v>53</v>
      </c>
      <c r="S64" s="702"/>
      <c r="T64" s="702"/>
      <c r="U64" s="703">
        <v>12.55139</v>
      </c>
      <c r="X64" s="701">
        <v>53</v>
      </c>
      <c r="Y64" s="702"/>
      <c r="Z64" s="702"/>
      <c r="AA64" s="703">
        <v>24.843</v>
      </c>
      <c r="AD64" s="701">
        <v>53</v>
      </c>
      <c r="AE64" s="702"/>
      <c r="AF64" s="702"/>
      <c r="AG64" s="703">
        <v>208.071</v>
      </c>
      <c r="AJ64" s="701">
        <v>53</v>
      </c>
      <c r="AK64" s="702"/>
      <c r="AL64" s="702"/>
      <c r="AM64" s="703">
        <v>233.56899999999999</v>
      </c>
      <c r="AP64" s="701">
        <v>53</v>
      </c>
      <c r="AQ64" s="702"/>
      <c r="AR64" s="702"/>
      <c r="AS64" s="703">
        <v>20.92</v>
      </c>
      <c r="AV64" s="701">
        <v>53</v>
      </c>
      <c r="AW64" s="702"/>
      <c r="AX64" s="702"/>
      <c r="AY64" s="703">
        <v>90.84</v>
      </c>
      <c r="BB64" s="701">
        <v>53</v>
      </c>
      <c r="BC64" s="702"/>
      <c r="BD64" s="702"/>
      <c r="BE64" s="703">
        <v>61.95</v>
      </c>
      <c r="BH64" s="701">
        <v>53</v>
      </c>
      <c r="BI64" s="702"/>
      <c r="BJ64" s="702"/>
      <c r="BK64" s="703">
        <v>1.79437</v>
      </c>
      <c r="BN64" s="701">
        <v>53</v>
      </c>
      <c r="BO64" s="702"/>
      <c r="BP64" s="702"/>
      <c r="BQ64" s="703">
        <v>16.161000000000001</v>
      </c>
      <c r="BT64" s="701">
        <v>53</v>
      </c>
      <c r="BU64" s="702"/>
      <c r="BV64" s="702"/>
      <c r="BW64" s="703">
        <v>178.91300000000001</v>
      </c>
      <c r="BZ64" s="701">
        <v>53</v>
      </c>
      <c r="CA64" s="702"/>
      <c r="CB64" s="702"/>
      <c r="CC64" s="703">
        <v>63.963999999999999</v>
      </c>
      <c r="CF64" s="701">
        <v>53</v>
      </c>
      <c r="CG64" s="702"/>
      <c r="CH64" s="702"/>
      <c r="CI64" s="703"/>
      <c r="CL64" s="701">
        <v>53</v>
      </c>
      <c r="CM64" s="702"/>
      <c r="CN64" s="702"/>
      <c r="CO64" s="703"/>
      <c r="CR64" s="701">
        <v>53</v>
      </c>
      <c r="CS64" s="702"/>
      <c r="CT64" s="702"/>
      <c r="CU64" s="703"/>
      <c r="CX64" s="701">
        <v>53</v>
      </c>
      <c r="CY64" s="702"/>
      <c r="CZ64" s="702"/>
      <c r="DA64" s="703"/>
      <c r="DD64" s="701">
        <v>53</v>
      </c>
      <c r="DE64" s="702"/>
      <c r="DF64" s="702"/>
      <c r="DG64" s="703"/>
      <c r="DJ64" s="701">
        <v>53</v>
      </c>
      <c r="DK64" s="702"/>
      <c r="DL64" s="702"/>
      <c r="DM64" s="703"/>
      <c r="DP64" s="701">
        <v>53</v>
      </c>
      <c r="DQ64" s="702"/>
      <c r="DR64" s="702"/>
      <c r="DS64" s="703"/>
      <c r="DV64" s="701">
        <v>53</v>
      </c>
      <c r="DW64" s="702"/>
      <c r="DX64" s="702"/>
      <c r="DY64" s="703"/>
      <c r="EB64" s="701">
        <v>53</v>
      </c>
      <c r="EC64" s="702"/>
      <c r="ED64" s="702"/>
      <c r="EE64" s="703"/>
      <c r="EH64" s="695">
        <v>53</v>
      </c>
      <c r="EI64" s="666"/>
      <c r="EJ64" s="666"/>
      <c r="EK64" s="645"/>
      <c r="EN64" s="695">
        <v>53</v>
      </c>
      <c r="EO64" s="666"/>
      <c r="EP64" s="666"/>
      <c r="EQ64" s="645"/>
      <c r="ET64" s="695">
        <v>53</v>
      </c>
      <c r="EU64" s="666"/>
      <c r="EV64" s="666"/>
      <c r="EW64" s="645"/>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&amp;RInforme de la Operación Mensual - febrero 2025
INF-SGI-MES-02-2025
11/03/2025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4"/>
  <sheetViews>
    <sheetView showGridLines="0" view="pageBreakPreview" zoomScale="115" zoomScaleNormal="130" zoomScaleSheetLayoutView="115" zoomScalePageLayoutView="115" workbookViewId="0">
      <selection activeCell="K7" sqref="K7"/>
    </sheetView>
  </sheetViews>
  <sheetFormatPr defaultColWidth="11.7109375" defaultRowHeight="14.4"/>
  <cols>
    <col min="1" max="1" width="3" style="632" customWidth="1"/>
    <col min="2" max="2" width="7" style="632" customWidth="1"/>
    <col min="3" max="3" width="70.7109375" style="647" customWidth="1"/>
    <col min="4" max="4" width="13.140625" style="632" customWidth="1"/>
    <col min="5" max="5" width="13" style="632" customWidth="1"/>
    <col min="6" max="6" width="12.140625" style="632" customWidth="1"/>
    <col min="7" max="7" width="11.7109375" style="632"/>
    <col min="8" max="8" width="14.42578125" style="632" bestFit="1" customWidth="1"/>
    <col min="9" max="11" width="12.5703125" style="632" customWidth="1"/>
    <col min="12" max="16384" width="11.7109375" style="632"/>
  </cols>
  <sheetData>
    <row r="1" spans="1:52" ht="49.2" customHeight="1">
      <c r="A1" s="864"/>
      <c r="B1" s="864"/>
    </row>
    <row r="2" spans="1:52" ht="15.6">
      <c r="A2" s="633" t="s">
        <v>201</v>
      </c>
      <c r="W2" s="646"/>
      <c r="X2" s="646"/>
      <c r="Y2" s="646"/>
      <c r="Z2" s="646"/>
      <c r="AA2" s="646"/>
      <c r="AB2" s="646"/>
      <c r="AC2" s="646"/>
      <c r="AD2" s="646"/>
      <c r="AE2" s="646"/>
      <c r="AF2" s="646"/>
      <c r="AG2" s="646"/>
      <c r="AH2" s="646"/>
      <c r="AI2" s="646"/>
      <c r="AJ2" s="646"/>
      <c r="AK2" s="646"/>
      <c r="AL2" s="646"/>
      <c r="AM2" s="646"/>
      <c r="AN2" s="646"/>
      <c r="AO2" s="646"/>
      <c r="AP2" s="646"/>
      <c r="AQ2" s="646"/>
      <c r="AR2" s="646"/>
      <c r="AS2" s="646"/>
      <c r="AT2" s="646"/>
      <c r="AU2" s="646"/>
      <c r="AV2" s="646"/>
      <c r="AW2" s="646"/>
      <c r="AX2" s="646"/>
      <c r="AY2" s="646"/>
      <c r="AZ2" s="646"/>
    </row>
    <row r="3" spans="1:52" ht="4.2" customHeight="1">
      <c r="W3" s="646"/>
      <c r="X3" s="646"/>
      <c r="Y3" s="646"/>
      <c r="Z3" s="646"/>
      <c r="AA3" s="646"/>
      <c r="AB3" s="646"/>
      <c r="AC3" s="646"/>
      <c r="AD3" s="646"/>
      <c r="AE3" s="646"/>
      <c r="AF3" s="646"/>
      <c r="AG3" s="646"/>
      <c r="AH3" s="646"/>
      <c r="AI3" s="646"/>
      <c r="AJ3" s="646"/>
      <c r="AK3" s="646"/>
      <c r="AL3" s="646"/>
      <c r="AM3" s="646"/>
      <c r="AN3" s="646"/>
      <c r="AO3" s="646"/>
      <c r="AP3" s="646"/>
      <c r="AQ3" s="646"/>
      <c r="AR3" s="646"/>
      <c r="AS3" s="646"/>
      <c r="AT3" s="646"/>
      <c r="AU3" s="646"/>
      <c r="AV3" s="646"/>
      <c r="AW3" s="646"/>
      <c r="AX3" s="646"/>
      <c r="AY3" s="646"/>
      <c r="AZ3" s="646"/>
    </row>
    <row r="4" spans="1:52">
      <c r="B4" s="683" t="s">
        <v>292</v>
      </c>
      <c r="W4" s="646"/>
      <c r="X4" s="646"/>
      <c r="Y4" s="646"/>
      <c r="Z4" s="646"/>
      <c r="AA4" s="646"/>
      <c r="AB4" s="646"/>
      <c r="AC4" s="646"/>
      <c r="AD4" s="646"/>
      <c r="AE4" s="646"/>
      <c r="AF4" s="646"/>
      <c r="AG4" s="646"/>
      <c r="AH4" s="646"/>
      <c r="AI4" s="646"/>
      <c r="AJ4" s="646"/>
      <c r="AK4" s="646"/>
      <c r="AL4" s="646"/>
      <c r="AM4" s="646"/>
      <c r="AN4" s="646"/>
      <c r="AO4" s="646"/>
      <c r="AP4" s="646"/>
      <c r="AQ4" s="646"/>
      <c r="AR4" s="646"/>
      <c r="AS4" s="646"/>
      <c r="AT4" s="646"/>
      <c r="AU4" s="646"/>
      <c r="AV4" s="646"/>
      <c r="AW4" s="646"/>
      <c r="AX4" s="646"/>
      <c r="AY4" s="646"/>
      <c r="AZ4" s="646"/>
    </row>
    <row r="5" spans="1:52" ht="9" customHeight="1">
      <c r="W5" s="646"/>
      <c r="X5" s="646"/>
      <c r="Y5" s="646"/>
      <c r="Z5" s="646"/>
      <c r="AA5" s="646"/>
      <c r="AB5" s="646"/>
      <c r="AC5" s="646"/>
      <c r="AD5" s="646"/>
      <c r="AE5" s="646"/>
      <c r="AF5" s="646"/>
      <c r="AG5" s="646"/>
      <c r="AH5" s="646"/>
      <c r="AI5" s="646"/>
      <c r="AJ5" s="646"/>
      <c r="AK5" s="646"/>
      <c r="AL5" s="646"/>
      <c r="AM5" s="646"/>
      <c r="AN5" s="646"/>
      <c r="AO5" s="646"/>
      <c r="AP5" s="646"/>
      <c r="AQ5" s="646"/>
      <c r="AR5" s="646"/>
      <c r="AS5" s="646"/>
      <c r="AT5" s="646"/>
      <c r="AU5" s="646"/>
      <c r="AV5" s="646"/>
      <c r="AW5" s="646"/>
      <c r="AX5" s="646"/>
      <c r="AY5" s="646"/>
      <c r="AZ5" s="646"/>
    </row>
    <row r="6" spans="1:52" ht="15.6" customHeight="1">
      <c r="C6" s="685" t="s">
        <v>461</v>
      </c>
      <c r="D6" s="686">
        <v>45689</v>
      </c>
      <c r="E6" s="686">
        <v>45323</v>
      </c>
      <c r="F6" s="687" t="s">
        <v>410</v>
      </c>
      <c r="I6" s="692"/>
      <c r="J6" s="692"/>
      <c r="K6" s="692"/>
      <c r="W6" s="646"/>
      <c r="X6" s="646"/>
      <c r="Y6" s="646"/>
      <c r="Z6" s="646"/>
      <c r="AA6" s="646"/>
      <c r="AB6" s="646"/>
      <c r="AC6" s="646"/>
      <c r="AD6" s="646"/>
      <c r="AE6" s="646"/>
      <c r="AF6" s="646"/>
      <c r="AG6" s="646"/>
      <c r="AH6" s="646"/>
      <c r="AI6" s="646"/>
      <c r="AJ6" s="646"/>
      <c r="AK6" s="646"/>
      <c r="AL6" s="646"/>
      <c r="AM6" s="646"/>
      <c r="AN6" s="646"/>
      <c r="AO6" s="646"/>
      <c r="AP6" s="646"/>
      <c r="AQ6" s="646"/>
      <c r="AR6" s="646"/>
      <c r="AS6" s="646"/>
      <c r="AT6" s="646"/>
      <c r="AU6" s="646"/>
      <c r="AV6" s="646"/>
      <c r="AW6" s="646"/>
      <c r="AX6" s="646"/>
      <c r="AY6" s="646"/>
      <c r="AZ6" s="646"/>
    </row>
    <row r="7" spans="1:52" ht="9.6" customHeight="1">
      <c r="C7" s="679" t="s">
        <v>462</v>
      </c>
      <c r="D7" s="680">
        <v>12.173659166666667</v>
      </c>
      <c r="E7" s="680">
        <v>18.539915287356319</v>
      </c>
      <c r="F7" s="681">
        <v>-0.34338107925613098</v>
      </c>
      <c r="I7" s="692"/>
      <c r="J7" s="692"/>
      <c r="K7" s="692"/>
      <c r="W7" s="646"/>
      <c r="X7" s="646"/>
      <c r="Y7" s="646"/>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row>
    <row r="8" spans="1:52" ht="9.6" customHeight="1">
      <c r="C8" s="679" t="s">
        <v>463</v>
      </c>
      <c r="D8" s="680">
        <v>1.6689445597484276</v>
      </c>
      <c r="E8" s="680">
        <v>0</v>
      </c>
      <c r="F8" s="681"/>
      <c r="I8" s="692"/>
      <c r="J8" s="692"/>
      <c r="K8" s="692"/>
      <c r="W8" s="646"/>
      <c r="X8" s="646"/>
      <c r="Y8" s="646"/>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row>
    <row r="9" spans="1:52" ht="9.6" customHeight="1">
      <c r="C9" s="679" t="s">
        <v>464</v>
      </c>
      <c r="D9" s="680">
        <v>34.838331790123455</v>
      </c>
      <c r="E9" s="680">
        <v>69.295535919540228</v>
      </c>
      <c r="F9" s="681">
        <v>-0.49724998403108384</v>
      </c>
      <c r="I9" s="692"/>
      <c r="J9" s="692"/>
      <c r="K9" s="692"/>
      <c r="W9" s="646"/>
      <c r="X9" s="646"/>
      <c r="Y9" s="646"/>
      <c r="Z9" s="646"/>
      <c r="AA9" s="646"/>
      <c r="AB9" s="646"/>
      <c r="AC9" s="646"/>
      <c r="AD9" s="646"/>
      <c r="AE9" s="646"/>
      <c r="AF9" s="646"/>
      <c r="AG9" s="646"/>
      <c r="AH9" s="646"/>
      <c r="AI9" s="646"/>
      <c r="AJ9" s="646"/>
      <c r="AK9" s="646"/>
      <c r="AL9" s="646"/>
      <c r="AM9" s="646"/>
      <c r="AN9" s="646"/>
      <c r="AO9" s="646"/>
      <c r="AP9" s="646"/>
      <c r="AQ9" s="646"/>
      <c r="AR9" s="646"/>
      <c r="AS9" s="646"/>
      <c r="AT9" s="646"/>
      <c r="AU9" s="646"/>
      <c r="AV9" s="646"/>
      <c r="AW9" s="646"/>
      <c r="AX9" s="646"/>
      <c r="AY9" s="646"/>
      <c r="AZ9" s="646"/>
    </row>
    <row r="10" spans="1:52" ht="9.6" customHeight="1">
      <c r="C10" s="679" t="s">
        <v>465</v>
      </c>
      <c r="D10" s="680">
        <v>23.277629629629629</v>
      </c>
      <c r="E10" s="680">
        <v>20.059772988505745</v>
      </c>
      <c r="F10" s="681">
        <v>0.16041341260281036</v>
      </c>
      <c r="I10" s="692"/>
      <c r="J10" s="692"/>
      <c r="K10" s="692"/>
      <c r="W10" s="646"/>
      <c r="X10" s="646"/>
      <c r="Y10" s="646"/>
      <c r="Z10" s="646"/>
      <c r="AA10" s="646"/>
      <c r="AB10" s="646"/>
      <c r="AC10" s="646"/>
      <c r="AD10" s="646"/>
      <c r="AE10" s="646"/>
      <c r="AF10" s="646"/>
      <c r="AG10" s="646"/>
      <c r="AH10" s="646"/>
      <c r="AI10" s="646"/>
      <c r="AJ10" s="646"/>
      <c r="AK10" s="646"/>
      <c r="AL10" s="646"/>
      <c r="AM10" s="646"/>
      <c r="AN10" s="646"/>
      <c r="AO10" s="646"/>
      <c r="AP10" s="646"/>
      <c r="AQ10" s="646"/>
      <c r="AR10" s="646"/>
      <c r="AS10" s="646"/>
      <c r="AT10" s="646"/>
      <c r="AU10" s="646"/>
      <c r="AV10" s="646"/>
      <c r="AW10" s="646"/>
      <c r="AX10" s="646"/>
      <c r="AY10" s="646"/>
      <c r="AZ10" s="646"/>
    </row>
    <row r="11" spans="1:52" ht="9.6" customHeight="1">
      <c r="C11" s="679" t="s">
        <v>466</v>
      </c>
      <c r="D11" s="680">
        <v>286.37687499999998</v>
      </c>
      <c r="E11" s="680">
        <v>138.17266666666666</v>
      </c>
      <c r="F11" s="681">
        <v>1.0726014913707005</v>
      </c>
      <c r="I11" s="692"/>
      <c r="J11" s="692"/>
      <c r="K11" s="692"/>
      <c r="W11" s="646"/>
      <c r="X11" s="646"/>
      <c r="Y11" s="646"/>
      <c r="Z11" s="646"/>
      <c r="AA11" s="646"/>
      <c r="AB11" s="646"/>
      <c r="AC11" s="646"/>
      <c r="AD11" s="646"/>
      <c r="AE11" s="646"/>
      <c r="AF11" s="646"/>
      <c r="AG11" s="646"/>
      <c r="AH11" s="646"/>
      <c r="AI11" s="646"/>
      <c r="AJ11" s="646"/>
      <c r="AK11" s="646"/>
      <c r="AL11" s="646"/>
      <c r="AM11" s="646"/>
      <c r="AN11" s="646"/>
      <c r="AO11" s="646"/>
      <c r="AP11" s="646"/>
      <c r="AQ11" s="646"/>
      <c r="AR11" s="646"/>
      <c r="AS11" s="646"/>
      <c r="AT11" s="646"/>
      <c r="AU11" s="646"/>
      <c r="AV11" s="646"/>
      <c r="AW11" s="646"/>
      <c r="AX11" s="646"/>
      <c r="AY11" s="646"/>
      <c r="AZ11" s="646"/>
    </row>
    <row r="12" spans="1:52" ht="9.6" customHeight="1">
      <c r="C12" s="679" t="s">
        <v>467</v>
      </c>
      <c r="D12" s="680">
        <v>13.910860119047619</v>
      </c>
      <c r="E12" s="680">
        <v>7.4640517241379314</v>
      </c>
      <c r="F12" s="681">
        <v>0.86371432476297183</v>
      </c>
      <c r="I12" s="692"/>
      <c r="J12" s="692"/>
      <c r="K12" s="692"/>
      <c r="W12" s="646"/>
      <c r="X12" s="646"/>
      <c r="Y12" s="646"/>
      <c r="Z12" s="646"/>
      <c r="AA12" s="646"/>
      <c r="AB12" s="646"/>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row>
    <row r="13" spans="1:52" ht="9.6" customHeight="1">
      <c r="C13" s="679" t="s">
        <v>468</v>
      </c>
      <c r="D13" s="680">
        <v>1.032172619047619</v>
      </c>
      <c r="E13" s="680">
        <v>0</v>
      </c>
      <c r="F13" s="681"/>
      <c r="I13" s="692"/>
      <c r="J13" s="692"/>
      <c r="K13" s="692"/>
      <c r="W13" s="646"/>
      <c r="X13" s="646"/>
      <c r="Y13" s="646"/>
      <c r="Z13" s="646"/>
      <c r="AA13" s="646"/>
      <c r="AB13" s="646"/>
      <c r="AC13" s="646"/>
      <c r="AD13" s="646"/>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row>
    <row r="14" spans="1:52" ht="9.6" customHeight="1">
      <c r="C14" s="679" t="s">
        <v>469</v>
      </c>
      <c r="D14" s="680">
        <v>138.1507738095238</v>
      </c>
      <c r="E14" s="680">
        <v>57.938722701149423</v>
      </c>
      <c r="F14" s="681">
        <v>1.384429054850101</v>
      </c>
      <c r="I14" s="692"/>
      <c r="J14" s="692"/>
      <c r="K14" s="692"/>
      <c r="W14" s="646"/>
      <c r="X14" s="646"/>
      <c r="Y14" s="646"/>
      <c r="Z14" s="646"/>
      <c r="AA14" s="646"/>
      <c r="AB14" s="646"/>
      <c r="AC14" s="646"/>
      <c r="AD14" s="646"/>
      <c r="AE14" s="646"/>
      <c r="AF14" s="646"/>
      <c r="AG14" s="646"/>
      <c r="AH14" s="646"/>
      <c r="AI14" s="646"/>
      <c r="AJ14" s="646"/>
      <c r="AK14" s="646"/>
      <c r="AL14" s="646"/>
      <c r="AM14" s="646"/>
      <c r="AN14" s="646"/>
      <c r="AO14" s="646"/>
      <c r="AP14" s="646"/>
      <c r="AQ14" s="646"/>
      <c r="AR14" s="646"/>
      <c r="AS14" s="646"/>
      <c r="AT14" s="646"/>
      <c r="AU14" s="646"/>
      <c r="AV14" s="646"/>
      <c r="AW14" s="646"/>
      <c r="AX14" s="646"/>
      <c r="AY14" s="646"/>
      <c r="AZ14" s="646"/>
    </row>
    <row r="15" spans="1:52" ht="9.6" customHeight="1">
      <c r="C15" s="679" t="s">
        <v>470</v>
      </c>
      <c r="D15" s="680">
        <v>12.044935714285714</v>
      </c>
      <c r="E15" s="680">
        <v>5.3943793103448279</v>
      </c>
      <c r="F15" s="681">
        <v>1.2328677724213946</v>
      </c>
      <c r="I15" s="692"/>
      <c r="J15" s="692"/>
      <c r="K15" s="692"/>
      <c r="W15" s="646"/>
      <c r="X15" s="646"/>
      <c r="Y15" s="646"/>
      <c r="Z15" s="646"/>
      <c r="AA15" s="646"/>
      <c r="AB15" s="646"/>
      <c r="AC15" s="646"/>
      <c r="AD15" s="646"/>
      <c r="AE15" s="646"/>
      <c r="AF15" s="646"/>
      <c r="AG15" s="646"/>
      <c r="AH15" s="646"/>
      <c r="AI15" s="646"/>
      <c r="AJ15" s="646"/>
      <c r="AK15" s="646"/>
      <c r="AL15" s="646"/>
      <c r="AM15" s="646"/>
      <c r="AN15" s="646"/>
      <c r="AO15" s="646"/>
      <c r="AP15" s="646"/>
      <c r="AQ15" s="646"/>
      <c r="AR15" s="646"/>
      <c r="AS15" s="646"/>
      <c r="AT15" s="646"/>
      <c r="AU15" s="646"/>
      <c r="AV15" s="646"/>
      <c r="AW15" s="646"/>
      <c r="AX15" s="646"/>
      <c r="AY15" s="646"/>
      <c r="AZ15" s="646"/>
    </row>
    <row r="16" spans="1:52" ht="9.6" customHeight="1">
      <c r="C16" s="679" t="s">
        <v>471</v>
      </c>
      <c r="D16" s="680">
        <v>19.280883580246911</v>
      </c>
      <c r="E16" s="680">
        <v>17.229742413793105</v>
      </c>
      <c r="F16" s="681">
        <v>0.11904653692395244</v>
      </c>
      <c r="I16" s="692"/>
      <c r="J16" s="692"/>
      <c r="K16" s="692"/>
      <c r="W16" s="646"/>
      <c r="X16" s="646"/>
      <c r="Y16" s="646"/>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row>
    <row r="17" spans="3:52" ht="9.6" customHeight="1">
      <c r="C17" s="679" t="s">
        <v>472</v>
      </c>
      <c r="D17" s="680">
        <v>31.938055432098764</v>
      </c>
      <c r="E17" s="680">
        <v>25.37370632183908</v>
      </c>
      <c r="F17" s="681">
        <v>0.25870675048405395</v>
      </c>
      <c r="I17" s="692"/>
      <c r="J17" s="692"/>
      <c r="K17" s="692"/>
      <c r="W17" s="646"/>
      <c r="X17" s="646"/>
      <c r="Y17" s="646"/>
      <c r="Z17" s="646"/>
      <c r="AA17" s="646"/>
      <c r="AB17" s="646"/>
      <c r="AC17" s="646"/>
      <c r="AD17" s="646"/>
      <c r="AE17" s="646"/>
      <c r="AF17" s="646"/>
      <c r="AG17" s="646"/>
      <c r="AH17" s="646"/>
      <c r="AI17" s="646"/>
      <c r="AJ17" s="646"/>
      <c r="AK17" s="646"/>
      <c r="AL17" s="646"/>
      <c r="AM17" s="646"/>
      <c r="AN17" s="646"/>
      <c r="AO17" s="646"/>
      <c r="AP17" s="646"/>
      <c r="AQ17" s="646"/>
      <c r="AR17" s="646"/>
      <c r="AS17" s="646"/>
      <c r="AT17" s="646"/>
      <c r="AU17" s="646"/>
      <c r="AV17" s="646"/>
      <c r="AW17" s="646"/>
      <c r="AX17" s="646"/>
      <c r="AY17" s="646"/>
      <c r="AZ17" s="646"/>
    </row>
    <row r="18" spans="3:52" ht="9.6" customHeight="1">
      <c r="C18" s="679" t="s">
        <v>473</v>
      </c>
      <c r="D18" s="680">
        <v>171.18672839506169</v>
      </c>
      <c r="E18" s="680">
        <v>152.5933908045977</v>
      </c>
      <c r="F18" s="681">
        <v>0.12184890507003403</v>
      </c>
      <c r="I18" s="692"/>
      <c r="J18" s="692"/>
      <c r="K18" s="692"/>
      <c r="W18" s="646"/>
      <c r="X18" s="646"/>
      <c r="Y18" s="646"/>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row>
    <row r="19" spans="3:52" ht="9.6" customHeight="1">
      <c r="C19" s="679" t="s">
        <v>474</v>
      </c>
      <c r="D19" s="680">
        <v>41.465123456790124</v>
      </c>
      <c r="E19" s="680">
        <v>34.952729885057472</v>
      </c>
      <c r="F19" s="681">
        <v>0.18632002688055402</v>
      </c>
      <c r="I19" s="692"/>
      <c r="J19" s="692"/>
      <c r="K19" s="692"/>
      <c r="W19" s="646"/>
      <c r="X19" s="646"/>
      <c r="Y19" s="646"/>
      <c r="Z19" s="646"/>
      <c r="AA19" s="646"/>
      <c r="AB19" s="646"/>
      <c r="AC19" s="646"/>
      <c r="AD19" s="646"/>
      <c r="AE19" s="646"/>
      <c r="AF19" s="646"/>
      <c r="AG19" s="646"/>
      <c r="AH19" s="646"/>
      <c r="AI19" s="646"/>
      <c r="AJ19" s="646"/>
      <c r="AK19" s="646"/>
      <c r="AL19" s="646"/>
      <c r="AM19" s="646"/>
      <c r="AN19" s="646"/>
      <c r="AO19" s="646"/>
      <c r="AP19" s="646"/>
      <c r="AQ19" s="646"/>
      <c r="AR19" s="646"/>
      <c r="AS19" s="646"/>
      <c r="AT19" s="646"/>
      <c r="AU19" s="646"/>
      <c r="AV19" s="646"/>
      <c r="AW19" s="646"/>
      <c r="AX19" s="646"/>
      <c r="AY19" s="646"/>
      <c r="AZ19" s="646"/>
    </row>
    <row r="20" spans="3:52" ht="9.6" customHeight="1">
      <c r="C20" s="679" t="s">
        <v>475</v>
      </c>
      <c r="D20" s="680">
        <v>89.827870370370363</v>
      </c>
      <c r="E20" s="680">
        <v>75.697083333333325</v>
      </c>
      <c r="F20" s="681">
        <v>0.18667544923510312</v>
      </c>
      <c r="I20" s="692"/>
      <c r="J20" s="692"/>
      <c r="K20" s="692"/>
      <c r="W20" s="646"/>
      <c r="X20" s="646"/>
      <c r="Y20" s="646"/>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row>
    <row r="21" spans="3:52" ht="9.6" customHeight="1">
      <c r="C21" s="679" t="s">
        <v>476</v>
      </c>
      <c r="D21" s="680">
        <v>114.95311444444442</v>
      </c>
      <c r="E21" s="680">
        <v>81.36450137931034</v>
      </c>
      <c r="F21" s="681">
        <v>0.41281655385004462</v>
      </c>
      <c r="I21" s="692"/>
      <c r="J21" s="692"/>
      <c r="K21" s="692"/>
      <c r="W21" s="646"/>
      <c r="X21" s="646"/>
      <c r="Y21" s="646"/>
      <c r="Z21" s="646"/>
      <c r="AA21" s="646"/>
      <c r="AB21" s="646"/>
      <c r="AC21" s="646"/>
      <c r="AD21" s="646"/>
      <c r="AE21" s="646"/>
      <c r="AF21" s="646"/>
      <c r="AG21" s="646"/>
      <c r="AH21" s="646"/>
      <c r="AI21" s="646"/>
      <c r="AJ21" s="646"/>
      <c r="AK21" s="646"/>
      <c r="AL21" s="646"/>
      <c r="AM21" s="646"/>
      <c r="AN21" s="646"/>
      <c r="AO21" s="646"/>
      <c r="AP21" s="646"/>
      <c r="AQ21" s="646"/>
      <c r="AR21" s="646"/>
      <c r="AS21" s="646"/>
      <c r="AT21" s="646"/>
      <c r="AU21" s="646"/>
      <c r="AV21" s="646"/>
      <c r="AW21" s="646"/>
      <c r="AX21" s="646"/>
      <c r="AY21" s="646"/>
      <c r="AZ21" s="646"/>
    </row>
    <row r="22" spans="3:52" ht="9.6" customHeight="1">
      <c r="C22" s="679" t="s">
        <v>477</v>
      </c>
      <c r="D22" s="680">
        <v>100.39585814814814</v>
      </c>
      <c r="E22" s="680">
        <v>70.751740689655165</v>
      </c>
      <c r="F22" s="681">
        <v>0.41898781810222424</v>
      </c>
      <c r="I22" s="692"/>
      <c r="J22" s="692"/>
      <c r="K22" s="692"/>
      <c r="W22" s="646"/>
      <c r="X22" s="646"/>
      <c r="Y22" s="646"/>
      <c r="Z22" s="646"/>
      <c r="AA22" s="646"/>
      <c r="AB22" s="646"/>
      <c r="AC22" s="646"/>
      <c r="AD22" s="646"/>
      <c r="AE22" s="646"/>
      <c r="AF22" s="646"/>
      <c r="AG22" s="646"/>
      <c r="AH22" s="646"/>
      <c r="AI22" s="646"/>
      <c r="AJ22" s="646"/>
      <c r="AK22" s="646"/>
      <c r="AL22" s="646"/>
      <c r="AM22" s="646"/>
      <c r="AN22" s="646"/>
      <c r="AO22" s="646"/>
      <c r="AP22" s="646"/>
      <c r="AQ22" s="646"/>
      <c r="AR22" s="646"/>
      <c r="AS22" s="646"/>
      <c r="AT22" s="646"/>
      <c r="AU22" s="646"/>
      <c r="AV22" s="646"/>
      <c r="AW22" s="646"/>
      <c r="AX22" s="646"/>
      <c r="AY22" s="646"/>
      <c r="AZ22" s="646"/>
    </row>
    <row r="23" spans="3:52" ht="9.6" customHeight="1">
      <c r="C23" s="679" t="s">
        <v>478</v>
      </c>
      <c r="D23" s="680">
        <v>448.7888928571428</v>
      </c>
      <c r="E23" s="680">
        <v>438.80451724137924</v>
      </c>
      <c r="F23" s="681">
        <v>2.2753584394554677E-2</v>
      </c>
      <c r="I23" s="692"/>
      <c r="J23" s="692"/>
      <c r="K23" s="692"/>
      <c r="W23" s="646"/>
      <c r="X23" s="646"/>
      <c r="Y23" s="646"/>
      <c r="Z23" s="646"/>
      <c r="AA23" s="646"/>
      <c r="AB23" s="646"/>
      <c r="AC23" s="646"/>
      <c r="AD23" s="646"/>
      <c r="AE23" s="646"/>
      <c r="AF23" s="646"/>
      <c r="AG23" s="646"/>
      <c r="AH23" s="646"/>
      <c r="AI23" s="646"/>
      <c r="AJ23" s="646"/>
      <c r="AK23" s="646"/>
      <c r="AL23" s="646"/>
      <c r="AM23" s="646"/>
      <c r="AN23" s="646"/>
      <c r="AO23" s="646"/>
      <c r="AP23" s="646"/>
      <c r="AQ23" s="646"/>
      <c r="AR23" s="646"/>
      <c r="AS23" s="646"/>
      <c r="AT23" s="646"/>
      <c r="AU23" s="646"/>
      <c r="AV23" s="646"/>
      <c r="AW23" s="646"/>
      <c r="AX23" s="646"/>
      <c r="AY23" s="646"/>
      <c r="AZ23" s="646"/>
    </row>
    <row r="24" spans="3:52" ht="9.6" customHeight="1">
      <c r="C24" s="679" t="s">
        <v>479</v>
      </c>
      <c r="D24" s="680">
        <v>368.07666666666665</v>
      </c>
      <c r="E24" s="680">
        <v>233.49848920863306</v>
      </c>
      <c r="F24" s="681">
        <v>0.57635566685738471</v>
      </c>
      <c r="I24" s="692"/>
      <c r="J24" s="692"/>
      <c r="K24" s="692"/>
      <c r="W24" s="646"/>
      <c r="X24" s="646"/>
      <c r="Y24" s="646"/>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row>
    <row r="25" spans="3:52" ht="9.6" customHeight="1">
      <c r="C25" s="679" t="s">
        <v>480</v>
      </c>
      <c r="D25" s="680">
        <v>312.195619047619</v>
      </c>
      <c r="E25" s="680">
        <v>209.27778591954021</v>
      </c>
      <c r="F25" s="681">
        <v>0.49177619438140951</v>
      </c>
      <c r="I25" s="692"/>
      <c r="J25" s="692"/>
      <c r="K25" s="692"/>
      <c r="W25" s="646"/>
      <c r="X25" s="646"/>
      <c r="Y25" s="646"/>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row>
    <row r="26" spans="3:52" ht="9.6" customHeight="1">
      <c r="C26" s="679" t="s">
        <v>481</v>
      </c>
      <c r="D26" s="680">
        <v>136.58750000000001</v>
      </c>
      <c r="E26" s="680">
        <v>116.44066091954022</v>
      </c>
      <c r="F26" s="681">
        <v>0.17302236968906515</v>
      </c>
      <c r="I26" s="692"/>
      <c r="J26" s="692"/>
      <c r="K26" s="692"/>
      <c r="W26" s="646"/>
      <c r="X26" s="646"/>
      <c r="Y26" s="646"/>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row>
    <row r="27" spans="3:52">
      <c r="C27" s="691" t="s">
        <v>759</v>
      </c>
      <c r="D27" s="689"/>
      <c r="E27" s="689"/>
      <c r="F27" s="689"/>
      <c r="I27" s="692"/>
      <c r="J27" s="692"/>
      <c r="K27" s="692"/>
      <c r="W27" s="646"/>
      <c r="X27" s="646"/>
      <c r="Y27" s="646"/>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row>
    <row r="28" spans="3:52">
      <c r="C28" s="690"/>
      <c r="D28" s="689"/>
      <c r="E28" s="689"/>
      <c r="F28" s="689"/>
      <c r="I28" s="692"/>
      <c r="J28" s="692"/>
      <c r="K28" s="692"/>
      <c r="W28" s="646"/>
      <c r="X28" s="646"/>
      <c r="Y28" s="646"/>
      <c r="Z28" s="646"/>
      <c r="AA28" s="646"/>
      <c r="AB28" s="646"/>
      <c r="AC28" s="646"/>
      <c r="AD28" s="646"/>
      <c r="AE28" s="646"/>
      <c r="AF28" s="646"/>
      <c r="AG28" s="646"/>
      <c r="AH28" s="646"/>
      <c r="AI28" s="646"/>
      <c r="AJ28" s="646"/>
      <c r="AK28" s="646"/>
      <c r="AL28" s="646"/>
      <c r="AM28" s="646"/>
      <c r="AN28" s="646"/>
      <c r="AO28" s="646"/>
      <c r="AP28" s="646"/>
      <c r="AQ28" s="646"/>
      <c r="AR28" s="646"/>
      <c r="AS28" s="646"/>
      <c r="AT28" s="646"/>
      <c r="AU28" s="646"/>
      <c r="AV28" s="646"/>
      <c r="AW28" s="646"/>
      <c r="AX28" s="646"/>
      <c r="AY28" s="646"/>
      <c r="AZ28" s="646"/>
    </row>
    <row r="29" spans="3:52">
      <c r="C29" s="685" t="s">
        <v>461</v>
      </c>
      <c r="D29" s="686">
        <v>45689</v>
      </c>
      <c r="E29" s="686">
        <v>45323</v>
      </c>
      <c r="F29" s="687" t="s">
        <v>553</v>
      </c>
      <c r="I29" s="692"/>
      <c r="J29" s="692"/>
      <c r="K29" s="692"/>
      <c r="W29" s="646"/>
      <c r="X29" s="646"/>
      <c r="Y29" s="646"/>
      <c r="Z29" s="646"/>
      <c r="AA29" s="646"/>
      <c r="AB29" s="646"/>
      <c r="AC29" s="646"/>
      <c r="AD29" s="646"/>
      <c r="AE29" s="646"/>
      <c r="AF29" s="646"/>
      <c r="AG29" s="646"/>
      <c r="AH29" s="646"/>
      <c r="AI29" s="646"/>
      <c r="AJ29" s="646"/>
      <c r="AK29" s="646"/>
      <c r="AL29" s="646"/>
      <c r="AM29" s="646"/>
      <c r="AN29" s="646"/>
      <c r="AO29" s="646"/>
      <c r="AP29" s="646"/>
      <c r="AQ29" s="646"/>
      <c r="AR29" s="646"/>
      <c r="AS29" s="646"/>
      <c r="AT29" s="646"/>
      <c r="AU29" s="646"/>
      <c r="AV29" s="646"/>
      <c r="AW29" s="646"/>
      <c r="AX29" s="646"/>
      <c r="AY29" s="646"/>
      <c r="AZ29" s="646"/>
    </row>
    <row r="30" spans="3:52" ht="10.199999999999999" customHeight="1">
      <c r="C30" s="679" t="s">
        <v>482</v>
      </c>
      <c r="D30" s="680">
        <v>0.308</v>
      </c>
      <c r="E30" s="680">
        <v>0</v>
      </c>
      <c r="F30" s="681"/>
      <c r="I30" s="692"/>
      <c r="J30" s="692"/>
      <c r="K30" s="692"/>
      <c r="W30" s="646"/>
      <c r="X30" s="646"/>
      <c r="Y30" s="646"/>
      <c r="Z30" s="646"/>
      <c r="AA30" s="646"/>
      <c r="AB30" s="646"/>
      <c r="AC30" s="646"/>
      <c r="AD30" s="646"/>
      <c r="AE30" s="646"/>
      <c r="AF30" s="646"/>
      <c r="AG30" s="646"/>
      <c r="AH30" s="646"/>
      <c r="AI30" s="646"/>
      <c r="AJ30" s="646"/>
      <c r="AK30" s="646"/>
      <c r="AL30" s="646"/>
      <c r="AM30" s="646"/>
      <c r="AN30" s="646"/>
      <c r="AO30" s="646"/>
      <c r="AP30" s="646"/>
      <c r="AQ30" s="646"/>
      <c r="AR30" s="646"/>
      <c r="AS30" s="646"/>
      <c r="AT30" s="646"/>
      <c r="AU30" s="646"/>
      <c r="AV30" s="646"/>
      <c r="AW30" s="646"/>
      <c r="AX30" s="646"/>
      <c r="AY30" s="646"/>
      <c r="AZ30" s="646"/>
    </row>
    <row r="31" spans="3:52" ht="10.199999999999999" customHeight="1">
      <c r="C31" s="679" t="s">
        <v>483</v>
      </c>
      <c r="D31" s="680">
        <v>0</v>
      </c>
      <c r="E31" s="680">
        <v>0</v>
      </c>
      <c r="F31" s="681"/>
      <c r="I31" s="692"/>
      <c r="J31" s="692"/>
      <c r="K31" s="692"/>
      <c r="W31" s="646"/>
      <c r="X31" s="646"/>
      <c r="Y31" s="646"/>
      <c r="Z31" s="646"/>
      <c r="AA31" s="646"/>
      <c r="AB31" s="646"/>
      <c r="AC31" s="646"/>
      <c r="AD31" s="646"/>
      <c r="AE31" s="646"/>
      <c r="AF31" s="646"/>
      <c r="AG31" s="646"/>
      <c r="AH31" s="646"/>
      <c r="AI31" s="646"/>
      <c r="AJ31" s="646"/>
      <c r="AK31" s="646"/>
      <c r="AL31" s="646"/>
      <c r="AM31" s="646"/>
      <c r="AN31" s="646"/>
      <c r="AO31" s="646"/>
      <c r="AP31" s="646"/>
      <c r="AQ31" s="646"/>
      <c r="AR31" s="646"/>
      <c r="AS31" s="646"/>
      <c r="AT31" s="646"/>
      <c r="AU31" s="646"/>
      <c r="AV31" s="646"/>
      <c r="AW31" s="646"/>
      <c r="AX31" s="646"/>
      <c r="AY31" s="646"/>
      <c r="AZ31" s="646"/>
    </row>
    <row r="32" spans="3:52" ht="10.199999999999999" customHeight="1">
      <c r="C32" s="679" t="s">
        <v>484</v>
      </c>
      <c r="D32" s="680">
        <v>0</v>
      </c>
      <c r="E32" s="680">
        <v>0</v>
      </c>
      <c r="F32" s="681"/>
      <c r="I32" s="692"/>
      <c r="J32" s="692"/>
      <c r="K32" s="692"/>
      <c r="W32" s="646"/>
      <c r="X32" s="646"/>
      <c r="Y32" s="646"/>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row>
    <row r="33" spans="3:52" ht="10.199999999999999" customHeight="1">
      <c r="C33" s="679" t="s">
        <v>485</v>
      </c>
      <c r="D33" s="680">
        <v>0.08</v>
      </c>
      <c r="E33" s="680">
        <v>0.08</v>
      </c>
      <c r="F33" s="681">
        <v>0</v>
      </c>
      <c r="I33" s="692"/>
      <c r="J33" s="692"/>
      <c r="K33" s="692"/>
      <c r="W33" s="646"/>
      <c r="X33" s="646"/>
      <c r="Y33" s="646"/>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row>
    <row r="34" spans="3:52" ht="10.199999999999999" customHeight="1">
      <c r="C34" s="679" t="s">
        <v>486</v>
      </c>
      <c r="D34" s="680">
        <v>0.4</v>
      </c>
      <c r="E34" s="680">
        <v>1.5</v>
      </c>
      <c r="F34" s="681">
        <v>-0.73333333333333339</v>
      </c>
      <c r="I34" s="692"/>
      <c r="J34" s="692"/>
      <c r="K34" s="692"/>
      <c r="W34" s="646"/>
      <c r="X34" s="646"/>
      <c r="Y34" s="646"/>
      <c r="Z34" s="646"/>
      <c r="AA34" s="646"/>
      <c r="AB34" s="646"/>
      <c r="AC34" s="646"/>
      <c r="AD34" s="646"/>
      <c r="AE34" s="646"/>
      <c r="AF34" s="646"/>
      <c r="AG34" s="646"/>
      <c r="AH34" s="646"/>
      <c r="AI34" s="646"/>
      <c r="AJ34" s="646"/>
      <c r="AK34" s="646"/>
      <c r="AL34" s="646"/>
      <c r="AM34" s="646"/>
      <c r="AN34" s="646"/>
      <c r="AO34" s="646"/>
      <c r="AP34" s="646"/>
      <c r="AQ34" s="646"/>
      <c r="AR34" s="646"/>
      <c r="AS34" s="646"/>
      <c r="AT34" s="646"/>
      <c r="AU34" s="646"/>
      <c r="AV34" s="646"/>
      <c r="AW34" s="646"/>
      <c r="AX34" s="646"/>
      <c r="AY34" s="646"/>
      <c r="AZ34" s="646"/>
    </row>
    <row r="35" spans="3:52" ht="10.199999999999999" customHeight="1">
      <c r="C35" s="679" t="s">
        <v>487</v>
      </c>
      <c r="D35" s="680">
        <v>0.15</v>
      </c>
      <c r="E35" s="680">
        <v>0.32700000000000001</v>
      </c>
      <c r="F35" s="681">
        <v>-0.54128440366972475</v>
      </c>
      <c r="I35" s="692"/>
      <c r="J35" s="692"/>
      <c r="K35" s="692"/>
      <c r="W35" s="646"/>
      <c r="X35" s="646"/>
      <c r="Y35" s="646"/>
      <c r="Z35" s="646"/>
      <c r="AA35" s="646"/>
      <c r="AB35" s="646"/>
      <c r="AC35" s="646"/>
      <c r="AD35" s="646"/>
      <c r="AE35" s="646"/>
      <c r="AF35" s="646"/>
      <c r="AG35" s="646"/>
      <c r="AH35" s="646"/>
      <c r="AI35" s="646"/>
      <c r="AJ35" s="646"/>
      <c r="AK35" s="646"/>
      <c r="AL35" s="646"/>
      <c r="AM35" s="646"/>
      <c r="AN35" s="646"/>
      <c r="AO35" s="646"/>
      <c r="AP35" s="646"/>
      <c r="AQ35" s="646"/>
      <c r="AR35" s="646"/>
      <c r="AS35" s="646"/>
      <c r="AT35" s="646"/>
      <c r="AU35" s="646"/>
      <c r="AV35" s="646"/>
      <c r="AW35" s="646"/>
      <c r="AX35" s="646"/>
      <c r="AY35" s="646"/>
      <c r="AZ35" s="646"/>
    </row>
    <row r="36" spans="3:52" ht="10.199999999999999" customHeight="1">
      <c r="C36" s="679" t="s">
        <v>488</v>
      </c>
      <c r="D36" s="680">
        <v>1.207857142857143</v>
      </c>
      <c r="E36" s="680">
        <v>0.23379310344827589</v>
      </c>
      <c r="F36" s="681">
        <v>4.1663506110408761</v>
      </c>
      <c r="I36" s="692"/>
      <c r="J36" s="692"/>
      <c r="K36" s="692"/>
      <c r="W36" s="646"/>
      <c r="X36" s="646"/>
      <c r="Y36" s="646"/>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row>
    <row r="37" spans="3:52" ht="10.199999999999999" customHeight="1">
      <c r="C37" s="679" t="s">
        <v>489</v>
      </c>
      <c r="D37" s="680">
        <v>0</v>
      </c>
      <c r="E37" s="680">
        <v>0</v>
      </c>
      <c r="F37" s="681"/>
      <c r="I37" s="692"/>
      <c r="J37" s="692"/>
      <c r="K37" s="692"/>
      <c r="W37" s="646"/>
      <c r="X37" s="646"/>
      <c r="Y37" s="646"/>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row>
    <row r="38" spans="3:52" ht="10.199999999999999" customHeight="1">
      <c r="C38" s="679" t="s">
        <v>490</v>
      </c>
      <c r="D38" s="680">
        <v>0.2</v>
      </c>
      <c r="E38" s="680">
        <v>1.4141379310344828</v>
      </c>
      <c r="F38" s="681">
        <v>-0.85857108022433559</v>
      </c>
      <c r="I38" s="692"/>
      <c r="J38" s="692"/>
      <c r="K38" s="692"/>
      <c r="W38" s="646"/>
      <c r="X38" s="646"/>
      <c r="Y38" s="646"/>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row>
    <row r="39" spans="3:52" ht="10.199999999999999" customHeight="1">
      <c r="C39" s="679" t="s">
        <v>491</v>
      </c>
      <c r="D39" s="680">
        <v>0</v>
      </c>
      <c r="E39" s="680">
        <v>0</v>
      </c>
      <c r="F39" s="681"/>
      <c r="I39" s="692"/>
      <c r="J39" s="692"/>
      <c r="K39" s="692"/>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46"/>
      <c r="AZ39" s="646"/>
    </row>
    <row r="40" spans="3:52" ht="10.199999999999999" customHeight="1">
      <c r="C40" s="679" t="s">
        <v>492</v>
      </c>
      <c r="D40" s="680">
        <v>0</v>
      </c>
      <c r="E40" s="680">
        <v>0</v>
      </c>
      <c r="F40" s="681"/>
      <c r="I40" s="692"/>
      <c r="J40" s="692"/>
      <c r="K40" s="692"/>
      <c r="W40" s="646"/>
      <c r="X40" s="646"/>
      <c r="Y40" s="646"/>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row>
    <row r="41" spans="3:52" ht="10.199999999999999" customHeight="1">
      <c r="C41" s="679" t="s">
        <v>564</v>
      </c>
      <c r="D41" s="680">
        <v>18.310535714285717</v>
      </c>
      <c r="E41" s="680">
        <v>9.3616091954022984</v>
      </c>
      <c r="F41" s="681">
        <v>0.95591754922630601</v>
      </c>
      <c r="I41" s="692"/>
      <c r="J41" s="692"/>
      <c r="K41" s="692"/>
      <c r="W41" s="646"/>
      <c r="X41" s="646"/>
      <c r="Y41" s="646"/>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row>
    <row r="42" spans="3:52" ht="10.199999999999999" customHeight="1">
      <c r="C42" s="679" t="s">
        <v>493</v>
      </c>
      <c r="D42" s="680">
        <v>1.5367247023809525</v>
      </c>
      <c r="E42" s="680">
        <v>1.43025</v>
      </c>
      <c r="F42" s="681">
        <v>7.4444819004336582E-2</v>
      </c>
      <c r="I42" s="692"/>
      <c r="J42" s="692"/>
      <c r="K42" s="692"/>
      <c r="W42" s="646"/>
      <c r="X42" s="646"/>
      <c r="Y42" s="646"/>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row>
    <row r="43" spans="3:52" ht="16.8" customHeight="1">
      <c r="C43" s="679" t="s">
        <v>494</v>
      </c>
      <c r="D43" s="680">
        <v>0.48</v>
      </c>
      <c r="E43" s="680">
        <v>1.0962068965517242</v>
      </c>
      <c r="F43" s="681">
        <v>-0.56212645486001889</v>
      </c>
      <c r="I43" s="692"/>
      <c r="J43" s="692"/>
      <c r="K43" s="692"/>
      <c r="W43" s="646"/>
      <c r="X43" s="646"/>
      <c r="Y43" s="646"/>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row>
    <row r="44" spans="3:52" ht="10.199999999999999" customHeight="1">
      <c r="C44" s="679" t="s">
        <v>495</v>
      </c>
      <c r="D44" s="680">
        <v>0</v>
      </c>
      <c r="E44" s="680">
        <v>0</v>
      </c>
      <c r="F44" s="681"/>
      <c r="I44" s="692"/>
      <c r="J44" s="692"/>
      <c r="K44" s="692"/>
      <c r="W44" s="646"/>
      <c r="X44" s="646"/>
      <c r="Y44" s="646"/>
      <c r="Z44" s="646"/>
      <c r="AA44" s="646"/>
      <c r="AB44" s="646"/>
      <c r="AC44" s="646"/>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row>
    <row r="45" spans="3:52" ht="10.199999999999999" customHeight="1">
      <c r="C45" s="679" t="s">
        <v>496</v>
      </c>
      <c r="D45" s="680">
        <v>1.2337263608562692</v>
      </c>
      <c r="E45" s="680">
        <v>0</v>
      </c>
      <c r="F45" s="681"/>
      <c r="I45" s="692"/>
      <c r="J45" s="692"/>
      <c r="K45" s="692"/>
      <c r="W45" s="646"/>
      <c r="X45" s="646"/>
      <c r="Y45" s="646"/>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row>
    <row r="46" spans="3:52" ht="10.199999999999999" customHeight="1">
      <c r="C46" s="679" t="s">
        <v>497</v>
      </c>
      <c r="D46" s="680">
        <v>0.372</v>
      </c>
      <c r="E46" s="680">
        <v>0.31232862068965517</v>
      </c>
      <c r="F46" s="681">
        <v>0.19105318999771459</v>
      </c>
      <c r="I46" s="692"/>
      <c r="J46" s="692"/>
      <c r="K46" s="692"/>
      <c r="W46" s="646"/>
      <c r="X46" s="646"/>
      <c r="Y46" s="646"/>
      <c r="Z46" s="646"/>
      <c r="AA46" s="646"/>
      <c r="AB46" s="646"/>
      <c r="AC46" s="646"/>
      <c r="AD46" s="646"/>
      <c r="AE46" s="646"/>
      <c r="AF46" s="646"/>
      <c r="AG46" s="646"/>
      <c r="AH46" s="646"/>
      <c r="AI46" s="646"/>
      <c r="AJ46" s="646"/>
      <c r="AK46" s="646"/>
      <c r="AL46" s="646"/>
      <c r="AM46" s="646"/>
      <c r="AN46" s="646"/>
      <c r="AO46" s="646"/>
      <c r="AP46" s="646"/>
      <c r="AQ46" s="646"/>
      <c r="AR46" s="646"/>
      <c r="AS46" s="646"/>
      <c r="AT46" s="646"/>
      <c r="AU46" s="646"/>
      <c r="AV46" s="646"/>
      <c r="AW46" s="646"/>
      <c r="AX46" s="646"/>
      <c r="AY46" s="646"/>
      <c r="AZ46" s="646"/>
    </row>
    <row r="47" spans="3:52" ht="10.199999999999999" customHeight="1">
      <c r="C47" s="679" t="s">
        <v>498</v>
      </c>
      <c r="D47" s="680">
        <v>0</v>
      </c>
      <c r="E47" s="680">
        <v>0</v>
      </c>
      <c r="F47" s="681"/>
      <c r="I47" s="692"/>
      <c r="J47" s="692"/>
      <c r="K47" s="692"/>
      <c r="W47" s="646"/>
      <c r="X47" s="646"/>
      <c r="Y47" s="646"/>
      <c r="Z47" s="646"/>
      <c r="AA47" s="646"/>
      <c r="AB47" s="646"/>
      <c r="AC47" s="646"/>
      <c r="AD47" s="646"/>
      <c r="AE47" s="646"/>
      <c r="AF47" s="646"/>
      <c r="AG47" s="646"/>
      <c r="AH47" s="646"/>
      <c r="AI47" s="646"/>
      <c r="AJ47" s="646"/>
      <c r="AK47" s="646"/>
      <c r="AL47" s="646"/>
      <c r="AM47" s="646"/>
      <c r="AN47" s="646"/>
      <c r="AO47" s="646"/>
      <c r="AP47" s="646"/>
      <c r="AQ47" s="646"/>
      <c r="AR47" s="646"/>
      <c r="AS47" s="646"/>
      <c r="AT47" s="646"/>
      <c r="AU47" s="646"/>
      <c r="AV47" s="646"/>
      <c r="AW47" s="646"/>
      <c r="AX47" s="646"/>
      <c r="AY47" s="646"/>
      <c r="AZ47" s="646"/>
    </row>
    <row r="48" spans="3:52" ht="10.199999999999999" customHeight="1">
      <c r="C48" s="679" t="s">
        <v>499</v>
      </c>
      <c r="D48" s="680">
        <v>1.6170714285714285</v>
      </c>
      <c r="E48" s="680">
        <v>4.4208293103448275</v>
      </c>
      <c r="F48" s="681">
        <v>-0.63421536660837607</v>
      </c>
      <c r="I48" s="692"/>
      <c r="J48" s="692"/>
      <c r="K48" s="692"/>
      <c r="W48" s="646"/>
      <c r="X48" s="646"/>
      <c r="Y48" s="646"/>
      <c r="Z48" s="646"/>
      <c r="AA48" s="646"/>
      <c r="AB48" s="646"/>
      <c r="AC48" s="646"/>
      <c r="AD48" s="646"/>
      <c r="AE48" s="646"/>
      <c r="AF48" s="646"/>
      <c r="AG48" s="646"/>
      <c r="AH48" s="646"/>
      <c r="AI48" s="646"/>
      <c r="AJ48" s="646"/>
      <c r="AK48" s="646"/>
      <c r="AL48" s="646"/>
      <c r="AM48" s="646"/>
      <c r="AN48" s="646"/>
      <c r="AO48" s="646"/>
      <c r="AP48" s="646"/>
      <c r="AQ48" s="646"/>
      <c r="AR48" s="646"/>
      <c r="AS48" s="646"/>
      <c r="AT48" s="646"/>
      <c r="AU48" s="646"/>
      <c r="AV48" s="646"/>
      <c r="AW48" s="646"/>
      <c r="AX48" s="646"/>
      <c r="AY48" s="646"/>
      <c r="AZ48" s="646"/>
    </row>
    <row r="49" spans="3:52" ht="19.2" customHeight="1">
      <c r="C49" s="679" t="s">
        <v>500</v>
      </c>
      <c r="D49" s="680">
        <v>4.1449999999999996</v>
      </c>
      <c r="E49" s="680">
        <v>0.7879310344827587</v>
      </c>
      <c r="F49" s="681">
        <v>4.2606126914660836</v>
      </c>
      <c r="I49" s="692"/>
      <c r="J49" s="692"/>
      <c r="K49" s="692"/>
      <c r="W49" s="646"/>
      <c r="X49" s="646"/>
      <c r="Y49" s="646"/>
      <c r="Z49" s="646"/>
      <c r="AA49" s="646"/>
      <c r="AB49" s="646"/>
      <c r="AC49" s="646"/>
      <c r="AD49" s="646"/>
      <c r="AE49" s="646"/>
      <c r="AF49" s="646"/>
      <c r="AG49" s="646"/>
      <c r="AH49" s="646"/>
      <c r="AI49" s="646"/>
      <c r="AJ49" s="646"/>
      <c r="AK49" s="646"/>
      <c r="AL49" s="646"/>
      <c r="AM49" s="646"/>
      <c r="AN49" s="646"/>
      <c r="AO49" s="646"/>
      <c r="AP49" s="646"/>
      <c r="AQ49" s="646"/>
      <c r="AR49" s="646"/>
      <c r="AS49" s="646"/>
      <c r="AT49" s="646"/>
      <c r="AU49" s="646"/>
      <c r="AV49" s="646"/>
      <c r="AW49" s="646"/>
      <c r="AX49" s="646"/>
      <c r="AY49" s="646"/>
      <c r="AZ49" s="646"/>
    </row>
    <row r="50" spans="3:52" ht="10.199999999999999" customHeight="1">
      <c r="C50" s="679" t="s">
        <v>501</v>
      </c>
      <c r="D50" s="680">
        <v>1.415357142857143</v>
      </c>
      <c r="E50" s="680">
        <v>0.40241379310344833</v>
      </c>
      <c r="F50" s="681">
        <v>2.5171685640837316</v>
      </c>
      <c r="I50" s="692"/>
      <c r="J50" s="692"/>
      <c r="K50" s="692"/>
      <c r="W50" s="646"/>
      <c r="X50" s="646"/>
      <c r="Y50" s="646"/>
      <c r="Z50" s="646"/>
      <c r="AA50" s="646"/>
      <c r="AB50" s="646"/>
      <c r="AC50" s="646"/>
      <c r="AD50" s="646"/>
      <c r="AE50" s="646"/>
      <c r="AF50" s="646"/>
      <c r="AG50" s="646"/>
      <c r="AH50" s="646"/>
      <c r="AI50" s="646"/>
      <c r="AJ50" s="646"/>
      <c r="AK50" s="646"/>
      <c r="AL50" s="646"/>
      <c r="AM50" s="646"/>
      <c r="AN50" s="646"/>
      <c r="AO50" s="646"/>
      <c r="AP50" s="646"/>
      <c r="AQ50" s="646"/>
      <c r="AR50" s="646"/>
      <c r="AS50" s="646"/>
      <c r="AT50" s="646"/>
      <c r="AU50" s="646"/>
      <c r="AV50" s="646"/>
      <c r="AW50" s="646"/>
      <c r="AX50" s="646"/>
      <c r="AY50" s="646"/>
      <c r="AZ50" s="646"/>
    </row>
    <row r="51" spans="3:52" ht="10.199999999999999" customHeight="1">
      <c r="C51" s="679" t="s">
        <v>502</v>
      </c>
      <c r="D51" s="680">
        <v>6.7096428571428568</v>
      </c>
      <c r="E51" s="680">
        <v>0.61241379310344835</v>
      </c>
      <c r="F51" s="681">
        <v>9.9560609716859716</v>
      </c>
      <c r="I51" s="692"/>
      <c r="J51" s="692"/>
      <c r="K51" s="692"/>
      <c r="W51" s="646"/>
      <c r="X51" s="646"/>
      <c r="Y51" s="646"/>
      <c r="Z51" s="646"/>
      <c r="AA51" s="646"/>
      <c r="AB51" s="646"/>
      <c r="AC51" s="646"/>
      <c r="AD51" s="646"/>
      <c r="AE51" s="646"/>
      <c r="AF51" s="646"/>
      <c r="AG51" s="646"/>
      <c r="AH51" s="646"/>
      <c r="AI51" s="646"/>
      <c r="AJ51" s="646"/>
      <c r="AK51" s="646"/>
      <c r="AL51" s="646"/>
      <c r="AM51" s="646"/>
      <c r="AN51" s="646"/>
      <c r="AO51" s="646"/>
      <c r="AP51" s="646"/>
      <c r="AQ51" s="646"/>
      <c r="AR51" s="646"/>
      <c r="AS51" s="646"/>
      <c r="AT51" s="646"/>
      <c r="AU51" s="646"/>
      <c r="AV51" s="646"/>
      <c r="AW51" s="646"/>
      <c r="AX51" s="646"/>
      <c r="AY51" s="646"/>
      <c r="AZ51" s="646"/>
    </row>
    <row r="52" spans="3:52" ht="10.199999999999999" customHeight="1">
      <c r="C52" s="679" t="s">
        <v>503</v>
      </c>
      <c r="D52" s="680">
        <v>0.60250000000000004</v>
      </c>
      <c r="E52" s="680">
        <v>0.15689655172413791</v>
      </c>
      <c r="F52" s="681">
        <v>2.8401098901098902</v>
      </c>
      <c r="I52" s="692"/>
      <c r="J52" s="692"/>
      <c r="K52" s="692"/>
      <c r="W52" s="646"/>
      <c r="X52" s="646"/>
      <c r="Y52" s="646"/>
      <c r="Z52" s="646"/>
      <c r="AA52" s="646"/>
      <c r="AB52" s="646"/>
      <c r="AC52" s="646"/>
      <c r="AD52" s="646"/>
      <c r="AE52" s="646"/>
      <c r="AF52" s="646"/>
      <c r="AG52" s="646"/>
      <c r="AH52" s="646"/>
      <c r="AI52" s="646"/>
      <c r="AJ52" s="646"/>
      <c r="AK52" s="646"/>
      <c r="AL52" s="646"/>
      <c r="AM52" s="646"/>
      <c r="AN52" s="646"/>
      <c r="AO52" s="646"/>
      <c r="AP52" s="646"/>
      <c r="AQ52" s="646"/>
      <c r="AR52" s="646"/>
      <c r="AS52" s="646"/>
      <c r="AT52" s="646"/>
      <c r="AU52" s="646"/>
      <c r="AV52" s="646"/>
      <c r="AW52" s="646"/>
      <c r="AX52" s="646"/>
      <c r="AY52" s="646"/>
      <c r="AZ52" s="646"/>
    </row>
    <row r="53" spans="3:52" ht="10.199999999999999" customHeight="1">
      <c r="C53" s="679" t="s">
        <v>504</v>
      </c>
      <c r="D53" s="680">
        <v>0.14500000000000002</v>
      </c>
      <c r="E53" s="680">
        <v>0.56620689655172418</v>
      </c>
      <c r="F53" s="681">
        <v>-0.74390986601705245</v>
      </c>
      <c r="I53" s="692"/>
      <c r="J53" s="692"/>
      <c r="K53" s="692"/>
      <c r="W53" s="646"/>
      <c r="X53" s="646"/>
      <c r="Y53" s="646"/>
      <c r="Z53" s="646"/>
      <c r="AA53" s="646"/>
      <c r="AB53" s="646"/>
      <c r="AC53" s="646"/>
      <c r="AD53" s="646"/>
      <c r="AE53" s="646"/>
      <c r="AF53" s="646"/>
      <c r="AG53" s="646"/>
      <c r="AH53" s="646"/>
      <c r="AI53" s="646"/>
      <c r="AJ53" s="646"/>
      <c r="AK53" s="646"/>
      <c r="AL53" s="646"/>
      <c r="AM53" s="646"/>
      <c r="AN53" s="646"/>
      <c r="AO53" s="646"/>
      <c r="AP53" s="646"/>
      <c r="AQ53" s="646"/>
      <c r="AR53" s="646"/>
      <c r="AS53" s="646"/>
      <c r="AT53" s="646"/>
      <c r="AU53" s="646"/>
      <c r="AV53" s="646"/>
      <c r="AW53" s="646"/>
      <c r="AX53" s="646"/>
      <c r="AY53" s="646"/>
      <c r="AZ53" s="646"/>
    </row>
    <row r="54" spans="3:52" ht="10.199999999999999" customHeight="1">
      <c r="C54" s="679" t="s">
        <v>505</v>
      </c>
      <c r="D54" s="680">
        <v>0.25</v>
      </c>
      <c r="E54" s="680">
        <v>0.25</v>
      </c>
      <c r="F54" s="681">
        <v>0</v>
      </c>
      <c r="I54" s="692"/>
      <c r="J54" s="692"/>
      <c r="K54" s="692"/>
      <c r="W54" s="646"/>
      <c r="X54" s="646"/>
      <c r="Y54" s="646"/>
      <c r="Z54" s="646"/>
      <c r="AA54" s="646"/>
      <c r="AB54" s="646"/>
      <c r="AC54" s="646"/>
      <c r="AD54" s="646"/>
      <c r="AE54" s="646"/>
      <c r="AF54" s="646"/>
      <c r="AG54" s="646"/>
      <c r="AH54" s="646"/>
      <c r="AI54" s="646"/>
      <c r="AJ54" s="646"/>
      <c r="AK54" s="646"/>
      <c r="AL54" s="646"/>
      <c r="AM54" s="646"/>
      <c r="AN54" s="646"/>
      <c r="AO54" s="646"/>
      <c r="AP54" s="646"/>
      <c r="AQ54" s="646"/>
      <c r="AR54" s="646"/>
      <c r="AS54" s="646"/>
      <c r="AT54" s="646"/>
      <c r="AU54" s="646"/>
      <c r="AV54" s="646"/>
      <c r="AW54" s="646"/>
      <c r="AX54" s="646"/>
      <c r="AY54" s="646"/>
      <c r="AZ54" s="646"/>
    </row>
    <row r="55" spans="3:52" ht="10.199999999999999" customHeight="1">
      <c r="C55" s="679" t="s">
        <v>506</v>
      </c>
      <c r="D55" s="680">
        <v>146.70380940476187</v>
      </c>
      <c r="E55" s="680">
        <v>115.26607405172412</v>
      </c>
      <c r="F55" s="681">
        <v>0.27274057533121582</v>
      </c>
      <c r="I55" s="692"/>
      <c r="J55" s="692"/>
      <c r="K55" s="692"/>
      <c r="W55" s="646"/>
      <c r="X55" s="646"/>
      <c r="Y55" s="646"/>
      <c r="Z55" s="646"/>
      <c r="AA55" s="646"/>
      <c r="AB55" s="646"/>
      <c r="AC55" s="646"/>
      <c r="AD55" s="646"/>
      <c r="AE55" s="646"/>
      <c r="AF55" s="646"/>
      <c r="AG55" s="646"/>
      <c r="AH55" s="646"/>
      <c r="AI55" s="646"/>
      <c r="AJ55" s="646"/>
      <c r="AK55" s="646"/>
      <c r="AL55" s="646"/>
      <c r="AM55" s="646"/>
      <c r="AN55" s="646"/>
      <c r="AO55" s="646"/>
      <c r="AP55" s="646"/>
      <c r="AQ55" s="646"/>
      <c r="AR55" s="646"/>
      <c r="AS55" s="646"/>
      <c r="AT55" s="646"/>
      <c r="AU55" s="646"/>
      <c r="AV55" s="646"/>
      <c r="AW55" s="646"/>
      <c r="AX55" s="646"/>
      <c r="AY55" s="646"/>
      <c r="AZ55" s="646"/>
    </row>
    <row r="56" spans="3:52" ht="10.199999999999999" customHeight="1">
      <c r="C56" s="679" t="s">
        <v>507</v>
      </c>
      <c r="D56" s="680">
        <v>9.7558641975308635</v>
      </c>
      <c r="E56" s="680">
        <v>12.248850574712643</v>
      </c>
      <c r="F56" s="681">
        <v>-0.20352818919421464</v>
      </c>
      <c r="I56" s="692"/>
      <c r="J56" s="692"/>
      <c r="K56" s="692"/>
      <c r="W56" s="646"/>
      <c r="X56" s="646"/>
      <c r="Y56" s="646"/>
      <c r="Z56" s="646"/>
      <c r="AA56" s="646"/>
      <c r="AB56" s="646"/>
      <c r="AC56" s="646"/>
      <c r="AD56" s="646"/>
      <c r="AE56" s="646"/>
      <c r="AF56" s="646"/>
      <c r="AG56" s="646"/>
      <c r="AH56" s="646"/>
      <c r="AI56" s="646"/>
      <c r="AJ56" s="646"/>
      <c r="AK56" s="646"/>
      <c r="AL56" s="646"/>
      <c r="AM56" s="646"/>
      <c r="AN56" s="646"/>
      <c r="AO56" s="646"/>
      <c r="AP56" s="646"/>
      <c r="AQ56" s="646"/>
      <c r="AR56" s="646"/>
      <c r="AS56" s="646"/>
      <c r="AT56" s="646"/>
      <c r="AU56" s="646"/>
      <c r="AV56" s="646"/>
      <c r="AW56" s="646"/>
      <c r="AX56" s="646"/>
      <c r="AY56" s="646"/>
      <c r="AZ56" s="646"/>
    </row>
    <row r="57" spans="3:52">
      <c r="C57" s="688" t="s">
        <v>760</v>
      </c>
      <c r="D57" s="689"/>
      <c r="E57" s="689"/>
      <c r="F57" s="689"/>
      <c r="I57" s="692"/>
      <c r="J57" s="692"/>
      <c r="K57" s="692"/>
      <c r="W57" s="646"/>
      <c r="X57" s="646"/>
      <c r="Y57" s="646"/>
      <c r="Z57" s="646"/>
      <c r="AA57" s="646"/>
      <c r="AB57" s="646"/>
      <c r="AC57" s="646"/>
      <c r="AD57" s="646"/>
      <c r="AE57" s="646"/>
      <c r="AF57" s="646"/>
      <c r="AG57" s="646"/>
      <c r="AH57" s="646"/>
      <c r="AI57" s="646"/>
      <c r="AJ57" s="646"/>
      <c r="AK57" s="646"/>
      <c r="AL57" s="646"/>
      <c r="AM57" s="646"/>
      <c r="AN57" s="646"/>
      <c r="AO57" s="646"/>
      <c r="AP57" s="646"/>
      <c r="AQ57" s="646"/>
      <c r="AR57" s="646"/>
      <c r="AS57" s="646"/>
      <c r="AT57" s="646"/>
      <c r="AU57" s="646"/>
      <c r="AV57" s="646"/>
      <c r="AW57" s="646"/>
      <c r="AX57" s="646"/>
      <c r="AY57" s="646"/>
      <c r="AZ57" s="646"/>
    </row>
    <row r="58" spans="3:52">
      <c r="I58" s="692"/>
      <c r="J58" s="692"/>
      <c r="K58" s="692"/>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row>
    <row r="59" spans="3:52">
      <c r="I59" s="692"/>
      <c r="J59" s="692"/>
      <c r="K59" s="692"/>
      <c r="W59" s="646"/>
      <c r="X59" s="646"/>
      <c r="Y59" s="646"/>
      <c r="Z59" s="646"/>
      <c r="AA59" s="646"/>
      <c r="AB59" s="646"/>
      <c r="AC59" s="646"/>
      <c r="AD59" s="646"/>
      <c r="AE59" s="646"/>
      <c r="AF59" s="646"/>
      <c r="AG59" s="646"/>
      <c r="AH59" s="646"/>
      <c r="AI59" s="646"/>
      <c r="AJ59" s="646"/>
      <c r="AK59" s="646"/>
      <c r="AL59" s="646"/>
      <c r="AM59" s="646"/>
      <c r="AN59" s="646"/>
      <c r="AO59" s="646"/>
      <c r="AP59" s="646"/>
      <c r="AQ59" s="646"/>
      <c r="AR59" s="646"/>
      <c r="AS59" s="646"/>
      <c r="AT59" s="646"/>
      <c r="AU59" s="646"/>
      <c r="AV59" s="646"/>
      <c r="AW59" s="646"/>
      <c r="AX59" s="646"/>
      <c r="AY59" s="646"/>
      <c r="AZ59" s="646"/>
    </row>
    <row r="60" spans="3:52">
      <c r="I60" s="692"/>
      <c r="J60" s="692"/>
      <c r="K60" s="692"/>
      <c r="W60" s="646"/>
      <c r="X60" s="646"/>
      <c r="Y60" s="646"/>
      <c r="Z60" s="646"/>
      <c r="AA60" s="646"/>
      <c r="AB60" s="646"/>
      <c r="AC60" s="646"/>
      <c r="AD60" s="646"/>
      <c r="AE60" s="646"/>
      <c r="AF60" s="646"/>
      <c r="AG60" s="646"/>
      <c r="AH60" s="646"/>
      <c r="AI60" s="646"/>
      <c r="AJ60" s="646"/>
      <c r="AK60" s="646"/>
      <c r="AL60" s="646"/>
      <c r="AM60" s="646"/>
      <c r="AN60" s="646"/>
      <c r="AO60" s="646"/>
      <c r="AP60" s="646"/>
      <c r="AQ60" s="646"/>
      <c r="AR60" s="646"/>
      <c r="AS60" s="646"/>
      <c r="AT60" s="646"/>
      <c r="AU60" s="646"/>
      <c r="AV60" s="646"/>
      <c r="AW60" s="646"/>
      <c r="AX60" s="646"/>
      <c r="AY60" s="646"/>
      <c r="AZ60" s="646"/>
    </row>
    <row r="61" spans="3:52">
      <c r="I61" s="692"/>
      <c r="J61" s="692"/>
      <c r="K61" s="692"/>
      <c r="W61" s="646"/>
      <c r="X61" s="646"/>
      <c r="Y61" s="646"/>
      <c r="Z61" s="646"/>
      <c r="AA61" s="646"/>
      <c r="AB61" s="646"/>
      <c r="AC61" s="646"/>
      <c r="AD61" s="646"/>
      <c r="AE61" s="646"/>
      <c r="AF61" s="646"/>
      <c r="AG61" s="646"/>
      <c r="AH61" s="646"/>
      <c r="AI61" s="646"/>
      <c r="AJ61" s="646"/>
      <c r="AK61" s="646"/>
      <c r="AL61" s="646"/>
      <c r="AM61" s="646"/>
      <c r="AN61" s="646"/>
      <c r="AO61" s="646"/>
      <c r="AP61" s="646"/>
      <c r="AQ61" s="646"/>
      <c r="AR61" s="646"/>
      <c r="AS61" s="646"/>
      <c r="AT61" s="646"/>
      <c r="AU61" s="646"/>
      <c r="AV61" s="646"/>
      <c r="AW61" s="646"/>
      <c r="AX61" s="646"/>
      <c r="AY61" s="646"/>
      <c r="AZ61" s="646"/>
    </row>
    <row r="62" spans="3:52">
      <c r="I62" s="692"/>
      <c r="J62" s="692"/>
      <c r="K62" s="692"/>
      <c r="W62" s="646"/>
      <c r="X62" s="646"/>
      <c r="Y62" s="646"/>
      <c r="Z62" s="646"/>
      <c r="AA62" s="646"/>
      <c r="AB62" s="646"/>
      <c r="AC62" s="646"/>
      <c r="AD62" s="646"/>
      <c r="AE62" s="646"/>
      <c r="AF62" s="646"/>
      <c r="AG62" s="646"/>
      <c r="AH62" s="646"/>
      <c r="AI62" s="646"/>
      <c r="AJ62" s="646"/>
      <c r="AK62" s="646"/>
      <c r="AL62" s="646"/>
      <c r="AM62" s="646"/>
      <c r="AN62" s="646"/>
      <c r="AO62" s="646"/>
      <c r="AP62" s="646"/>
      <c r="AQ62" s="646"/>
      <c r="AR62" s="646"/>
      <c r="AS62" s="646"/>
      <c r="AT62" s="646"/>
      <c r="AU62" s="646"/>
      <c r="AV62" s="646"/>
      <c r="AW62" s="646"/>
      <c r="AX62" s="646"/>
      <c r="AY62" s="646"/>
      <c r="AZ62" s="646"/>
    </row>
    <row r="63" spans="3:52">
      <c r="I63" s="692"/>
      <c r="J63" s="692"/>
      <c r="K63" s="692"/>
      <c r="W63" s="646"/>
      <c r="X63" s="646"/>
      <c r="Y63" s="646"/>
      <c r="Z63" s="646"/>
      <c r="AA63" s="646"/>
      <c r="AB63" s="646"/>
      <c r="AC63" s="646"/>
      <c r="AD63" s="646"/>
      <c r="AE63" s="646"/>
      <c r="AF63" s="646"/>
      <c r="AG63" s="646"/>
      <c r="AH63" s="646"/>
      <c r="AI63" s="646"/>
      <c r="AJ63" s="646"/>
      <c r="AK63" s="646"/>
      <c r="AL63" s="646"/>
      <c r="AM63" s="646"/>
      <c r="AN63" s="646"/>
      <c r="AO63" s="646"/>
      <c r="AP63" s="646"/>
      <c r="AQ63" s="646"/>
      <c r="AR63" s="646"/>
      <c r="AS63" s="646"/>
      <c r="AT63" s="646"/>
      <c r="AU63" s="646"/>
      <c r="AV63" s="646"/>
      <c r="AW63" s="646"/>
      <c r="AX63" s="646"/>
      <c r="AY63" s="646"/>
      <c r="AZ63" s="646"/>
    </row>
    <row r="64" spans="3:52">
      <c r="W64" s="646"/>
      <c r="X64" s="646"/>
      <c r="Y64" s="646"/>
      <c r="Z64" s="646"/>
      <c r="AA64" s="646"/>
      <c r="AB64" s="646"/>
      <c r="AC64" s="646"/>
      <c r="AD64" s="646"/>
      <c r="AE64" s="646"/>
      <c r="AF64" s="646"/>
      <c r="AG64" s="646"/>
      <c r="AH64" s="646"/>
      <c r="AI64" s="646"/>
      <c r="AJ64" s="646"/>
      <c r="AK64" s="646"/>
      <c r="AL64" s="646"/>
      <c r="AM64" s="646"/>
      <c r="AN64" s="646"/>
      <c r="AO64" s="646"/>
      <c r="AP64" s="646"/>
      <c r="AQ64" s="646"/>
      <c r="AR64" s="646"/>
      <c r="AS64" s="646"/>
      <c r="AT64" s="646"/>
      <c r="AU64" s="646"/>
      <c r="AV64" s="646"/>
      <c r="AW64" s="646"/>
      <c r="AX64" s="646"/>
      <c r="AY64" s="646"/>
      <c r="AZ64" s="646"/>
    </row>
    <row r="65" spans="23:52">
      <c r="W65" s="646"/>
      <c r="X65" s="646"/>
      <c r="Y65" s="646"/>
      <c r="Z65" s="646"/>
      <c r="AA65" s="646"/>
      <c r="AB65" s="646"/>
      <c r="AC65" s="646"/>
      <c r="AD65" s="646"/>
      <c r="AE65" s="646"/>
      <c r="AF65" s="646"/>
      <c r="AG65" s="646"/>
      <c r="AH65" s="646"/>
      <c r="AI65" s="646"/>
      <c r="AJ65" s="646"/>
      <c r="AK65" s="646"/>
      <c r="AL65" s="646"/>
      <c r="AM65" s="646"/>
      <c r="AN65" s="646"/>
      <c r="AO65" s="646"/>
      <c r="AP65" s="646"/>
      <c r="AQ65" s="646"/>
      <c r="AR65" s="646"/>
      <c r="AS65" s="646"/>
      <c r="AT65" s="646"/>
      <c r="AU65" s="646"/>
      <c r="AV65" s="646"/>
      <c r="AW65" s="646"/>
      <c r="AX65" s="646"/>
      <c r="AY65" s="646"/>
      <c r="AZ65" s="646"/>
    </row>
    <row r="66" spans="23:52">
      <c r="W66" s="646"/>
      <c r="X66" s="646"/>
      <c r="Y66" s="646"/>
      <c r="Z66" s="646"/>
      <c r="AA66" s="646"/>
      <c r="AB66" s="646"/>
      <c r="AC66" s="646"/>
      <c r="AD66" s="646"/>
      <c r="AE66" s="646"/>
      <c r="AF66" s="646"/>
      <c r="AG66" s="646"/>
      <c r="AH66" s="646"/>
      <c r="AI66" s="646"/>
      <c r="AJ66" s="646"/>
      <c r="AK66" s="646"/>
      <c r="AL66" s="646"/>
      <c r="AM66" s="646"/>
      <c r="AN66" s="646"/>
      <c r="AO66" s="646"/>
      <c r="AP66" s="646"/>
      <c r="AQ66" s="646"/>
      <c r="AR66" s="646"/>
      <c r="AS66" s="646"/>
      <c r="AT66" s="646"/>
      <c r="AU66" s="646"/>
      <c r="AV66" s="646"/>
      <c r="AW66" s="646"/>
      <c r="AX66" s="646"/>
      <c r="AY66" s="646"/>
      <c r="AZ66" s="646"/>
    </row>
    <row r="67" spans="23:52">
      <c r="W67" s="646"/>
      <c r="X67" s="646"/>
      <c r="Y67" s="646"/>
      <c r="Z67" s="646"/>
      <c r="AA67" s="646"/>
      <c r="AB67" s="646"/>
      <c r="AC67" s="646"/>
      <c r="AD67" s="646"/>
      <c r="AE67" s="646"/>
      <c r="AF67" s="646"/>
      <c r="AG67" s="646"/>
      <c r="AH67" s="646"/>
      <c r="AI67" s="646"/>
      <c r="AJ67" s="646"/>
      <c r="AK67" s="646"/>
      <c r="AL67" s="646"/>
      <c r="AM67" s="646"/>
      <c r="AN67" s="646"/>
      <c r="AO67" s="646"/>
      <c r="AP67" s="646"/>
      <c r="AQ67" s="646"/>
      <c r="AR67" s="646"/>
      <c r="AS67" s="646"/>
      <c r="AT67" s="646"/>
      <c r="AU67" s="646"/>
      <c r="AV67" s="646"/>
      <c r="AW67" s="646"/>
      <c r="AX67" s="646"/>
      <c r="AY67" s="646"/>
      <c r="AZ67" s="646"/>
    </row>
    <row r="68" spans="23:52">
      <c r="W68" s="646"/>
      <c r="X68" s="646"/>
      <c r="Y68" s="646"/>
      <c r="Z68" s="646"/>
      <c r="AA68" s="646"/>
      <c r="AB68" s="646"/>
      <c r="AC68" s="646"/>
      <c r="AD68" s="646"/>
      <c r="AE68" s="646"/>
      <c r="AF68" s="646"/>
      <c r="AG68" s="646"/>
      <c r="AH68" s="646"/>
      <c r="AI68" s="646"/>
      <c r="AJ68" s="646"/>
      <c r="AK68" s="646"/>
      <c r="AL68" s="646"/>
      <c r="AM68" s="646"/>
      <c r="AN68" s="646"/>
      <c r="AO68" s="646"/>
      <c r="AP68" s="646"/>
      <c r="AQ68" s="646"/>
      <c r="AR68" s="646"/>
      <c r="AS68" s="646"/>
      <c r="AT68" s="646"/>
      <c r="AU68" s="646"/>
      <c r="AV68" s="646"/>
      <c r="AW68" s="646"/>
      <c r="AX68" s="646"/>
      <c r="AY68" s="646"/>
      <c r="AZ68" s="646"/>
    </row>
    <row r="69" spans="23:52">
      <c r="W69" s="646"/>
      <c r="X69" s="646"/>
      <c r="Y69" s="646"/>
      <c r="Z69" s="646"/>
      <c r="AA69" s="646"/>
      <c r="AB69" s="646"/>
      <c r="AC69" s="646"/>
      <c r="AD69" s="646"/>
      <c r="AE69" s="646"/>
      <c r="AF69" s="646"/>
      <c r="AG69" s="646"/>
      <c r="AH69" s="646"/>
      <c r="AI69" s="646"/>
      <c r="AJ69" s="646"/>
      <c r="AK69" s="646"/>
      <c r="AL69" s="646"/>
      <c r="AM69" s="646"/>
      <c r="AN69" s="646"/>
      <c r="AO69" s="646"/>
      <c r="AP69" s="646"/>
      <c r="AQ69" s="646"/>
      <c r="AR69" s="646"/>
      <c r="AS69" s="646"/>
      <c r="AT69" s="646"/>
      <c r="AU69" s="646"/>
      <c r="AV69" s="646"/>
      <c r="AW69" s="646"/>
      <c r="AX69" s="646"/>
      <c r="AY69" s="646"/>
      <c r="AZ69" s="646"/>
    </row>
    <row r="70" spans="23:52">
      <c r="W70" s="646"/>
      <c r="X70" s="646"/>
      <c r="Y70" s="646"/>
      <c r="Z70" s="646"/>
      <c r="AA70" s="646"/>
      <c r="AB70" s="646"/>
      <c r="AC70" s="646"/>
      <c r="AD70" s="646"/>
      <c r="AE70" s="646"/>
      <c r="AF70" s="646"/>
      <c r="AG70" s="646"/>
      <c r="AH70" s="646"/>
      <c r="AI70" s="646"/>
      <c r="AJ70" s="646"/>
      <c r="AK70" s="646"/>
      <c r="AL70" s="646"/>
      <c r="AM70" s="646"/>
      <c r="AN70" s="646"/>
      <c r="AO70" s="646"/>
      <c r="AP70" s="646"/>
      <c r="AQ70" s="646"/>
      <c r="AR70" s="646"/>
      <c r="AS70" s="646"/>
      <c r="AT70" s="646"/>
      <c r="AU70" s="646"/>
      <c r="AV70" s="646"/>
      <c r="AW70" s="646"/>
      <c r="AX70" s="646"/>
      <c r="AY70" s="646"/>
      <c r="AZ70" s="646"/>
    </row>
    <row r="71" spans="23:52">
      <c r="W71" s="646"/>
      <c r="X71" s="646"/>
      <c r="Y71" s="646"/>
      <c r="Z71" s="646"/>
      <c r="AA71" s="646"/>
      <c r="AB71" s="646"/>
      <c r="AC71" s="646"/>
      <c r="AD71" s="646"/>
      <c r="AE71" s="646"/>
      <c r="AF71" s="646"/>
      <c r="AG71" s="646"/>
      <c r="AH71" s="646"/>
      <c r="AI71" s="646"/>
      <c r="AJ71" s="646"/>
      <c r="AK71" s="646"/>
      <c r="AL71" s="646"/>
      <c r="AM71" s="646"/>
      <c r="AN71" s="646"/>
      <c r="AO71" s="646"/>
      <c r="AP71" s="646"/>
      <c r="AQ71" s="646"/>
      <c r="AR71" s="646"/>
      <c r="AS71" s="646"/>
      <c r="AT71" s="646"/>
      <c r="AU71" s="646"/>
      <c r="AV71" s="646"/>
      <c r="AW71" s="646"/>
      <c r="AX71" s="646"/>
      <c r="AY71" s="646"/>
      <c r="AZ71" s="646"/>
    </row>
    <row r="72" spans="23:52">
      <c r="W72" s="646"/>
      <c r="X72" s="646"/>
      <c r="Y72" s="646"/>
      <c r="Z72" s="646"/>
      <c r="AA72" s="646"/>
      <c r="AB72" s="646"/>
      <c r="AC72" s="646"/>
      <c r="AD72" s="646"/>
      <c r="AE72" s="646"/>
      <c r="AF72" s="646"/>
      <c r="AG72" s="646"/>
      <c r="AH72" s="646"/>
      <c r="AI72" s="646"/>
      <c r="AJ72" s="646"/>
      <c r="AK72" s="646"/>
      <c r="AL72" s="646"/>
      <c r="AM72" s="646"/>
      <c r="AN72" s="646"/>
      <c r="AO72" s="646"/>
      <c r="AP72" s="646"/>
      <c r="AQ72" s="646"/>
      <c r="AR72" s="646"/>
      <c r="AS72" s="646"/>
      <c r="AT72" s="646"/>
      <c r="AU72" s="646"/>
      <c r="AV72" s="646"/>
      <c r="AW72" s="646"/>
      <c r="AX72" s="646"/>
      <c r="AY72" s="646"/>
      <c r="AZ72" s="646"/>
    </row>
    <row r="73" spans="23:52">
      <c r="W73" s="646"/>
      <c r="X73" s="646"/>
      <c r="Y73" s="646"/>
      <c r="Z73" s="646"/>
      <c r="AA73" s="646"/>
      <c r="AB73" s="646"/>
      <c r="AC73" s="646"/>
      <c r="AD73" s="646"/>
      <c r="AE73" s="646"/>
      <c r="AF73" s="646"/>
      <c r="AG73" s="646"/>
      <c r="AH73" s="646"/>
      <c r="AI73" s="646"/>
      <c r="AJ73" s="646"/>
      <c r="AK73" s="646"/>
      <c r="AL73" s="646"/>
      <c r="AM73" s="646"/>
      <c r="AN73" s="646"/>
      <c r="AO73" s="646"/>
      <c r="AP73" s="646"/>
      <c r="AQ73" s="646"/>
      <c r="AR73" s="646"/>
      <c r="AS73" s="646"/>
      <c r="AT73" s="646"/>
      <c r="AU73" s="646"/>
      <c r="AV73" s="646"/>
      <c r="AW73" s="646"/>
      <c r="AX73" s="646"/>
      <c r="AY73" s="646"/>
      <c r="AZ73" s="646"/>
    </row>
    <row r="74" spans="23:52">
      <c r="W74" s="646"/>
      <c r="X74" s="646"/>
      <c r="Y74" s="646"/>
      <c r="Z74" s="646"/>
      <c r="AA74" s="646"/>
      <c r="AB74" s="646"/>
      <c r="AC74" s="646"/>
      <c r="AD74" s="646"/>
      <c r="AE74" s="646"/>
      <c r="AF74" s="646"/>
      <c r="AG74" s="646"/>
      <c r="AH74" s="646"/>
      <c r="AI74" s="646"/>
      <c r="AJ74" s="646"/>
      <c r="AK74" s="646"/>
      <c r="AL74" s="646"/>
      <c r="AM74" s="646"/>
      <c r="AN74" s="646"/>
      <c r="AO74" s="646"/>
      <c r="AP74" s="646"/>
      <c r="AQ74" s="646"/>
      <c r="AR74" s="646"/>
      <c r="AS74" s="646"/>
      <c r="AT74" s="646"/>
      <c r="AU74" s="646"/>
      <c r="AV74" s="646"/>
      <c r="AW74" s="646"/>
      <c r="AX74" s="646"/>
      <c r="AY74" s="646"/>
      <c r="AZ74" s="646"/>
    </row>
    <row r="75" spans="23:52">
      <c r="W75" s="646"/>
      <c r="X75" s="646"/>
      <c r="Y75" s="646"/>
      <c r="Z75" s="646"/>
      <c r="AA75" s="646"/>
      <c r="AB75" s="646"/>
      <c r="AC75" s="646"/>
      <c r="AD75" s="646"/>
      <c r="AE75" s="646"/>
      <c r="AF75" s="646"/>
      <c r="AG75" s="646"/>
      <c r="AH75" s="646"/>
      <c r="AI75" s="646"/>
      <c r="AJ75" s="646"/>
      <c r="AK75" s="646"/>
      <c r="AL75" s="646"/>
      <c r="AM75" s="646"/>
      <c r="AN75" s="646"/>
      <c r="AO75" s="646"/>
      <c r="AP75" s="646"/>
      <c r="AQ75" s="646"/>
      <c r="AR75" s="646"/>
      <c r="AS75" s="646"/>
      <c r="AT75" s="646"/>
      <c r="AU75" s="646"/>
      <c r="AV75" s="646"/>
      <c r="AW75" s="646"/>
      <c r="AX75" s="646"/>
      <c r="AY75" s="646"/>
      <c r="AZ75" s="646"/>
    </row>
    <row r="76" spans="23:52">
      <c r="W76" s="646"/>
      <c r="X76" s="646"/>
      <c r="Y76" s="646"/>
      <c r="Z76" s="646"/>
      <c r="AA76" s="646"/>
      <c r="AB76" s="646"/>
      <c r="AC76" s="646"/>
      <c r="AD76" s="646"/>
      <c r="AE76" s="646"/>
      <c r="AF76" s="646"/>
      <c r="AG76" s="646"/>
      <c r="AH76" s="646"/>
      <c r="AI76" s="646"/>
      <c r="AJ76" s="646"/>
      <c r="AK76" s="646"/>
      <c r="AL76" s="646"/>
      <c r="AM76" s="646"/>
      <c r="AN76" s="646"/>
      <c r="AO76" s="646"/>
      <c r="AP76" s="646"/>
      <c r="AQ76" s="646"/>
      <c r="AR76" s="646"/>
      <c r="AS76" s="646"/>
      <c r="AT76" s="646"/>
      <c r="AU76" s="646"/>
      <c r="AV76" s="646"/>
      <c r="AW76" s="646"/>
      <c r="AX76" s="646"/>
      <c r="AY76" s="646"/>
      <c r="AZ76" s="646"/>
    </row>
    <row r="77" spans="23:52">
      <c r="W77" s="646"/>
      <c r="X77" s="646"/>
      <c r="Y77" s="646"/>
      <c r="Z77" s="646"/>
      <c r="AA77" s="646"/>
      <c r="AB77" s="646"/>
      <c r="AC77" s="646"/>
      <c r="AD77" s="646"/>
      <c r="AE77" s="646"/>
      <c r="AF77" s="646"/>
      <c r="AG77" s="646"/>
      <c r="AH77" s="646"/>
      <c r="AI77" s="646"/>
      <c r="AJ77" s="646"/>
      <c r="AK77" s="646"/>
      <c r="AL77" s="646"/>
      <c r="AM77" s="646"/>
      <c r="AN77" s="646"/>
      <c r="AO77" s="646"/>
      <c r="AP77" s="646"/>
      <c r="AQ77" s="646"/>
      <c r="AR77" s="646"/>
      <c r="AS77" s="646"/>
      <c r="AT77" s="646"/>
      <c r="AU77" s="646"/>
      <c r="AV77" s="646"/>
      <c r="AW77" s="646"/>
      <c r="AX77" s="646"/>
      <c r="AY77" s="646"/>
      <c r="AZ77" s="646"/>
    </row>
    <row r="78" spans="23:52">
      <c r="W78" s="646"/>
      <c r="X78" s="646"/>
      <c r="Y78" s="646"/>
      <c r="Z78" s="646"/>
      <c r="AA78" s="646"/>
      <c r="AB78" s="646"/>
      <c r="AC78" s="646"/>
      <c r="AD78" s="646"/>
      <c r="AE78" s="646"/>
      <c r="AF78" s="646"/>
      <c r="AG78" s="646"/>
      <c r="AH78" s="646"/>
      <c r="AI78" s="646"/>
      <c r="AJ78" s="646"/>
      <c r="AK78" s="646"/>
      <c r="AL78" s="646"/>
      <c r="AM78" s="646"/>
      <c r="AN78" s="646"/>
      <c r="AO78" s="646"/>
      <c r="AP78" s="646"/>
      <c r="AQ78" s="646"/>
      <c r="AR78" s="646"/>
      <c r="AS78" s="646"/>
      <c r="AT78" s="646"/>
      <c r="AU78" s="646"/>
      <c r="AV78" s="646"/>
      <c r="AW78" s="646"/>
      <c r="AX78" s="646"/>
      <c r="AY78" s="646"/>
      <c r="AZ78" s="646"/>
    </row>
    <row r="79" spans="23:52">
      <c r="W79" s="646"/>
      <c r="X79" s="646"/>
      <c r="Y79" s="646"/>
      <c r="Z79" s="646"/>
      <c r="AA79" s="646"/>
      <c r="AB79" s="646"/>
      <c r="AC79" s="646"/>
      <c r="AD79" s="646"/>
      <c r="AE79" s="646"/>
      <c r="AF79" s="646"/>
      <c r="AG79" s="646"/>
      <c r="AH79" s="646"/>
      <c r="AI79" s="646"/>
      <c r="AJ79" s="646"/>
      <c r="AK79" s="646"/>
      <c r="AL79" s="646"/>
      <c r="AM79" s="646"/>
      <c r="AN79" s="646"/>
      <c r="AO79" s="646"/>
      <c r="AP79" s="646"/>
      <c r="AQ79" s="646"/>
      <c r="AR79" s="646"/>
      <c r="AS79" s="646"/>
      <c r="AT79" s="646"/>
      <c r="AU79" s="646"/>
      <c r="AV79" s="646"/>
      <c r="AW79" s="646"/>
      <c r="AX79" s="646"/>
      <c r="AY79" s="646"/>
      <c r="AZ79" s="646"/>
    </row>
    <row r="80" spans="23:52">
      <c r="W80" s="646"/>
      <c r="X80" s="646"/>
      <c r="Y80" s="646"/>
      <c r="Z80" s="646"/>
      <c r="AA80" s="646"/>
      <c r="AB80" s="646"/>
      <c r="AC80" s="646"/>
      <c r="AD80" s="646"/>
      <c r="AE80" s="646"/>
      <c r="AF80" s="646"/>
      <c r="AG80" s="646"/>
      <c r="AH80" s="646"/>
      <c r="AI80" s="646"/>
      <c r="AJ80" s="646"/>
      <c r="AK80" s="646"/>
      <c r="AL80" s="646"/>
      <c r="AM80" s="646"/>
      <c r="AN80" s="646"/>
      <c r="AO80" s="646"/>
      <c r="AP80" s="646"/>
      <c r="AQ80" s="646"/>
      <c r="AR80" s="646"/>
      <c r="AS80" s="646"/>
      <c r="AT80" s="646"/>
      <c r="AU80" s="646"/>
      <c r="AV80" s="646"/>
      <c r="AW80" s="646"/>
      <c r="AX80" s="646"/>
      <c r="AY80" s="646"/>
      <c r="AZ80" s="646"/>
    </row>
    <row r="81" spans="23:52">
      <c r="W81" s="646"/>
      <c r="X81" s="646"/>
      <c r="Y81" s="646"/>
      <c r="Z81" s="646"/>
      <c r="AA81" s="646"/>
      <c r="AB81" s="646"/>
      <c r="AC81" s="646"/>
      <c r="AD81" s="646"/>
      <c r="AE81" s="646"/>
      <c r="AF81" s="646"/>
      <c r="AG81" s="646"/>
      <c r="AH81" s="646"/>
      <c r="AI81" s="646"/>
      <c r="AJ81" s="646"/>
      <c r="AK81" s="646"/>
      <c r="AL81" s="646"/>
      <c r="AM81" s="646"/>
      <c r="AN81" s="646"/>
      <c r="AO81" s="646"/>
      <c r="AP81" s="646"/>
      <c r="AQ81" s="646"/>
      <c r="AR81" s="646"/>
      <c r="AS81" s="646"/>
      <c r="AT81" s="646"/>
      <c r="AU81" s="646"/>
      <c r="AV81" s="646"/>
      <c r="AW81" s="646"/>
      <c r="AX81" s="646"/>
      <c r="AY81" s="646"/>
      <c r="AZ81" s="646"/>
    </row>
    <row r="82" spans="23:52">
      <c r="W82" s="646"/>
      <c r="X82" s="646"/>
      <c r="Y82" s="646"/>
      <c r="Z82" s="646"/>
      <c r="AA82" s="646"/>
      <c r="AB82" s="646"/>
      <c r="AC82" s="646"/>
      <c r="AD82" s="646"/>
      <c r="AE82" s="646"/>
      <c r="AF82" s="646"/>
      <c r="AG82" s="646"/>
      <c r="AH82" s="646"/>
      <c r="AI82" s="646"/>
      <c r="AJ82" s="646"/>
      <c r="AK82" s="646"/>
      <c r="AL82" s="646"/>
      <c r="AM82" s="646"/>
      <c r="AN82" s="646"/>
      <c r="AO82" s="646"/>
      <c r="AP82" s="646"/>
      <c r="AQ82" s="646"/>
      <c r="AR82" s="646"/>
      <c r="AS82" s="646"/>
      <c r="AT82" s="646"/>
      <c r="AU82" s="646"/>
      <c r="AV82" s="646"/>
      <c r="AW82" s="646"/>
      <c r="AX82" s="646"/>
      <c r="AY82" s="646"/>
      <c r="AZ82" s="646"/>
    </row>
    <row r="83" spans="23:52">
      <c r="W83" s="646"/>
      <c r="X83" s="646"/>
      <c r="Y83" s="646"/>
      <c r="Z83" s="646"/>
      <c r="AA83" s="646"/>
      <c r="AB83" s="646"/>
      <c r="AC83" s="646"/>
      <c r="AD83" s="646"/>
      <c r="AE83" s="646"/>
      <c r="AF83" s="646"/>
      <c r="AG83" s="646"/>
      <c r="AH83" s="646"/>
      <c r="AI83" s="646"/>
      <c r="AJ83" s="646"/>
      <c r="AK83" s="646"/>
      <c r="AL83" s="646"/>
      <c r="AM83" s="646"/>
      <c r="AN83" s="646"/>
      <c r="AO83" s="646"/>
      <c r="AP83" s="646"/>
      <c r="AQ83" s="646"/>
      <c r="AR83" s="646"/>
      <c r="AS83" s="646"/>
      <c r="AT83" s="646"/>
      <c r="AU83" s="646"/>
      <c r="AV83" s="646"/>
      <c r="AW83" s="646"/>
      <c r="AX83" s="646"/>
      <c r="AY83" s="646"/>
      <c r="AZ83" s="646"/>
    </row>
    <row r="84" spans="23:52">
      <c r="W84" s="646"/>
      <c r="X84" s="646"/>
      <c r="Y84" s="646"/>
      <c r="Z84" s="646"/>
      <c r="AA84" s="646"/>
      <c r="AB84" s="646"/>
      <c r="AC84" s="646"/>
      <c r="AD84" s="646"/>
      <c r="AE84" s="646"/>
      <c r="AF84" s="646"/>
      <c r="AG84" s="646"/>
      <c r="AH84" s="646"/>
      <c r="AI84" s="646"/>
      <c r="AJ84" s="646"/>
      <c r="AK84" s="646"/>
      <c r="AL84" s="646"/>
      <c r="AM84" s="646"/>
      <c r="AN84" s="646"/>
      <c r="AO84" s="646"/>
      <c r="AP84" s="646"/>
      <c r="AQ84" s="646"/>
      <c r="AR84" s="646"/>
      <c r="AS84" s="646"/>
      <c r="AT84" s="646"/>
      <c r="AU84" s="646"/>
      <c r="AV84" s="646"/>
      <c r="AW84" s="646"/>
      <c r="AX84" s="646"/>
      <c r="AY84" s="646"/>
      <c r="AZ84" s="646"/>
    </row>
    <row r="85" spans="23:52">
      <c r="W85" s="646"/>
      <c r="X85" s="646"/>
      <c r="Y85" s="646"/>
      <c r="Z85" s="646"/>
      <c r="AA85" s="646"/>
      <c r="AB85" s="646"/>
      <c r="AC85" s="646"/>
      <c r="AD85" s="646"/>
      <c r="AE85" s="646"/>
      <c r="AF85" s="646"/>
      <c r="AG85" s="646"/>
      <c r="AH85" s="646"/>
      <c r="AI85" s="646"/>
      <c r="AJ85" s="646"/>
      <c r="AK85" s="646"/>
      <c r="AL85" s="646"/>
      <c r="AM85" s="646"/>
      <c r="AN85" s="646"/>
      <c r="AO85" s="646"/>
      <c r="AP85" s="646"/>
      <c r="AQ85" s="646"/>
      <c r="AR85" s="646"/>
      <c r="AS85" s="646"/>
      <c r="AT85" s="646"/>
      <c r="AU85" s="646"/>
      <c r="AV85" s="646"/>
      <c r="AW85" s="646"/>
      <c r="AX85" s="646"/>
      <c r="AY85" s="646"/>
      <c r="AZ85" s="646"/>
    </row>
    <row r="86" spans="23:52">
      <c r="W86" s="646"/>
      <c r="X86" s="646"/>
      <c r="Y86" s="646"/>
      <c r="Z86" s="646"/>
      <c r="AA86" s="646"/>
      <c r="AB86" s="646"/>
      <c r="AC86" s="646"/>
      <c r="AD86" s="646"/>
      <c r="AE86" s="646"/>
      <c r="AF86" s="646"/>
      <c r="AG86" s="646"/>
      <c r="AH86" s="646"/>
      <c r="AI86" s="646"/>
      <c r="AJ86" s="646"/>
      <c r="AK86" s="646"/>
      <c r="AL86" s="646"/>
      <c r="AM86" s="646"/>
      <c r="AN86" s="646"/>
      <c r="AO86" s="646"/>
      <c r="AP86" s="646"/>
      <c r="AQ86" s="646"/>
      <c r="AR86" s="646"/>
      <c r="AS86" s="646"/>
      <c r="AT86" s="646"/>
      <c r="AU86" s="646"/>
      <c r="AV86" s="646"/>
      <c r="AW86" s="646"/>
      <c r="AX86" s="646"/>
      <c r="AY86" s="646"/>
      <c r="AZ86" s="646"/>
    </row>
    <row r="87" spans="23:52">
      <c r="W87" s="646"/>
      <c r="X87" s="646"/>
      <c r="Y87" s="646"/>
      <c r="Z87" s="646"/>
      <c r="AA87" s="646"/>
      <c r="AB87" s="646"/>
      <c r="AC87" s="646"/>
      <c r="AD87" s="646"/>
      <c r="AE87" s="646"/>
      <c r="AF87" s="646"/>
      <c r="AG87" s="646"/>
      <c r="AH87" s="646"/>
      <c r="AI87" s="646"/>
      <c r="AJ87" s="646"/>
      <c r="AK87" s="646"/>
      <c r="AL87" s="646"/>
      <c r="AM87" s="646"/>
      <c r="AN87" s="646"/>
      <c r="AO87" s="646"/>
      <c r="AP87" s="646"/>
      <c r="AQ87" s="646"/>
      <c r="AR87" s="646"/>
      <c r="AS87" s="646"/>
      <c r="AT87" s="646"/>
      <c r="AU87" s="646"/>
      <c r="AV87" s="646"/>
      <c r="AW87" s="646"/>
      <c r="AX87" s="646"/>
      <c r="AY87" s="646"/>
      <c r="AZ87" s="646"/>
    </row>
    <row r="88" spans="23:52">
      <c r="W88" s="646"/>
      <c r="X88" s="646"/>
      <c r="Y88" s="646"/>
      <c r="Z88" s="646"/>
      <c r="AA88" s="646"/>
      <c r="AB88" s="646"/>
      <c r="AC88" s="646"/>
      <c r="AD88" s="646"/>
      <c r="AE88" s="646"/>
      <c r="AF88" s="646"/>
      <c r="AG88" s="646"/>
      <c r="AH88" s="646"/>
      <c r="AI88" s="646"/>
      <c r="AJ88" s="646"/>
      <c r="AK88" s="646"/>
      <c r="AL88" s="646"/>
      <c r="AM88" s="646"/>
      <c r="AN88" s="646"/>
      <c r="AO88" s="646"/>
      <c r="AP88" s="646"/>
      <c r="AQ88" s="646"/>
      <c r="AR88" s="646"/>
      <c r="AS88" s="646"/>
      <c r="AT88" s="646"/>
      <c r="AU88" s="646"/>
      <c r="AV88" s="646"/>
      <c r="AW88" s="646"/>
      <c r="AX88" s="646"/>
      <c r="AY88" s="646"/>
      <c r="AZ88" s="646"/>
    </row>
    <row r="89" spans="23:52">
      <c r="W89" s="646"/>
      <c r="X89" s="646"/>
      <c r="Y89" s="646"/>
      <c r="Z89" s="646"/>
      <c r="AA89" s="646"/>
      <c r="AB89" s="646"/>
      <c r="AC89" s="646"/>
      <c r="AD89" s="646"/>
      <c r="AE89" s="646"/>
      <c r="AF89" s="646"/>
      <c r="AG89" s="646"/>
      <c r="AH89" s="646"/>
      <c r="AI89" s="646"/>
      <c r="AJ89" s="646"/>
      <c r="AK89" s="646"/>
      <c r="AL89" s="646"/>
      <c r="AM89" s="646"/>
      <c r="AN89" s="646"/>
      <c r="AO89" s="646"/>
      <c r="AP89" s="646"/>
      <c r="AQ89" s="646"/>
      <c r="AR89" s="646"/>
      <c r="AS89" s="646"/>
      <c r="AT89" s="646"/>
      <c r="AU89" s="646"/>
      <c r="AV89" s="646"/>
      <c r="AW89" s="646"/>
      <c r="AX89" s="646"/>
      <c r="AY89" s="646"/>
      <c r="AZ89" s="646"/>
    </row>
    <row r="90" spans="23:52">
      <c r="W90" s="646"/>
      <c r="X90" s="646"/>
      <c r="Y90" s="646"/>
      <c r="Z90" s="646"/>
      <c r="AA90" s="646"/>
      <c r="AB90" s="646"/>
      <c r="AC90" s="646"/>
      <c r="AD90" s="646"/>
      <c r="AE90" s="646"/>
      <c r="AF90" s="646"/>
      <c r="AG90" s="646"/>
      <c r="AH90" s="646"/>
      <c r="AI90" s="646"/>
      <c r="AJ90" s="646"/>
      <c r="AK90" s="646"/>
      <c r="AL90" s="646"/>
      <c r="AM90" s="646"/>
      <c r="AN90" s="646"/>
      <c r="AO90" s="646"/>
      <c r="AP90" s="646"/>
      <c r="AQ90" s="646"/>
      <c r="AR90" s="646"/>
      <c r="AS90" s="646"/>
      <c r="AT90" s="646"/>
      <c r="AU90" s="646"/>
      <c r="AV90" s="646"/>
      <c r="AW90" s="646"/>
      <c r="AX90" s="646"/>
      <c r="AY90" s="646"/>
      <c r="AZ90" s="646"/>
    </row>
    <row r="91" spans="23:52">
      <c r="W91" s="646"/>
      <c r="X91" s="646"/>
      <c r="Y91" s="646"/>
      <c r="Z91" s="646"/>
      <c r="AA91" s="646"/>
      <c r="AB91" s="646"/>
      <c r="AC91" s="646"/>
      <c r="AD91" s="646"/>
      <c r="AE91" s="646"/>
      <c r="AF91" s="646"/>
      <c r="AG91" s="646"/>
      <c r="AH91" s="646"/>
      <c r="AI91" s="646"/>
      <c r="AJ91" s="646"/>
      <c r="AK91" s="646"/>
      <c r="AL91" s="646"/>
      <c r="AM91" s="646"/>
      <c r="AN91" s="646"/>
      <c r="AO91" s="646"/>
      <c r="AP91" s="646"/>
      <c r="AQ91" s="646"/>
      <c r="AR91" s="646"/>
      <c r="AS91" s="646"/>
      <c r="AT91" s="646"/>
      <c r="AU91" s="646"/>
      <c r="AV91" s="646"/>
      <c r="AW91" s="646"/>
      <c r="AX91" s="646"/>
      <c r="AY91" s="646"/>
      <c r="AZ91" s="646"/>
    </row>
    <row r="92" spans="23:52">
      <c r="W92" s="646"/>
      <c r="X92" s="646"/>
      <c r="Y92" s="646"/>
      <c r="Z92" s="646"/>
      <c r="AA92" s="646"/>
      <c r="AB92" s="646"/>
      <c r="AC92" s="646"/>
      <c r="AD92" s="646"/>
      <c r="AE92" s="646"/>
      <c r="AF92" s="646"/>
      <c r="AG92" s="646"/>
      <c r="AH92" s="646"/>
      <c r="AI92" s="646"/>
      <c r="AJ92" s="646"/>
      <c r="AK92" s="646"/>
      <c r="AL92" s="646"/>
      <c r="AM92" s="646"/>
      <c r="AN92" s="646"/>
      <c r="AO92" s="646"/>
      <c r="AP92" s="646"/>
      <c r="AQ92" s="646"/>
      <c r="AR92" s="646"/>
      <c r="AS92" s="646"/>
      <c r="AT92" s="646"/>
      <c r="AU92" s="646"/>
      <c r="AV92" s="646"/>
      <c r="AW92" s="646"/>
      <c r="AX92" s="646"/>
      <c r="AY92" s="646"/>
      <c r="AZ92" s="646"/>
    </row>
    <row r="93" spans="23:52">
      <c r="W93" s="646"/>
      <c r="X93" s="646"/>
      <c r="Y93" s="646"/>
      <c r="Z93" s="646"/>
      <c r="AA93" s="646"/>
      <c r="AB93" s="646"/>
      <c r="AC93" s="646"/>
      <c r="AD93" s="646"/>
      <c r="AE93" s="646"/>
      <c r="AF93" s="646"/>
      <c r="AG93" s="646"/>
      <c r="AH93" s="646"/>
      <c r="AI93" s="646"/>
      <c r="AJ93" s="646"/>
      <c r="AK93" s="646"/>
      <c r="AL93" s="646"/>
      <c r="AM93" s="646"/>
      <c r="AN93" s="646"/>
      <c r="AO93" s="646"/>
      <c r="AP93" s="646"/>
      <c r="AQ93" s="646"/>
      <c r="AR93" s="646"/>
      <c r="AS93" s="646"/>
      <c r="AT93" s="646"/>
      <c r="AU93" s="646"/>
      <c r="AV93" s="646"/>
      <c r="AW93" s="646"/>
      <c r="AX93" s="646"/>
      <c r="AY93" s="646"/>
      <c r="AZ93" s="646"/>
    </row>
    <row r="94" spans="23:52">
      <c r="W94" s="646"/>
      <c r="X94" s="646"/>
      <c r="Y94" s="646"/>
      <c r="Z94" s="646"/>
      <c r="AA94" s="646"/>
      <c r="AB94" s="646"/>
      <c r="AC94" s="646"/>
      <c r="AD94" s="646"/>
      <c r="AE94" s="646"/>
      <c r="AF94" s="646"/>
      <c r="AG94" s="646"/>
      <c r="AH94" s="646"/>
      <c r="AI94" s="646"/>
      <c r="AJ94" s="646"/>
      <c r="AK94" s="646"/>
      <c r="AL94" s="646"/>
      <c r="AM94" s="646"/>
      <c r="AN94" s="646"/>
      <c r="AO94" s="646"/>
      <c r="AP94" s="646"/>
      <c r="AQ94" s="646"/>
      <c r="AR94" s="646"/>
      <c r="AS94" s="646"/>
      <c r="AT94" s="646"/>
      <c r="AU94" s="646"/>
      <c r="AV94" s="646"/>
      <c r="AW94" s="646"/>
      <c r="AX94" s="646"/>
      <c r="AY94" s="646"/>
      <c r="AZ94" s="646"/>
    </row>
    <row r="95" spans="23:52">
      <c r="W95" s="646"/>
      <c r="X95" s="646"/>
      <c r="Y95" s="646"/>
      <c r="Z95" s="646"/>
      <c r="AA95" s="646"/>
      <c r="AB95" s="646"/>
      <c r="AC95" s="646"/>
      <c r="AD95" s="646"/>
      <c r="AE95" s="646"/>
      <c r="AF95" s="646"/>
      <c r="AG95" s="646"/>
      <c r="AH95" s="646"/>
      <c r="AI95" s="646"/>
      <c r="AJ95" s="646"/>
      <c r="AK95" s="646"/>
      <c r="AL95" s="646"/>
      <c r="AM95" s="646"/>
      <c r="AN95" s="646"/>
      <c r="AO95" s="646"/>
      <c r="AP95" s="646"/>
      <c r="AQ95" s="646"/>
      <c r="AR95" s="646"/>
      <c r="AS95" s="646"/>
      <c r="AT95" s="646"/>
      <c r="AU95" s="646"/>
      <c r="AV95" s="646"/>
      <c r="AW95" s="646"/>
      <c r="AX95" s="646"/>
      <c r="AY95" s="646"/>
      <c r="AZ95" s="646"/>
    </row>
    <row r="96" spans="23:52">
      <c r="W96" s="646"/>
      <c r="X96" s="646"/>
      <c r="Y96" s="646"/>
      <c r="Z96" s="646"/>
      <c r="AA96" s="646"/>
      <c r="AB96" s="646"/>
      <c r="AC96" s="646"/>
      <c r="AD96" s="646"/>
      <c r="AE96" s="646"/>
      <c r="AF96" s="646"/>
      <c r="AG96" s="646"/>
      <c r="AH96" s="646"/>
      <c r="AI96" s="646"/>
      <c r="AJ96" s="646"/>
      <c r="AK96" s="646"/>
      <c r="AL96" s="646"/>
      <c r="AM96" s="646"/>
      <c r="AN96" s="646"/>
      <c r="AO96" s="646"/>
      <c r="AP96" s="646"/>
      <c r="AQ96" s="646"/>
      <c r="AR96" s="646"/>
      <c r="AS96" s="646"/>
      <c r="AT96" s="646"/>
      <c r="AU96" s="646"/>
      <c r="AV96" s="646"/>
      <c r="AW96" s="646"/>
      <c r="AX96" s="646"/>
      <c r="AY96" s="646"/>
      <c r="AZ96" s="646"/>
    </row>
    <row r="97" spans="23:52">
      <c r="W97" s="646"/>
      <c r="X97" s="646"/>
      <c r="Y97" s="646"/>
      <c r="Z97" s="646"/>
      <c r="AA97" s="646"/>
      <c r="AB97" s="646"/>
      <c r="AC97" s="646"/>
      <c r="AD97" s="646"/>
      <c r="AE97" s="646"/>
      <c r="AF97" s="646"/>
      <c r="AG97" s="646"/>
      <c r="AH97" s="646"/>
      <c r="AI97" s="646"/>
      <c r="AJ97" s="646"/>
      <c r="AK97" s="646"/>
      <c r="AL97" s="646"/>
      <c r="AM97" s="646"/>
      <c r="AN97" s="646"/>
      <c r="AO97" s="646"/>
      <c r="AP97" s="646"/>
      <c r="AQ97" s="646"/>
      <c r="AR97" s="646"/>
      <c r="AS97" s="646"/>
      <c r="AT97" s="646"/>
      <c r="AU97" s="646"/>
      <c r="AV97" s="646"/>
      <c r="AW97" s="646"/>
      <c r="AX97" s="646"/>
      <c r="AY97" s="646"/>
      <c r="AZ97" s="646"/>
    </row>
    <row r="98" spans="23:52">
      <c r="W98" s="646"/>
      <c r="X98" s="646"/>
      <c r="Y98" s="646"/>
      <c r="Z98" s="646"/>
      <c r="AA98" s="646"/>
      <c r="AB98" s="646"/>
      <c r="AC98" s="646"/>
      <c r="AD98" s="646"/>
      <c r="AE98" s="646"/>
      <c r="AF98" s="646"/>
      <c r="AG98" s="646"/>
      <c r="AH98" s="646"/>
      <c r="AI98" s="646"/>
      <c r="AJ98" s="646"/>
      <c r="AK98" s="646"/>
      <c r="AL98" s="646"/>
      <c r="AM98" s="646"/>
      <c r="AN98" s="646"/>
      <c r="AO98" s="646"/>
      <c r="AP98" s="646"/>
      <c r="AQ98" s="646"/>
      <c r="AR98" s="646"/>
      <c r="AS98" s="646"/>
      <c r="AT98" s="646"/>
      <c r="AU98" s="646"/>
      <c r="AV98" s="646"/>
      <c r="AW98" s="646"/>
      <c r="AX98" s="646"/>
      <c r="AY98" s="646"/>
      <c r="AZ98" s="646"/>
    </row>
    <row r="99" spans="23:52">
      <c r="W99" s="646"/>
      <c r="X99" s="646"/>
      <c r="Y99" s="646"/>
      <c r="Z99" s="646"/>
      <c r="AA99" s="646"/>
      <c r="AB99" s="646"/>
      <c r="AC99" s="646"/>
      <c r="AD99" s="646"/>
      <c r="AE99" s="646"/>
      <c r="AF99" s="646"/>
      <c r="AG99" s="646"/>
      <c r="AH99" s="646"/>
      <c r="AI99" s="646"/>
      <c r="AJ99" s="646"/>
      <c r="AK99" s="646"/>
      <c r="AL99" s="646"/>
      <c r="AM99" s="646"/>
      <c r="AN99" s="646"/>
      <c r="AO99" s="646"/>
      <c r="AP99" s="646"/>
      <c r="AQ99" s="646"/>
      <c r="AR99" s="646"/>
      <c r="AS99" s="646"/>
      <c r="AT99" s="646"/>
      <c r="AU99" s="646"/>
      <c r="AV99" s="646"/>
      <c r="AW99" s="646"/>
      <c r="AX99" s="646"/>
      <c r="AY99" s="646"/>
      <c r="AZ99" s="646"/>
    </row>
    <row r="100" spans="23:52">
      <c r="W100" s="646"/>
      <c r="X100" s="646"/>
      <c r="Y100" s="646"/>
      <c r="Z100" s="646"/>
      <c r="AA100" s="646"/>
      <c r="AB100" s="646"/>
      <c r="AC100" s="646"/>
      <c r="AD100" s="646"/>
      <c r="AE100" s="646"/>
      <c r="AF100" s="646"/>
      <c r="AG100" s="646"/>
      <c r="AH100" s="646"/>
      <c r="AI100" s="646"/>
      <c r="AJ100" s="646"/>
      <c r="AK100" s="646"/>
      <c r="AL100" s="646"/>
      <c r="AM100" s="646"/>
      <c r="AN100" s="646"/>
      <c r="AO100" s="646"/>
      <c r="AP100" s="646"/>
      <c r="AQ100" s="646"/>
      <c r="AR100" s="646"/>
      <c r="AS100" s="646"/>
      <c r="AT100" s="646"/>
      <c r="AU100" s="646"/>
      <c r="AV100" s="646"/>
      <c r="AW100" s="646"/>
      <c r="AX100" s="646"/>
      <c r="AY100" s="646"/>
      <c r="AZ100" s="646"/>
    </row>
    <row r="101" spans="23:52">
      <c r="W101" s="646"/>
      <c r="X101" s="646"/>
      <c r="Y101" s="646"/>
      <c r="Z101" s="646"/>
      <c r="AA101" s="646"/>
      <c r="AB101" s="646"/>
      <c r="AC101" s="646"/>
      <c r="AD101" s="646"/>
      <c r="AE101" s="646"/>
      <c r="AF101" s="646"/>
      <c r="AG101" s="646"/>
      <c r="AH101" s="646"/>
      <c r="AI101" s="646"/>
      <c r="AJ101" s="646"/>
      <c r="AK101" s="646"/>
      <c r="AL101" s="646"/>
      <c r="AM101" s="646"/>
      <c r="AN101" s="646"/>
      <c r="AO101" s="646"/>
      <c r="AP101" s="646"/>
      <c r="AQ101" s="646"/>
      <c r="AR101" s="646"/>
      <c r="AS101" s="646"/>
      <c r="AT101" s="646"/>
      <c r="AU101" s="646"/>
      <c r="AV101" s="646"/>
      <c r="AW101" s="646"/>
      <c r="AX101" s="646"/>
      <c r="AY101" s="646"/>
      <c r="AZ101" s="646"/>
    </row>
    <row r="102" spans="23:52">
      <c r="W102" s="646"/>
      <c r="X102" s="646"/>
      <c r="Y102" s="646"/>
      <c r="Z102" s="646"/>
      <c r="AA102" s="646"/>
      <c r="AB102" s="646"/>
      <c r="AC102" s="646"/>
      <c r="AD102" s="646"/>
      <c r="AE102" s="646"/>
      <c r="AF102" s="646"/>
      <c r="AG102" s="646"/>
      <c r="AH102" s="646"/>
      <c r="AI102" s="646"/>
      <c r="AJ102" s="646"/>
      <c r="AK102" s="646"/>
      <c r="AL102" s="646"/>
      <c r="AM102" s="646"/>
      <c r="AN102" s="646"/>
      <c r="AO102" s="646"/>
      <c r="AP102" s="646"/>
      <c r="AQ102" s="646"/>
      <c r="AR102" s="646"/>
      <c r="AS102" s="646"/>
      <c r="AT102" s="646"/>
      <c r="AU102" s="646"/>
      <c r="AV102" s="646"/>
      <c r="AW102" s="646"/>
      <c r="AX102" s="646"/>
      <c r="AY102" s="646"/>
      <c r="AZ102" s="646"/>
    </row>
    <row r="103" spans="23:52">
      <c r="W103" s="646"/>
      <c r="X103" s="646"/>
      <c r="Y103" s="646"/>
      <c r="Z103" s="646"/>
      <c r="AA103" s="646"/>
      <c r="AB103" s="646"/>
      <c r="AC103" s="646"/>
      <c r="AD103" s="646"/>
      <c r="AE103" s="646"/>
      <c r="AF103" s="646"/>
      <c r="AG103" s="646"/>
      <c r="AH103" s="646"/>
      <c r="AI103" s="646"/>
      <c r="AJ103" s="646"/>
      <c r="AK103" s="646"/>
      <c r="AL103" s="646"/>
      <c r="AM103" s="646"/>
      <c r="AN103" s="646"/>
      <c r="AO103" s="646"/>
      <c r="AP103" s="646"/>
      <c r="AQ103" s="646"/>
      <c r="AR103" s="646"/>
      <c r="AS103" s="646"/>
      <c r="AT103" s="646"/>
      <c r="AU103" s="646"/>
      <c r="AV103" s="646"/>
      <c r="AW103" s="646"/>
      <c r="AX103" s="646"/>
      <c r="AY103" s="646"/>
      <c r="AZ103" s="646"/>
    </row>
    <row r="104" spans="23:52">
      <c r="W104" s="646"/>
      <c r="X104" s="646"/>
      <c r="Y104" s="646"/>
      <c r="Z104" s="646"/>
      <c r="AA104" s="646"/>
      <c r="AB104" s="646"/>
      <c r="AC104" s="646"/>
      <c r="AD104" s="646"/>
      <c r="AE104" s="646"/>
      <c r="AF104" s="646"/>
      <c r="AG104" s="646"/>
      <c r="AH104" s="646"/>
      <c r="AI104" s="646"/>
      <c r="AJ104" s="646"/>
      <c r="AK104" s="646"/>
      <c r="AL104" s="646"/>
      <c r="AM104" s="646"/>
      <c r="AN104" s="646"/>
      <c r="AO104" s="646"/>
      <c r="AP104" s="646"/>
      <c r="AQ104" s="646"/>
      <c r="AR104" s="646"/>
      <c r="AS104" s="646"/>
      <c r="AT104" s="646"/>
      <c r="AU104" s="646"/>
      <c r="AV104" s="646"/>
      <c r="AW104" s="646"/>
      <c r="AX104" s="646"/>
      <c r="AY104" s="646"/>
      <c r="AZ104" s="646"/>
    </row>
    <row r="105" spans="23:52">
      <c r="W105" s="646"/>
      <c r="X105" s="646"/>
      <c r="Y105" s="646"/>
      <c r="Z105" s="646"/>
      <c r="AA105" s="646"/>
      <c r="AB105" s="646"/>
      <c r="AC105" s="646"/>
      <c r="AD105" s="646"/>
      <c r="AE105" s="646"/>
      <c r="AF105" s="646"/>
      <c r="AG105" s="646"/>
      <c r="AH105" s="646"/>
      <c r="AI105" s="646"/>
      <c r="AJ105" s="646"/>
      <c r="AK105" s="646"/>
      <c r="AL105" s="646"/>
      <c r="AM105" s="646"/>
      <c r="AN105" s="646"/>
      <c r="AO105" s="646"/>
      <c r="AP105" s="646"/>
      <c r="AQ105" s="646"/>
      <c r="AR105" s="646"/>
      <c r="AS105" s="646"/>
      <c r="AT105" s="646"/>
      <c r="AU105" s="646"/>
      <c r="AV105" s="646"/>
      <c r="AW105" s="646"/>
      <c r="AX105" s="646"/>
      <c r="AY105" s="646"/>
      <c r="AZ105" s="646"/>
    </row>
    <row r="106" spans="23:52">
      <c r="W106" s="646"/>
      <c r="X106" s="646"/>
      <c r="Y106" s="646"/>
      <c r="Z106" s="646"/>
      <c r="AA106" s="646"/>
      <c r="AB106" s="646"/>
      <c r="AC106" s="646"/>
      <c r="AD106" s="646"/>
      <c r="AE106" s="646"/>
      <c r="AF106" s="646"/>
      <c r="AG106" s="646"/>
      <c r="AH106" s="646"/>
      <c r="AI106" s="646"/>
      <c r="AJ106" s="646"/>
      <c r="AK106" s="646"/>
      <c r="AL106" s="646"/>
      <c r="AM106" s="646"/>
      <c r="AN106" s="646"/>
      <c r="AO106" s="646"/>
      <c r="AP106" s="646"/>
      <c r="AQ106" s="646"/>
      <c r="AR106" s="646"/>
      <c r="AS106" s="646"/>
      <c r="AT106" s="646"/>
      <c r="AU106" s="646"/>
      <c r="AV106" s="646"/>
      <c r="AW106" s="646"/>
      <c r="AX106" s="646"/>
      <c r="AY106" s="646"/>
      <c r="AZ106" s="646"/>
    </row>
    <row r="107" spans="23:52">
      <c r="W107" s="646"/>
      <c r="X107" s="646"/>
      <c r="Y107" s="646"/>
      <c r="Z107" s="646"/>
      <c r="AA107" s="646"/>
      <c r="AB107" s="646"/>
      <c r="AC107" s="646"/>
      <c r="AD107" s="646"/>
      <c r="AE107" s="646"/>
      <c r="AF107" s="646"/>
      <c r="AG107" s="646"/>
      <c r="AH107" s="646"/>
      <c r="AI107" s="646"/>
      <c r="AJ107" s="646"/>
      <c r="AK107" s="646"/>
      <c r="AL107" s="646"/>
      <c r="AM107" s="646"/>
      <c r="AN107" s="646"/>
      <c r="AO107" s="646"/>
      <c r="AP107" s="646"/>
      <c r="AQ107" s="646"/>
      <c r="AR107" s="646"/>
      <c r="AS107" s="646"/>
      <c r="AT107" s="646"/>
      <c r="AU107" s="646"/>
      <c r="AV107" s="646"/>
      <c r="AW107" s="646"/>
      <c r="AX107" s="646"/>
      <c r="AY107" s="646"/>
      <c r="AZ107" s="646"/>
    </row>
    <row r="108" spans="23:52">
      <c r="W108" s="646"/>
      <c r="X108" s="646"/>
      <c r="Y108" s="646"/>
      <c r="Z108" s="646"/>
      <c r="AA108" s="646"/>
      <c r="AB108" s="646"/>
      <c r="AC108" s="646"/>
      <c r="AD108" s="646"/>
      <c r="AE108" s="646"/>
      <c r="AF108" s="646"/>
      <c r="AG108" s="646"/>
      <c r="AH108" s="646"/>
      <c r="AI108" s="646"/>
      <c r="AJ108" s="646"/>
      <c r="AK108" s="646"/>
      <c r="AL108" s="646"/>
      <c r="AM108" s="646"/>
      <c r="AN108" s="646"/>
      <c r="AO108" s="646"/>
      <c r="AP108" s="646"/>
      <c r="AQ108" s="646"/>
      <c r="AR108" s="646"/>
      <c r="AS108" s="646"/>
      <c r="AT108" s="646"/>
      <c r="AU108" s="646"/>
      <c r="AV108" s="646"/>
      <c r="AW108" s="646"/>
      <c r="AX108" s="646"/>
      <c r="AY108" s="646"/>
      <c r="AZ108" s="646"/>
    </row>
    <row r="109" spans="23:52">
      <c r="W109" s="646"/>
      <c r="X109" s="646"/>
      <c r="Y109" s="646"/>
      <c r="Z109" s="646"/>
      <c r="AA109" s="646"/>
      <c r="AB109" s="646"/>
      <c r="AC109" s="646"/>
      <c r="AD109" s="646"/>
      <c r="AE109" s="646"/>
      <c r="AF109" s="646"/>
      <c r="AG109" s="646"/>
      <c r="AH109" s="646"/>
      <c r="AI109" s="646"/>
      <c r="AJ109" s="646"/>
      <c r="AK109" s="646"/>
      <c r="AL109" s="646"/>
      <c r="AM109" s="646"/>
      <c r="AN109" s="646"/>
      <c r="AO109" s="646"/>
      <c r="AP109" s="646"/>
      <c r="AQ109" s="646"/>
      <c r="AR109" s="646"/>
      <c r="AS109" s="646"/>
      <c r="AT109" s="646"/>
      <c r="AU109" s="646"/>
      <c r="AV109" s="646"/>
      <c r="AW109" s="646"/>
      <c r="AX109" s="646"/>
      <c r="AY109" s="646"/>
      <c r="AZ109" s="646"/>
    </row>
    <row r="110" spans="23:52">
      <c r="W110" s="646"/>
      <c r="X110" s="646"/>
      <c r="Y110" s="646"/>
      <c r="Z110" s="646"/>
      <c r="AA110" s="646"/>
      <c r="AB110" s="646"/>
      <c r="AC110" s="646"/>
      <c r="AD110" s="646"/>
      <c r="AE110" s="646"/>
      <c r="AF110" s="646"/>
      <c r="AG110" s="646"/>
      <c r="AH110" s="646"/>
      <c r="AI110" s="646"/>
      <c r="AJ110" s="646"/>
      <c r="AK110" s="646"/>
      <c r="AL110" s="646"/>
      <c r="AM110" s="646"/>
      <c r="AN110" s="646"/>
      <c r="AO110" s="646"/>
      <c r="AP110" s="646"/>
      <c r="AQ110" s="646"/>
      <c r="AR110" s="646"/>
      <c r="AS110" s="646"/>
      <c r="AT110" s="646"/>
      <c r="AU110" s="646"/>
      <c r="AV110" s="646"/>
      <c r="AW110" s="646"/>
      <c r="AX110" s="646"/>
      <c r="AY110" s="646"/>
      <c r="AZ110" s="646"/>
    </row>
    <row r="111" spans="23:52">
      <c r="W111" s="646"/>
      <c r="X111" s="646"/>
      <c r="Y111" s="646"/>
      <c r="Z111" s="646"/>
      <c r="AA111" s="646"/>
      <c r="AB111" s="646"/>
      <c r="AC111" s="646"/>
      <c r="AD111" s="646"/>
      <c r="AE111" s="646"/>
      <c r="AF111" s="646"/>
      <c r="AG111" s="646"/>
      <c r="AH111" s="646"/>
      <c r="AI111" s="646"/>
      <c r="AJ111" s="646"/>
      <c r="AK111" s="646"/>
      <c r="AL111" s="646"/>
      <c r="AM111" s="646"/>
      <c r="AN111" s="646"/>
      <c r="AO111" s="646"/>
      <c r="AP111" s="646"/>
      <c r="AQ111" s="646"/>
      <c r="AR111" s="646"/>
      <c r="AS111" s="646"/>
      <c r="AT111" s="646"/>
      <c r="AU111" s="646"/>
      <c r="AV111" s="646"/>
      <c r="AW111" s="646"/>
      <c r="AX111" s="646"/>
      <c r="AY111" s="646"/>
      <c r="AZ111" s="646"/>
    </row>
    <row r="112" spans="23:52">
      <c r="W112" s="646"/>
      <c r="X112" s="646"/>
      <c r="Y112" s="646"/>
      <c r="Z112" s="646"/>
      <c r="AA112" s="646"/>
      <c r="AB112" s="646"/>
      <c r="AC112" s="646"/>
      <c r="AD112" s="646"/>
      <c r="AE112" s="646"/>
      <c r="AF112" s="646"/>
      <c r="AG112" s="646"/>
      <c r="AH112" s="646"/>
      <c r="AI112" s="646"/>
      <c r="AJ112" s="646"/>
      <c r="AK112" s="646"/>
      <c r="AL112" s="646"/>
      <c r="AM112" s="646"/>
      <c r="AN112" s="646"/>
      <c r="AO112" s="646"/>
      <c r="AP112" s="646"/>
      <c r="AQ112" s="646"/>
      <c r="AR112" s="646"/>
      <c r="AS112" s="646"/>
      <c r="AT112" s="646"/>
      <c r="AU112" s="646"/>
      <c r="AV112" s="646"/>
      <c r="AW112" s="646"/>
      <c r="AX112" s="646"/>
      <c r="AY112" s="646"/>
      <c r="AZ112" s="646"/>
    </row>
    <row r="113" spans="23:52">
      <c r="W113" s="646"/>
      <c r="X113" s="646"/>
      <c r="Y113" s="646"/>
      <c r="Z113" s="646"/>
      <c r="AA113" s="646"/>
      <c r="AB113" s="646"/>
      <c r="AC113" s="646"/>
      <c r="AD113" s="646"/>
      <c r="AE113" s="646"/>
      <c r="AF113" s="646"/>
      <c r="AG113" s="646"/>
      <c r="AH113" s="646"/>
      <c r="AI113" s="646"/>
      <c r="AJ113" s="646"/>
      <c r="AK113" s="646"/>
      <c r="AL113" s="646"/>
      <c r="AM113" s="646"/>
      <c r="AN113" s="646"/>
      <c r="AO113" s="646"/>
      <c r="AP113" s="646"/>
      <c r="AQ113" s="646"/>
      <c r="AR113" s="646"/>
      <c r="AS113" s="646"/>
      <c r="AT113" s="646"/>
      <c r="AU113" s="646"/>
      <c r="AV113" s="646"/>
      <c r="AW113" s="646"/>
      <c r="AX113" s="646"/>
      <c r="AY113" s="646"/>
      <c r="AZ113" s="646"/>
    </row>
    <row r="114" spans="23:52">
      <c r="W114" s="646"/>
      <c r="X114" s="646"/>
      <c r="Y114" s="646"/>
      <c r="Z114" s="646"/>
      <c r="AA114" s="646"/>
      <c r="AB114" s="646"/>
      <c r="AC114" s="646"/>
      <c r="AD114" s="646"/>
      <c r="AE114" s="646"/>
      <c r="AF114" s="646"/>
      <c r="AG114" s="646"/>
      <c r="AH114" s="646"/>
      <c r="AI114" s="646"/>
      <c r="AJ114" s="646"/>
      <c r="AK114" s="646"/>
      <c r="AL114" s="646"/>
      <c r="AM114" s="646"/>
      <c r="AN114" s="646"/>
      <c r="AO114" s="646"/>
      <c r="AP114" s="646"/>
      <c r="AQ114" s="646"/>
      <c r="AR114" s="646"/>
      <c r="AS114" s="646"/>
      <c r="AT114" s="646"/>
      <c r="AU114" s="646"/>
      <c r="AV114" s="646"/>
      <c r="AW114" s="646"/>
      <c r="AX114" s="646"/>
      <c r="AY114" s="646"/>
      <c r="AZ114" s="646"/>
    </row>
    <row r="115" spans="23:52">
      <c r="W115" s="646"/>
      <c r="X115" s="646"/>
      <c r="Y115" s="646"/>
      <c r="Z115" s="646"/>
      <c r="AA115" s="646"/>
      <c r="AB115" s="646"/>
      <c r="AC115" s="646"/>
      <c r="AD115" s="646"/>
      <c r="AE115" s="646"/>
      <c r="AF115" s="646"/>
      <c r="AG115" s="646"/>
      <c r="AH115" s="646"/>
      <c r="AI115" s="646"/>
      <c r="AJ115" s="646"/>
      <c r="AK115" s="646"/>
      <c r="AL115" s="646"/>
      <c r="AM115" s="646"/>
      <c r="AN115" s="646"/>
      <c r="AO115" s="646"/>
      <c r="AP115" s="646"/>
      <c r="AQ115" s="646"/>
      <c r="AR115" s="646"/>
      <c r="AS115" s="646"/>
      <c r="AT115" s="646"/>
      <c r="AU115" s="646"/>
      <c r="AV115" s="646"/>
      <c r="AW115" s="646"/>
      <c r="AX115" s="646"/>
      <c r="AY115" s="646"/>
      <c r="AZ115" s="646"/>
    </row>
    <row r="116" spans="23:52">
      <c r="W116" s="646"/>
      <c r="X116" s="646"/>
      <c r="Y116" s="646"/>
      <c r="Z116" s="646"/>
      <c r="AA116" s="646"/>
      <c r="AB116" s="646"/>
      <c r="AC116" s="646"/>
      <c r="AD116" s="646"/>
      <c r="AE116" s="646"/>
      <c r="AF116" s="646"/>
      <c r="AG116" s="646"/>
      <c r="AH116" s="646"/>
      <c r="AI116" s="646"/>
      <c r="AJ116" s="646"/>
      <c r="AK116" s="646"/>
      <c r="AL116" s="646"/>
      <c r="AM116" s="646"/>
      <c r="AN116" s="646"/>
      <c r="AO116" s="646"/>
      <c r="AP116" s="646"/>
      <c r="AQ116" s="646"/>
      <c r="AR116" s="646"/>
      <c r="AS116" s="646"/>
      <c r="AT116" s="646"/>
      <c r="AU116" s="646"/>
      <c r="AV116" s="646"/>
      <c r="AW116" s="646"/>
      <c r="AX116" s="646"/>
      <c r="AY116" s="646"/>
      <c r="AZ116" s="646"/>
    </row>
    <row r="117" spans="23:52">
      <c r="W117" s="646"/>
      <c r="X117" s="646"/>
      <c r="Y117" s="646"/>
      <c r="Z117" s="646"/>
      <c r="AA117" s="646"/>
      <c r="AB117" s="646"/>
      <c r="AC117" s="646"/>
      <c r="AD117" s="646"/>
      <c r="AE117" s="646"/>
      <c r="AF117" s="646"/>
      <c r="AG117" s="646"/>
      <c r="AH117" s="646"/>
      <c r="AI117" s="646"/>
      <c r="AJ117" s="646"/>
      <c r="AK117" s="646"/>
      <c r="AL117" s="646"/>
      <c r="AM117" s="646"/>
      <c r="AN117" s="646"/>
      <c r="AO117" s="646"/>
      <c r="AP117" s="646"/>
      <c r="AQ117" s="646"/>
      <c r="AR117" s="646"/>
      <c r="AS117" s="646"/>
      <c r="AT117" s="646"/>
      <c r="AU117" s="646"/>
      <c r="AV117" s="646"/>
      <c r="AW117" s="646"/>
      <c r="AX117" s="646"/>
      <c r="AY117" s="646"/>
      <c r="AZ117" s="646"/>
    </row>
    <row r="118" spans="23:52">
      <c r="W118" s="646"/>
      <c r="X118" s="646"/>
      <c r="Y118" s="646"/>
      <c r="Z118" s="646"/>
      <c r="AA118" s="646"/>
      <c r="AB118" s="646"/>
      <c r="AC118" s="646"/>
      <c r="AD118" s="646"/>
      <c r="AE118" s="646"/>
      <c r="AF118" s="646"/>
      <c r="AG118" s="646"/>
      <c r="AH118" s="646"/>
      <c r="AI118" s="646"/>
      <c r="AJ118" s="646"/>
      <c r="AK118" s="646"/>
      <c r="AL118" s="646"/>
      <c r="AM118" s="646"/>
      <c r="AN118" s="646"/>
      <c r="AO118" s="646"/>
      <c r="AP118" s="646"/>
      <c r="AQ118" s="646"/>
      <c r="AR118" s="646"/>
      <c r="AS118" s="646"/>
      <c r="AT118" s="646"/>
      <c r="AU118" s="646"/>
      <c r="AV118" s="646"/>
      <c r="AW118" s="646"/>
      <c r="AX118" s="646"/>
      <c r="AY118" s="646"/>
      <c r="AZ118" s="646"/>
    </row>
    <row r="119" spans="23:52">
      <c r="W119" s="646"/>
      <c r="X119" s="646"/>
      <c r="Y119" s="646"/>
      <c r="Z119" s="646"/>
      <c r="AA119" s="646"/>
      <c r="AB119" s="646"/>
      <c r="AC119" s="646"/>
      <c r="AD119" s="646"/>
      <c r="AE119" s="646"/>
      <c r="AF119" s="646"/>
      <c r="AG119" s="646"/>
      <c r="AH119" s="646"/>
      <c r="AI119" s="646"/>
      <c r="AJ119" s="646"/>
      <c r="AK119" s="646"/>
      <c r="AL119" s="646"/>
      <c r="AM119" s="646"/>
      <c r="AN119" s="646"/>
      <c r="AO119" s="646"/>
      <c r="AP119" s="646"/>
      <c r="AQ119" s="646"/>
      <c r="AR119" s="646"/>
      <c r="AS119" s="646"/>
      <c r="AT119" s="646"/>
      <c r="AU119" s="646"/>
      <c r="AV119" s="646"/>
      <c r="AW119" s="646"/>
      <c r="AX119" s="646"/>
      <c r="AY119" s="646"/>
      <c r="AZ119" s="646"/>
    </row>
    <row r="120" spans="23:52">
      <c r="W120" s="646"/>
      <c r="X120" s="646"/>
      <c r="Y120" s="646"/>
      <c r="Z120" s="646"/>
      <c r="AA120" s="646"/>
      <c r="AB120" s="646"/>
      <c r="AC120" s="646"/>
      <c r="AD120" s="646"/>
      <c r="AE120" s="646"/>
      <c r="AF120" s="646"/>
      <c r="AG120" s="646"/>
      <c r="AH120" s="646"/>
      <c r="AI120" s="646"/>
      <c r="AJ120" s="646"/>
      <c r="AK120" s="646"/>
      <c r="AL120" s="646"/>
      <c r="AM120" s="646"/>
      <c r="AN120" s="646"/>
      <c r="AO120" s="646"/>
      <c r="AP120" s="646"/>
      <c r="AQ120" s="646"/>
      <c r="AR120" s="646"/>
      <c r="AS120" s="646"/>
      <c r="AT120" s="646"/>
      <c r="AU120" s="646"/>
      <c r="AV120" s="646"/>
      <c r="AW120" s="646"/>
      <c r="AX120" s="646"/>
      <c r="AY120" s="646"/>
      <c r="AZ120" s="646"/>
    </row>
    <row r="121" spans="23:52">
      <c r="W121" s="646"/>
      <c r="X121" s="646"/>
      <c r="Y121" s="646"/>
      <c r="Z121" s="646"/>
      <c r="AA121" s="646"/>
      <c r="AB121" s="646"/>
      <c r="AC121" s="646"/>
      <c r="AD121" s="646"/>
      <c r="AE121" s="646"/>
      <c r="AF121" s="646"/>
      <c r="AG121" s="646"/>
      <c r="AH121" s="646"/>
      <c r="AI121" s="646"/>
      <c r="AJ121" s="646"/>
      <c r="AK121" s="646"/>
      <c r="AL121" s="646"/>
      <c r="AM121" s="646"/>
      <c r="AN121" s="646"/>
      <c r="AO121" s="646"/>
      <c r="AP121" s="646"/>
      <c r="AQ121" s="646"/>
      <c r="AR121" s="646"/>
      <c r="AS121" s="646"/>
      <c r="AT121" s="646"/>
      <c r="AU121" s="646"/>
      <c r="AV121" s="646"/>
      <c r="AW121" s="646"/>
      <c r="AX121" s="646"/>
      <c r="AY121" s="646"/>
      <c r="AZ121" s="646"/>
    </row>
    <row r="122" spans="23:52">
      <c r="W122" s="646"/>
      <c r="X122" s="646"/>
      <c r="Y122" s="646"/>
      <c r="Z122" s="646"/>
      <c r="AA122" s="646"/>
      <c r="AB122" s="646"/>
      <c r="AC122" s="646"/>
      <c r="AD122" s="646"/>
      <c r="AE122" s="646"/>
      <c r="AF122" s="646"/>
      <c r="AG122" s="646"/>
      <c r="AH122" s="646"/>
      <c r="AI122" s="646"/>
      <c r="AJ122" s="646"/>
      <c r="AK122" s="646"/>
      <c r="AL122" s="646"/>
      <c r="AM122" s="646"/>
      <c r="AN122" s="646"/>
      <c r="AO122" s="646"/>
      <c r="AP122" s="646"/>
      <c r="AQ122" s="646"/>
      <c r="AR122" s="646"/>
      <c r="AS122" s="646"/>
      <c r="AT122" s="646"/>
      <c r="AU122" s="646"/>
      <c r="AV122" s="646"/>
      <c r="AW122" s="646"/>
      <c r="AX122" s="646"/>
      <c r="AY122" s="646"/>
      <c r="AZ122" s="646"/>
    </row>
    <row r="123" spans="23:52">
      <c r="W123" s="646"/>
      <c r="X123" s="646"/>
      <c r="Y123" s="646"/>
      <c r="Z123" s="646"/>
      <c r="AA123" s="646"/>
      <c r="AB123" s="646"/>
      <c r="AC123" s="646"/>
      <c r="AD123" s="646"/>
      <c r="AE123" s="646"/>
      <c r="AF123" s="646"/>
      <c r="AG123" s="646"/>
      <c r="AH123" s="646"/>
      <c r="AI123" s="646"/>
      <c r="AJ123" s="646"/>
      <c r="AK123" s="646"/>
      <c r="AL123" s="646"/>
      <c r="AM123" s="646"/>
      <c r="AN123" s="646"/>
      <c r="AO123" s="646"/>
      <c r="AP123" s="646"/>
      <c r="AQ123" s="646"/>
      <c r="AR123" s="646"/>
      <c r="AS123" s="646"/>
      <c r="AT123" s="646"/>
      <c r="AU123" s="646"/>
      <c r="AV123" s="646"/>
      <c r="AW123" s="646"/>
      <c r="AX123" s="646"/>
      <c r="AY123" s="646"/>
      <c r="AZ123" s="646"/>
    </row>
    <row r="124" spans="23:52">
      <c r="W124" s="646"/>
      <c r="X124" s="646"/>
      <c r="Y124" s="646"/>
      <c r="Z124" s="646"/>
      <c r="AA124" s="646"/>
      <c r="AB124" s="646"/>
      <c r="AC124" s="646"/>
      <c r="AD124" s="646"/>
      <c r="AE124" s="646"/>
      <c r="AF124" s="646"/>
      <c r="AG124" s="646"/>
      <c r="AH124" s="646"/>
      <c r="AI124" s="646"/>
      <c r="AJ124" s="646"/>
      <c r="AK124" s="646"/>
      <c r="AL124" s="646"/>
      <c r="AM124" s="646"/>
      <c r="AN124" s="646"/>
      <c r="AO124" s="646"/>
      <c r="AP124" s="646"/>
      <c r="AQ124" s="646"/>
      <c r="AR124" s="646"/>
      <c r="AS124" s="646"/>
      <c r="AT124" s="646"/>
      <c r="AU124" s="646"/>
      <c r="AV124" s="646"/>
      <c r="AW124" s="646"/>
      <c r="AX124" s="646"/>
      <c r="AY124" s="646"/>
      <c r="AZ124" s="646"/>
    </row>
    <row r="125" spans="23:52">
      <c r="W125" s="646"/>
      <c r="X125" s="646"/>
      <c r="Y125" s="646"/>
      <c r="Z125" s="646"/>
      <c r="AA125" s="646"/>
      <c r="AB125" s="646"/>
      <c r="AC125" s="646"/>
      <c r="AD125" s="646"/>
      <c r="AE125" s="646"/>
      <c r="AF125" s="646"/>
      <c r="AG125" s="646"/>
      <c r="AH125" s="646"/>
      <c r="AI125" s="646"/>
      <c r="AJ125" s="646"/>
      <c r="AK125" s="646"/>
      <c r="AL125" s="646"/>
      <c r="AM125" s="646"/>
      <c r="AN125" s="646"/>
      <c r="AO125" s="646"/>
      <c r="AP125" s="646"/>
      <c r="AQ125" s="646"/>
      <c r="AR125" s="646"/>
      <c r="AS125" s="646"/>
      <c r="AT125" s="646"/>
      <c r="AU125" s="646"/>
      <c r="AV125" s="646"/>
      <c r="AW125" s="646"/>
      <c r="AX125" s="646"/>
      <c r="AY125" s="646"/>
      <c r="AZ125" s="646"/>
    </row>
    <row r="126" spans="23:52">
      <c r="W126" s="646"/>
      <c r="X126" s="646"/>
      <c r="Y126" s="646"/>
      <c r="Z126" s="646"/>
      <c r="AA126" s="646"/>
      <c r="AB126" s="646"/>
      <c r="AC126" s="646"/>
      <c r="AD126" s="646"/>
      <c r="AE126" s="646"/>
      <c r="AF126" s="646"/>
      <c r="AG126" s="646"/>
      <c r="AH126" s="646"/>
      <c r="AI126" s="646"/>
      <c r="AJ126" s="646"/>
      <c r="AK126" s="646"/>
      <c r="AL126" s="646"/>
      <c r="AM126" s="646"/>
      <c r="AN126" s="646"/>
      <c r="AO126" s="646"/>
      <c r="AP126" s="646"/>
      <c r="AQ126" s="646"/>
      <c r="AR126" s="646"/>
      <c r="AS126" s="646"/>
      <c r="AT126" s="646"/>
      <c r="AU126" s="646"/>
      <c r="AV126" s="646"/>
      <c r="AW126" s="646"/>
      <c r="AX126" s="646"/>
      <c r="AY126" s="646"/>
      <c r="AZ126" s="646"/>
    </row>
    <row r="127" spans="23:52">
      <c r="W127" s="646"/>
      <c r="X127" s="646"/>
      <c r="Y127" s="646"/>
      <c r="Z127" s="646"/>
      <c r="AA127" s="646"/>
      <c r="AB127" s="646"/>
      <c r="AC127" s="646"/>
      <c r="AD127" s="646"/>
      <c r="AE127" s="646"/>
      <c r="AF127" s="646"/>
      <c r="AG127" s="646"/>
      <c r="AH127" s="646"/>
      <c r="AI127" s="646"/>
      <c r="AJ127" s="646"/>
      <c r="AK127" s="646"/>
      <c r="AL127" s="646"/>
      <c r="AM127" s="646"/>
      <c r="AN127" s="646"/>
      <c r="AO127" s="646"/>
      <c r="AP127" s="646"/>
      <c r="AQ127" s="646"/>
      <c r="AR127" s="646"/>
      <c r="AS127" s="646"/>
      <c r="AT127" s="646"/>
      <c r="AU127" s="646"/>
      <c r="AV127" s="646"/>
      <c r="AW127" s="646"/>
      <c r="AX127" s="646"/>
      <c r="AY127" s="646"/>
      <c r="AZ127" s="646"/>
    </row>
    <row r="128" spans="23:52">
      <c r="W128" s="646"/>
      <c r="X128" s="646"/>
      <c r="Y128" s="646"/>
      <c r="Z128" s="646"/>
      <c r="AA128" s="646"/>
      <c r="AB128" s="646"/>
      <c r="AC128" s="646"/>
      <c r="AD128" s="646"/>
      <c r="AE128" s="646"/>
      <c r="AF128" s="646"/>
      <c r="AG128" s="646"/>
      <c r="AH128" s="646"/>
      <c r="AI128" s="646"/>
      <c r="AJ128" s="646"/>
      <c r="AK128" s="646"/>
      <c r="AL128" s="646"/>
      <c r="AM128" s="646"/>
      <c r="AN128" s="646"/>
      <c r="AO128" s="646"/>
      <c r="AP128" s="646"/>
      <c r="AQ128" s="646"/>
      <c r="AR128" s="646"/>
      <c r="AS128" s="646"/>
      <c r="AT128" s="646"/>
      <c r="AU128" s="646"/>
      <c r="AV128" s="646"/>
      <c r="AW128" s="646"/>
      <c r="AX128" s="646"/>
      <c r="AY128" s="646"/>
      <c r="AZ128" s="646"/>
    </row>
    <row r="129" spans="23:52">
      <c r="W129" s="646"/>
      <c r="X129" s="646"/>
      <c r="Y129" s="646"/>
      <c r="Z129" s="646"/>
      <c r="AA129" s="646"/>
      <c r="AB129" s="646"/>
      <c r="AC129" s="646"/>
      <c r="AD129" s="646"/>
      <c r="AE129" s="646"/>
      <c r="AF129" s="646"/>
      <c r="AG129" s="646"/>
      <c r="AH129" s="646"/>
      <c r="AI129" s="646"/>
      <c r="AJ129" s="646"/>
      <c r="AK129" s="646"/>
      <c r="AL129" s="646"/>
      <c r="AM129" s="646"/>
      <c r="AN129" s="646"/>
      <c r="AO129" s="646"/>
      <c r="AP129" s="646"/>
      <c r="AQ129" s="646"/>
      <c r="AR129" s="646"/>
      <c r="AS129" s="646"/>
      <c r="AT129" s="646"/>
      <c r="AU129" s="646"/>
      <c r="AV129" s="646"/>
      <c r="AW129" s="646"/>
      <c r="AX129" s="646"/>
      <c r="AY129" s="646"/>
      <c r="AZ129" s="646"/>
    </row>
    <row r="130" spans="23:52">
      <c r="W130" s="646"/>
      <c r="X130" s="646"/>
      <c r="Y130" s="646"/>
      <c r="Z130" s="646"/>
      <c r="AA130" s="646"/>
      <c r="AB130" s="646"/>
      <c r="AC130" s="646"/>
      <c r="AD130" s="646"/>
      <c r="AE130" s="646"/>
      <c r="AF130" s="646"/>
      <c r="AG130" s="646"/>
      <c r="AH130" s="646"/>
      <c r="AI130" s="646"/>
      <c r="AJ130" s="646"/>
      <c r="AK130" s="646"/>
      <c r="AL130" s="646"/>
      <c r="AM130" s="646"/>
      <c r="AN130" s="646"/>
      <c r="AO130" s="646"/>
      <c r="AP130" s="646"/>
      <c r="AQ130" s="646"/>
      <c r="AR130" s="646"/>
      <c r="AS130" s="646"/>
      <c r="AT130" s="646"/>
      <c r="AU130" s="646"/>
      <c r="AV130" s="646"/>
      <c r="AW130" s="646"/>
      <c r="AX130" s="646"/>
      <c r="AY130" s="646"/>
      <c r="AZ130" s="646"/>
    </row>
    <row r="131" spans="23:52">
      <c r="W131" s="646"/>
      <c r="X131" s="646"/>
      <c r="Y131" s="646"/>
      <c r="Z131" s="646"/>
      <c r="AA131" s="646"/>
      <c r="AB131" s="646"/>
      <c r="AC131" s="646"/>
      <c r="AD131" s="646"/>
      <c r="AE131" s="646"/>
      <c r="AF131" s="646"/>
      <c r="AG131" s="646"/>
      <c r="AH131" s="646"/>
      <c r="AI131" s="646"/>
      <c r="AJ131" s="646"/>
      <c r="AK131" s="646"/>
      <c r="AL131" s="646"/>
      <c r="AM131" s="646"/>
      <c r="AN131" s="646"/>
      <c r="AO131" s="646"/>
      <c r="AP131" s="646"/>
      <c r="AQ131" s="646"/>
      <c r="AR131" s="646"/>
      <c r="AS131" s="646"/>
      <c r="AT131" s="646"/>
      <c r="AU131" s="646"/>
      <c r="AV131" s="646"/>
      <c r="AW131" s="646"/>
      <c r="AX131" s="646"/>
      <c r="AY131" s="646"/>
      <c r="AZ131" s="646"/>
    </row>
    <row r="132" spans="23:52">
      <c r="W132" s="646"/>
      <c r="X132" s="646"/>
      <c r="Y132" s="646"/>
      <c r="Z132" s="646"/>
      <c r="AA132" s="646"/>
      <c r="AB132" s="646"/>
      <c r="AC132" s="646"/>
      <c r="AD132" s="646"/>
      <c r="AE132" s="646"/>
      <c r="AF132" s="646"/>
      <c r="AG132" s="646"/>
      <c r="AH132" s="646"/>
      <c r="AI132" s="646"/>
      <c r="AJ132" s="646"/>
      <c r="AK132" s="646"/>
      <c r="AL132" s="646"/>
      <c r="AM132" s="646"/>
      <c r="AN132" s="646"/>
      <c r="AO132" s="646"/>
      <c r="AP132" s="646"/>
      <c r="AQ132" s="646"/>
      <c r="AR132" s="646"/>
      <c r="AS132" s="646"/>
      <c r="AT132" s="646"/>
      <c r="AU132" s="646"/>
      <c r="AV132" s="646"/>
      <c r="AW132" s="646"/>
      <c r="AX132" s="646"/>
      <c r="AY132" s="646"/>
      <c r="AZ132" s="646"/>
    </row>
    <row r="133" spans="23:52">
      <c r="W133" s="646"/>
      <c r="X133" s="646"/>
      <c r="Y133" s="646"/>
      <c r="Z133" s="646"/>
      <c r="AA133" s="646"/>
      <c r="AB133" s="646"/>
      <c r="AC133" s="646"/>
      <c r="AD133" s="646"/>
      <c r="AE133" s="646"/>
      <c r="AF133" s="646"/>
      <c r="AG133" s="646"/>
      <c r="AH133" s="646"/>
      <c r="AI133" s="646"/>
      <c r="AJ133" s="646"/>
      <c r="AK133" s="646"/>
      <c r="AL133" s="646"/>
      <c r="AM133" s="646"/>
      <c r="AN133" s="646"/>
      <c r="AO133" s="646"/>
      <c r="AP133" s="646"/>
      <c r="AQ133" s="646"/>
      <c r="AR133" s="646"/>
      <c r="AS133" s="646"/>
      <c r="AT133" s="646"/>
      <c r="AU133" s="646"/>
      <c r="AV133" s="646"/>
      <c r="AW133" s="646"/>
      <c r="AX133" s="646"/>
      <c r="AY133" s="646"/>
      <c r="AZ133" s="646"/>
    </row>
    <row r="134" spans="23:52">
      <c r="W134" s="646"/>
      <c r="X134" s="646"/>
      <c r="Y134" s="646"/>
      <c r="Z134" s="646"/>
      <c r="AA134" s="646"/>
      <c r="AB134" s="646"/>
      <c r="AC134" s="646"/>
      <c r="AD134" s="646"/>
      <c r="AE134" s="646"/>
      <c r="AF134" s="646"/>
      <c r="AG134" s="646"/>
      <c r="AH134" s="646"/>
      <c r="AI134" s="646"/>
      <c r="AJ134" s="646"/>
      <c r="AK134" s="646"/>
      <c r="AL134" s="646"/>
      <c r="AM134" s="646"/>
      <c r="AN134" s="646"/>
      <c r="AO134" s="646"/>
      <c r="AP134" s="646"/>
      <c r="AQ134" s="646"/>
      <c r="AR134" s="646"/>
      <c r="AS134" s="646"/>
      <c r="AT134" s="646"/>
      <c r="AU134" s="646"/>
      <c r="AV134" s="646"/>
      <c r="AW134" s="646"/>
      <c r="AX134" s="646"/>
      <c r="AY134" s="646"/>
      <c r="AZ134" s="646"/>
    </row>
    <row r="135" spans="23:52">
      <c r="W135" s="646"/>
      <c r="X135" s="646"/>
      <c r="Y135" s="646"/>
      <c r="Z135" s="646"/>
      <c r="AA135" s="646"/>
      <c r="AB135" s="646"/>
      <c r="AC135" s="646"/>
      <c r="AD135" s="646"/>
      <c r="AE135" s="646"/>
      <c r="AF135" s="646"/>
      <c r="AG135" s="646"/>
      <c r="AH135" s="646"/>
      <c r="AI135" s="646"/>
      <c r="AJ135" s="646"/>
      <c r="AK135" s="646"/>
      <c r="AL135" s="646"/>
      <c r="AM135" s="646"/>
      <c r="AN135" s="646"/>
      <c r="AO135" s="646"/>
      <c r="AP135" s="646"/>
      <c r="AQ135" s="646"/>
      <c r="AR135" s="646"/>
      <c r="AS135" s="646"/>
      <c r="AT135" s="646"/>
      <c r="AU135" s="646"/>
      <c r="AV135" s="646"/>
      <c r="AW135" s="646"/>
      <c r="AX135" s="646"/>
      <c r="AY135" s="646"/>
      <c r="AZ135" s="646"/>
    </row>
    <row r="136" spans="23:52">
      <c r="W136" s="646"/>
      <c r="X136" s="646"/>
      <c r="Y136" s="646"/>
      <c r="Z136" s="646"/>
      <c r="AA136" s="646"/>
      <c r="AB136" s="646"/>
      <c r="AC136" s="646"/>
      <c r="AD136" s="646"/>
      <c r="AE136" s="646"/>
      <c r="AF136" s="646"/>
      <c r="AG136" s="646"/>
      <c r="AH136" s="646"/>
      <c r="AI136" s="646"/>
      <c r="AJ136" s="646"/>
      <c r="AK136" s="646"/>
      <c r="AL136" s="646"/>
      <c r="AM136" s="646"/>
      <c r="AN136" s="646"/>
      <c r="AO136" s="646"/>
      <c r="AP136" s="646"/>
      <c r="AQ136" s="646"/>
      <c r="AR136" s="646"/>
      <c r="AS136" s="646"/>
      <c r="AT136" s="646"/>
      <c r="AU136" s="646"/>
      <c r="AV136" s="646"/>
      <c r="AW136" s="646"/>
      <c r="AX136" s="646"/>
      <c r="AY136" s="646"/>
      <c r="AZ136" s="646"/>
    </row>
    <row r="137" spans="23:52">
      <c r="W137" s="646"/>
      <c r="X137" s="646"/>
      <c r="Y137" s="646"/>
      <c r="Z137" s="646"/>
      <c r="AA137" s="646"/>
      <c r="AB137" s="646"/>
      <c r="AC137" s="646"/>
      <c r="AD137" s="646"/>
      <c r="AE137" s="646"/>
      <c r="AF137" s="646"/>
      <c r="AG137" s="646"/>
      <c r="AH137" s="646"/>
      <c r="AI137" s="646"/>
      <c r="AJ137" s="646"/>
      <c r="AK137" s="646"/>
      <c r="AL137" s="646"/>
      <c r="AM137" s="646"/>
      <c r="AN137" s="646"/>
      <c r="AO137" s="646"/>
      <c r="AP137" s="646"/>
      <c r="AQ137" s="646"/>
      <c r="AR137" s="646"/>
      <c r="AS137" s="646"/>
      <c r="AT137" s="646"/>
      <c r="AU137" s="646"/>
      <c r="AV137" s="646"/>
      <c r="AW137" s="646"/>
      <c r="AX137" s="646"/>
      <c r="AY137" s="646"/>
      <c r="AZ137" s="646"/>
    </row>
    <row r="138" spans="23:52">
      <c r="W138" s="646"/>
      <c r="X138" s="646"/>
      <c r="Y138" s="646"/>
      <c r="Z138" s="646"/>
      <c r="AA138" s="646"/>
      <c r="AB138" s="646"/>
      <c r="AC138" s="646"/>
      <c r="AD138" s="646"/>
      <c r="AE138" s="646"/>
      <c r="AF138" s="646"/>
      <c r="AG138" s="646"/>
      <c r="AH138" s="646"/>
      <c r="AI138" s="646"/>
      <c r="AJ138" s="646"/>
      <c r="AK138" s="646"/>
      <c r="AL138" s="646"/>
      <c r="AM138" s="646"/>
      <c r="AN138" s="646"/>
      <c r="AO138" s="646"/>
      <c r="AP138" s="646"/>
      <c r="AQ138" s="646"/>
      <c r="AR138" s="646"/>
      <c r="AS138" s="646"/>
      <c r="AT138" s="646"/>
      <c r="AU138" s="646"/>
      <c r="AV138" s="646"/>
      <c r="AW138" s="646"/>
      <c r="AX138" s="646"/>
      <c r="AY138" s="646"/>
      <c r="AZ138" s="646"/>
    </row>
    <row r="139" spans="23:52">
      <c r="W139" s="646"/>
      <c r="X139" s="646"/>
      <c r="Y139" s="646"/>
      <c r="Z139" s="646"/>
      <c r="AA139" s="646"/>
      <c r="AB139" s="646"/>
      <c r="AC139" s="646"/>
      <c r="AD139" s="646"/>
      <c r="AE139" s="646"/>
      <c r="AF139" s="646"/>
      <c r="AG139" s="646"/>
      <c r="AH139" s="646"/>
      <c r="AI139" s="646"/>
      <c r="AJ139" s="646"/>
      <c r="AK139" s="646"/>
      <c r="AL139" s="646"/>
      <c r="AM139" s="646"/>
      <c r="AN139" s="646"/>
      <c r="AO139" s="646"/>
      <c r="AP139" s="646"/>
      <c r="AQ139" s="646"/>
      <c r="AR139" s="646"/>
      <c r="AS139" s="646"/>
      <c r="AT139" s="646"/>
      <c r="AU139" s="646"/>
      <c r="AV139" s="646"/>
      <c r="AW139" s="646"/>
      <c r="AX139" s="646"/>
      <c r="AY139" s="646"/>
      <c r="AZ139" s="646"/>
    </row>
    <row r="140" spans="23:52">
      <c r="W140" s="646"/>
      <c r="X140" s="646"/>
      <c r="Y140" s="646"/>
      <c r="Z140" s="646"/>
      <c r="AA140" s="646"/>
      <c r="AB140" s="646"/>
      <c r="AC140" s="646"/>
      <c r="AD140" s="646"/>
      <c r="AE140" s="646"/>
      <c r="AF140" s="646"/>
      <c r="AG140" s="646"/>
      <c r="AH140" s="646"/>
      <c r="AI140" s="646"/>
      <c r="AJ140" s="646"/>
      <c r="AK140" s="646"/>
      <c r="AL140" s="646"/>
      <c r="AM140" s="646"/>
      <c r="AN140" s="646"/>
      <c r="AO140" s="646"/>
      <c r="AP140" s="646"/>
      <c r="AQ140" s="646"/>
      <c r="AR140" s="646"/>
      <c r="AS140" s="646"/>
      <c r="AT140" s="646"/>
      <c r="AU140" s="646"/>
      <c r="AV140" s="646"/>
      <c r="AW140" s="646"/>
      <c r="AX140" s="646"/>
      <c r="AY140" s="646"/>
      <c r="AZ140" s="646"/>
    </row>
    <row r="141" spans="23:52">
      <c r="W141" s="646"/>
      <c r="X141" s="646"/>
      <c r="Y141" s="646"/>
      <c r="Z141" s="646"/>
      <c r="AA141" s="646"/>
      <c r="AB141" s="646"/>
      <c r="AC141" s="646"/>
      <c r="AD141" s="646"/>
      <c r="AE141" s="646"/>
      <c r="AF141" s="646"/>
      <c r="AG141" s="646"/>
      <c r="AH141" s="646"/>
      <c r="AI141" s="646"/>
      <c r="AJ141" s="646"/>
      <c r="AK141" s="646"/>
      <c r="AL141" s="646"/>
      <c r="AM141" s="646"/>
      <c r="AN141" s="646"/>
      <c r="AO141" s="646"/>
      <c r="AP141" s="646"/>
      <c r="AQ141" s="646"/>
      <c r="AR141" s="646"/>
      <c r="AS141" s="646"/>
      <c r="AT141" s="646"/>
      <c r="AU141" s="646"/>
      <c r="AV141" s="646"/>
      <c r="AW141" s="646"/>
      <c r="AX141" s="646"/>
      <c r="AY141" s="646"/>
      <c r="AZ141" s="646"/>
    </row>
    <row r="142" spans="23:52">
      <c r="W142" s="646"/>
      <c r="X142" s="646"/>
      <c r="Y142" s="646"/>
      <c r="Z142" s="646"/>
      <c r="AA142" s="646"/>
      <c r="AB142" s="646"/>
      <c r="AC142" s="646"/>
      <c r="AD142" s="646"/>
      <c r="AE142" s="646"/>
      <c r="AF142" s="646"/>
      <c r="AG142" s="646"/>
      <c r="AH142" s="646"/>
      <c r="AI142" s="646"/>
      <c r="AJ142" s="646"/>
      <c r="AK142" s="646"/>
      <c r="AL142" s="646"/>
      <c r="AM142" s="646"/>
      <c r="AN142" s="646"/>
      <c r="AO142" s="646"/>
      <c r="AP142" s="646"/>
      <c r="AQ142" s="646"/>
      <c r="AR142" s="646"/>
      <c r="AS142" s="646"/>
      <c r="AT142" s="646"/>
      <c r="AU142" s="646"/>
      <c r="AV142" s="646"/>
      <c r="AW142" s="646"/>
      <c r="AX142" s="646"/>
      <c r="AY142" s="646"/>
      <c r="AZ142" s="646"/>
    </row>
    <row r="143" spans="23:52">
      <c r="W143" s="646"/>
      <c r="X143" s="646"/>
      <c r="Y143" s="646"/>
      <c r="Z143" s="646"/>
      <c r="AA143" s="646"/>
      <c r="AB143" s="646"/>
      <c r="AC143" s="646"/>
      <c r="AD143" s="646"/>
      <c r="AE143" s="646"/>
      <c r="AF143" s="646"/>
      <c r="AG143" s="646"/>
      <c r="AH143" s="646"/>
      <c r="AI143" s="646"/>
      <c r="AJ143" s="646"/>
      <c r="AK143" s="646"/>
      <c r="AL143" s="646"/>
      <c r="AM143" s="646"/>
      <c r="AN143" s="646"/>
      <c r="AO143" s="646"/>
      <c r="AP143" s="646"/>
      <c r="AQ143" s="646"/>
      <c r="AR143" s="646"/>
      <c r="AS143" s="646"/>
      <c r="AT143" s="646"/>
      <c r="AU143" s="646"/>
      <c r="AV143" s="646"/>
      <c r="AW143" s="646"/>
      <c r="AX143" s="646"/>
      <c r="AY143" s="646"/>
      <c r="AZ143" s="646"/>
    </row>
    <row r="144" spans="23:52">
      <c r="W144" s="646"/>
      <c r="X144" s="646"/>
      <c r="Y144" s="646"/>
      <c r="Z144" s="646"/>
      <c r="AA144" s="646"/>
      <c r="AB144" s="646"/>
      <c r="AC144" s="646"/>
      <c r="AD144" s="646"/>
      <c r="AE144" s="646"/>
      <c r="AF144" s="646"/>
      <c r="AG144" s="646"/>
      <c r="AH144" s="646"/>
      <c r="AI144" s="646"/>
      <c r="AJ144" s="646"/>
      <c r="AK144" s="646"/>
      <c r="AL144" s="646"/>
      <c r="AM144" s="646"/>
      <c r="AN144" s="646"/>
      <c r="AO144" s="646"/>
      <c r="AP144" s="646"/>
      <c r="AQ144" s="646"/>
      <c r="AR144" s="646"/>
      <c r="AS144" s="646"/>
      <c r="AT144" s="646"/>
      <c r="AU144" s="646"/>
      <c r="AV144" s="646"/>
      <c r="AW144" s="646"/>
      <c r="AX144" s="646"/>
      <c r="AY144" s="646"/>
      <c r="AZ144" s="646"/>
    </row>
    <row r="145" spans="23:52">
      <c r="W145" s="646"/>
      <c r="X145" s="646"/>
      <c r="Y145" s="646"/>
      <c r="Z145" s="646"/>
      <c r="AA145" s="646"/>
      <c r="AB145" s="646"/>
      <c r="AC145" s="646"/>
      <c r="AD145" s="646"/>
      <c r="AE145" s="646"/>
      <c r="AF145" s="646"/>
      <c r="AG145" s="646"/>
      <c r="AH145" s="646"/>
      <c r="AI145" s="646"/>
      <c r="AJ145" s="646"/>
      <c r="AK145" s="646"/>
      <c r="AL145" s="646"/>
      <c r="AM145" s="646"/>
      <c r="AN145" s="646"/>
      <c r="AO145" s="646"/>
      <c r="AP145" s="646"/>
      <c r="AQ145" s="646"/>
      <c r="AR145" s="646"/>
      <c r="AS145" s="646"/>
      <c r="AT145" s="646"/>
      <c r="AU145" s="646"/>
      <c r="AV145" s="646"/>
      <c r="AW145" s="646"/>
      <c r="AX145" s="646"/>
      <c r="AY145" s="646"/>
      <c r="AZ145" s="646"/>
    </row>
    <row r="146" spans="23:52">
      <c r="W146" s="646"/>
      <c r="X146" s="646"/>
      <c r="Y146" s="646"/>
      <c r="Z146" s="646"/>
      <c r="AA146" s="646"/>
      <c r="AB146" s="646"/>
      <c r="AC146" s="646"/>
      <c r="AD146" s="646"/>
      <c r="AE146" s="646"/>
      <c r="AF146" s="646"/>
      <c r="AG146" s="646"/>
      <c r="AH146" s="646"/>
      <c r="AI146" s="646"/>
      <c r="AJ146" s="646"/>
      <c r="AK146" s="646"/>
      <c r="AL146" s="646"/>
      <c r="AM146" s="646"/>
      <c r="AN146" s="646"/>
      <c r="AO146" s="646"/>
      <c r="AP146" s="646"/>
      <c r="AQ146" s="646"/>
      <c r="AR146" s="646"/>
      <c r="AS146" s="646"/>
      <c r="AT146" s="646"/>
      <c r="AU146" s="646"/>
      <c r="AV146" s="646"/>
      <c r="AW146" s="646"/>
      <c r="AX146" s="646"/>
      <c r="AY146" s="646"/>
      <c r="AZ146" s="646"/>
    </row>
    <row r="147" spans="23:52">
      <c r="W147" s="646"/>
      <c r="X147" s="646"/>
      <c r="Y147" s="646"/>
      <c r="Z147" s="646"/>
      <c r="AA147" s="646"/>
      <c r="AB147" s="646"/>
      <c r="AC147" s="646"/>
      <c r="AD147" s="646"/>
      <c r="AE147" s="646"/>
      <c r="AF147" s="646"/>
      <c r="AG147" s="646"/>
      <c r="AH147" s="646"/>
      <c r="AI147" s="646"/>
      <c r="AJ147" s="646"/>
      <c r="AK147" s="646"/>
      <c r="AL147" s="646"/>
      <c r="AM147" s="646"/>
      <c r="AN147" s="646"/>
      <c r="AO147" s="646"/>
      <c r="AP147" s="646"/>
      <c r="AQ147" s="646"/>
      <c r="AR147" s="646"/>
      <c r="AS147" s="646"/>
      <c r="AT147" s="646"/>
      <c r="AU147" s="646"/>
      <c r="AV147" s="646"/>
      <c r="AW147" s="646"/>
      <c r="AX147" s="646"/>
      <c r="AY147" s="646"/>
      <c r="AZ147" s="646"/>
    </row>
    <row r="148" spans="23:52">
      <c r="W148" s="646"/>
      <c r="X148" s="646"/>
      <c r="Y148" s="646"/>
      <c r="Z148" s="646"/>
      <c r="AA148" s="646"/>
      <c r="AB148" s="646"/>
      <c r="AC148" s="646"/>
      <c r="AD148" s="646"/>
      <c r="AE148" s="646"/>
      <c r="AF148" s="646"/>
      <c r="AG148" s="646"/>
      <c r="AH148" s="646"/>
      <c r="AI148" s="646"/>
      <c r="AJ148" s="646"/>
      <c r="AK148" s="646"/>
      <c r="AL148" s="646"/>
      <c r="AM148" s="646"/>
      <c r="AN148" s="646"/>
      <c r="AO148" s="646"/>
      <c r="AP148" s="646"/>
      <c r="AQ148" s="646"/>
      <c r="AR148" s="646"/>
      <c r="AS148" s="646"/>
      <c r="AT148" s="646"/>
      <c r="AU148" s="646"/>
      <c r="AV148" s="646"/>
      <c r="AW148" s="646"/>
      <c r="AX148" s="646"/>
      <c r="AY148" s="646"/>
      <c r="AZ148" s="646"/>
    </row>
    <row r="149" spans="23:52">
      <c r="W149" s="646"/>
      <c r="X149" s="646"/>
      <c r="Y149" s="646"/>
      <c r="Z149" s="646"/>
      <c r="AA149" s="646"/>
      <c r="AB149" s="646"/>
      <c r="AC149" s="646"/>
      <c r="AD149" s="646"/>
      <c r="AE149" s="646"/>
      <c r="AF149" s="646"/>
      <c r="AG149" s="646"/>
      <c r="AH149" s="646"/>
      <c r="AI149" s="646"/>
      <c r="AJ149" s="646"/>
      <c r="AK149" s="646"/>
      <c r="AL149" s="646"/>
      <c r="AM149" s="646"/>
      <c r="AN149" s="646"/>
      <c r="AO149" s="646"/>
      <c r="AP149" s="646"/>
      <c r="AQ149" s="646"/>
      <c r="AR149" s="646"/>
      <c r="AS149" s="646"/>
      <c r="AT149" s="646"/>
      <c r="AU149" s="646"/>
      <c r="AV149" s="646"/>
      <c r="AW149" s="646"/>
      <c r="AX149" s="646"/>
      <c r="AY149" s="646"/>
      <c r="AZ149" s="646"/>
    </row>
    <row r="150" spans="23:52">
      <c r="W150" s="646"/>
      <c r="X150" s="646"/>
      <c r="Y150" s="646"/>
      <c r="Z150" s="646"/>
      <c r="AA150" s="646"/>
      <c r="AB150" s="646"/>
      <c r="AC150" s="646"/>
      <c r="AD150" s="646"/>
      <c r="AE150" s="646"/>
      <c r="AF150" s="646"/>
      <c r="AG150" s="646"/>
      <c r="AH150" s="646"/>
      <c r="AI150" s="646"/>
      <c r="AJ150" s="646"/>
      <c r="AK150" s="646"/>
      <c r="AL150" s="646"/>
      <c r="AM150" s="646"/>
      <c r="AN150" s="646"/>
      <c r="AO150" s="646"/>
      <c r="AP150" s="646"/>
      <c r="AQ150" s="646"/>
      <c r="AR150" s="646"/>
      <c r="AS150" s="646"/>
      <c r="AT150" s="646"/>
      <c r="AU150" s="646"/>
      <c r="AV150" s="646"/>
      <c r="AW150" s="646"/>
      <c r="AX150" s="646"/>
      <c r="AY150" s="646"/>
      <c r="AZ150" s="646"/>
    </row>
    <row r="151" spans="23:52">
      <c r="W151" s="646"/>
      <c r="X151" s="646"/>
      <c r="Y151" s="646"/>
      <c r="Z151" s="646"/>
      <c r="AA151" s="646"/>
      <c r="AB151" s="646"/>
      <c r="AC151" s="646"/>
      <c r="AD151" s="646"/>
      <c r="AE151" s="646"/>
      <c r="AF151" s="646"/>
      <c r="AG151" s="646"/>
      <c r="AH151" s="646"/>
      <c r="AI151" s="646"/>
      <c r="AJ151" s="646"/>
      <c r="AK151" s="646"/>
      <c r="AL151" s="646"/>
      <c r="AM151" s="646"/>
      <c r="AN151" s="646"/>
      <c r="AO151" s="646"/>
      <c r="AP151" s="646"/>
      <c r="AQ151" s="646"/>
      <c r="AR151" s="646"/>
      <c r="AS151" s="646"/>
      <c r="AT151" s="646"/>
      <c r="AU151" s="646"/>
      <c r="AV151" s="646"/>
      <c r="AW151" s="646"/>
      <c r="AX151" s="646"/>
      <c r="AY151" s="646"/>
      <c r="AZ151" s="646"/>
    </row>
    <row r="152" spans="23:52">
      <c r="W152" s="646"/>
      <c r="X152" s="646"/>
      <c r="Y152" s="646"/>
      <c r="Z152" s="646"/>
      <c r="AA152" s="646"/>
      <c r="AB152" s="646"/>
      <c r="AC152" s="646"/>
      <c r="AD152" s="646"/>
      <c r="AE152" s="646"/>
      <c r="AF152" s="646"/>
      <c r="AG152" s="646"/>
      <c r="AH152" s="646"/>
      <c r="AI152" s="646"/>
      <c r="AJ152" s="646"/>
      <c r="AK152" s="646"/>
      <c r="AL152" s="646"/>
      <c r="AM152" s="646"/>
      <c r="AN152" s="646"/>
      <c r="AO152" s="646"/>
      <c r="AP152" s="646"/>
      <c r="AQ152" s="646"/>
      <c r="AR152" s="646"/>
      <c r="AS152" s="646"/>
      <c r="AT152" s="646"/>
      <c r="AU152" s="646"/>
      <c r="AV152" s="646"/>
      <c r="AW152" s="646"/>
      <c r="AX152" s="646"/>
      <c r="AY152" s="646"/>
      <c r="AZ152" s="646"/>
    </row>
    <row r="153" spans="23:52">
      <c r="W153" s="646"/>
      <c r="X153" s="646"/>
      <c r="Y153" s="646"/>
      <c r="Z153" s="646"/>
      <c r="AA153" s="646"/>
      <c r="AB153" s="646"/>
      <c r="AC153" s="646"/>
      <c r="AD153" s="646"/>
      <c r="AE153" s="646"/>
      <c r="AF153" s="646"/>
      <c r="AG153" s="646"/>
      <c r="AH153" s="646"/>
      <c r="AI153" s="646"/>
      <c r="AJ153" s="646"/>
      <c r="AK153" s="646"/>
      <c r="AL153" s="646"/>
      <c r="AM153" s="646"/>
      <c r="AN153" s="646"/>
      <c r="AO153" s="646"/>
      <c r="AP153" s="646"/>
      <c r="AQ153" s="646"/>
      <c r="AR153" s="646"/>
      <c r="AS153" s="646"/>
      <c r="AT153" s="646"/>
      <c r="AU153" s="646"/>
      <c r="AV153" s="646"/>
      <c r="AW153" s="646"/>
      <c r="AX153" s="646"/>
      <c r="AY153" s="646"/>
      <c r="AZ153" s="646"/>
    </row>
    <row r="154" spans="23:52">
      <c r="W154" s="646"/>
      <c r="X154" s="646"/>
      <c r="Y154" s="646"/>
      <c r="Z154" s="646"/>
      <c r="AA154" s="646"/>
      <c r="AB154" s="646"/>
      <c r="AC154" s="646"/>
      <c r="AD154" s="646"/>
      <c r="AE154" s="646"/>
      <c r="AF154" s="646"/>
      <c r="AG154" s="646"/>
      <c r="AH154" s="646"/>
      <c r="AI154" s="646"/>
      <c r="AJ154" s="646"/>
      <c r="AK154" s="646"/>
      <c r="AL154" s="646"/>
      <c r="AM154" s="646"/>
      <c r="AN154" s="646"/>
      <c r="AO154" s="646"/>
      <c r="AP154" s="646"/>
      <c r="AQ154" s="646"/>
      <c r="AR154" s="646"/>
      <c r="AS154" s="646"/>
      <c r="AT154" s="646"/>
      <c r="AU154" s="646"/>
      <c r="AV154" s="646"/>
      <c r="AW154" s="646"/>
      <c r="AX154" s="646"/>
      <c r="AY154" s="646"/>
      <c r="AZ154" s="646"/>
    </row>
    <row r="155" spans="23:52">
      <c r="W155" s="646"/>
      <c r="X155" s="646"/>
      <c r="Y155" s="646"/>
      <c r="Z155" s="646"/>
      <c r="AA155" s="646"/>
      <c r="AB155" s="646"/>
      <c r="AC155" s="646"/>
      <c r="AD155" s="646"/>
      <c r="AE155" s="646"/>
      <c r="AF155" s="646"/>
      <c r="AG155" s="646"/>
      <c r="AH155" s="646"/>
      <c r="AI155" s="646"/>
      <c r="AJ155" s="646"/>
      <c r="AK155" s="646"/>
      <c r="AL155" s="646"/>
      <c r="AM155" s="646"/>
      <c r="AN155" s="646"/>
      <c r="AO155" s="646"/>
      <c r="AP155" s="646"/>
      <c r="AQ155" s="646"/>
      <c r="AR155" s="646"/>
      <c r="AS155" s="646"/>
      <c r="AT155" s="646"/>
      <c r="AU155" s="646"/>
      <c r="AV155" s="646"/>
      <c r="AW155" s="646"/>
      <c r="AX155" s="646"/>
      <c r="AY155" s="646"/>
      <c r="AZ155" s="646"/>
    </row>
    <row r="156" spans="23:52">
      <c r="W156" s="646"/>
      <c r="X156" s="646"/>
      <c r="Y156" s="646"/>
      <c r="Z156" s="646"/>
      <c r="AA156" s="646"/>
      <c r="AB156" s="646"/>
      <c r="AC156" s="646"/>
      <c r="AD156" s="646"/>
      <c r="AE156" s="646"/>
      <c r="AF156" s="646"/>
      <c r="AG156" s="646"/>
      <c r="AH156" s="646"/>
      <c r="AI156" s="646"/>
      <c r="AJ156" s="646"/>
      <c r="AK156" s="646"/>
      <c r="AL156" s="646"/>
      <c r="AM156" s="646"/>
      <c r="AN156" s="646"/>
      <c r="AO156" s="646"/>
      <c r="AP156" s="646"/>
      <c r="AQ156" s="646"/>
      <c r="AR156" s="646"/>
      <c r="AS156" s="646"/>
      <c r="AT156" s="646"/>
      <c r="AU156" s="646"/>
      <c r="AV156" s="646"/>
      <c r="AW156" s="646"/>
      <c r="AX156" s="646"/>
      <c r="AY156" s="646"/>
      <c r="AZ156" s="646"/>
    </row>
    <row r="157" spans="23:52">
      <c r="W157" s="646"/>
      <c r="X157" s="646"/>
      <c r="Y157" s="646"/>
      <c r="Z157" s="646"/>
      <c r="AA157" s="646"/>
      <c r="AB157" s="646"/>
      <c r="AC157" s="646"/>
      <c r="AD157" s="646"/>
      <c r="AE157" s="646"/>
      <c r="AF157" s="646"/>
      <c r="AG157" s="646"/>
      <c r="AH157" s="646"/>
      <c r="AI157" s="646"/>
      <c r="AJ157" s="646"/>
      <c r="AK157" s="646"/>
      <c r="AL157" s="646"/>
      <c r="AM157" s="646"/>
      <c r="AN157" s="646"/>
      <c r="AO157" s="646"/>
      <c r="AP157" s="646"/>
      <c r="AQ157" s="646"/>
      <c r="AR157" s="646"/>
      <c r="AS157" s="646"/>
      <c r="AT157" s="646"/>
      <c r="AU157" s="646"/>
      <c r="AV157" s="646"/>
      <c r="AW157" s="646"/>
      <c r="AX157" s="646"/>
      <c r="AY157" s="646"/>
      <c r="AZ157" s="646"/>
    </row>
    <row r="158" spans="23:52">
      <c r="W158" s="646"/>
      <c r="X158" s="646"/>
      <c r="Y158" s="646"/>
      <c r="Z158" s="646"/>
      <c r="AA158" s="646"/>
      <c r="AB158" s="646"/>
      <c r="AC158" s="646"/>
      <c r="AD158" s="646"/>
      <c r="AE158" s="646"/>
      <c r="AF158" s="646"/>
      <c r="AG158" s="646"/>
      <c r="AH158" s="646"/>
      <c r="AI158" s="646"/>
      <c r="AJ158" s="646"/>
      <c r="AK158" s="646"/>
      <c r="AL158" s="646"/>
      <c r="AM158" s="646"/>
      <c r="AN158" s="646"/>
      <c r="AO158" s="646"/>
      <c r="AP158" s="646"/>
      <c r="AQ158" s="646"/>
      <c r="AR158" s="646"/>
      <c r="AS158" s="646"/>
      <c r="AT158" s="646"/>
      <c r="AU158" s="646"/>
      <c r="AV158" s="646"/>
      <c r="AW158" s="646"/>
      <c r="AX158" s="646"/>
      <c r="AY158" s="646"/>
      <c r="AZ158" s="646"/>
    </row>
    <row r="159" spans="23:52">
      <c r="W159" s="646"/>
      <c r="X159" s="646"/>
      <c r="Y159" s="646"/>
      <c r="Z159" s="646"/>
      <c r="AA159" s="646"/>
      <c r="AB159" s="646"/>
      <c r="AC159" s="646"/>
      <c r="AD159" s="646"/>
      <c r="AE159" s="646"/>
      <c r="AF159" s="646"/>
      <c r="AG159" s="646"/>
      <c r="AH159" s="646"/>
      <c r="AI159" s="646"/>
      <c r="AJ159" s="646"/>
      <c r="AK159" s="646"/>
      <c r="AL159" s="646"/>
      <c r="AM159" s="646"/>
      <c r="AN159" s="646"/>
      <c r="AO159" s="646"/>
      <c r="AP159" s="646"/>
      <c r="AQ159" s="646"/>
      <c r="AR159" s="646"/>
      <c r="AS159" s="646"/>
      <c r="AT159" s="646"/>
      <c r="AU159" s="646"/>
      <c r="AV159" s="646"/>
      <c r="AW159" s="646"/>
      <c r="AX159" s="646"/>
      <c r="AY159" s="646"/>
      <c r="AZ159" s="646"/>
    </row>
    <row r="160" spans="23:52">
      <c r="W160" s="646"/>
      <c r="X160" s="646"/>
      <c r="Y160" s="646"/>
      <c r="Z160" s="646"/>
      <c r="AA160" s="646"/>
      <c r="AB160" s="646"/>
      <c r="AC160" s="646"/>
      <c r="AD160" s="646"/>
      <c r="AE160" s="646"/>
      <c r="AF160" s="646"/>
      <c r="AG160" s="646"/>
      <c r="AH160" s="646"/>
      <c r="AI160" s="646"/>
      <c r="AJ160" s="646"/>
      <c r="AK160" s="646"/>
      <c r="AL160" s="646"/>
      <c r="AM160" s="646"/>
      <c r="AN160" s="646"/>
      <c r="AO160" s="646"/>
      <c r="AP160" s="646"/>
      <c r="AQ160" s="646"/>
      <c r="AR160" s="646"/>
      <c r="AS160" s="646"/>
      <c r="AT160" s="646"/>
      <c r="AU160" s="646"/>
      <c r="AV160" s="646"/>
      <c r="AW160" s="646"/>
      <c r="AX160" s="646"/>
      <c r="AY160" s="646"/>
      <c r="AZ160" s="646"/>
    </row>
    <row r="161" spans="23:52">
      <c r="W161" s="646"/>
      <c r="X161" s="646"/>
      <c r="Y161" s="646"/>
      <c r="Z161" s="646"/>
      <c r="AA161" s="646"/>
      <c r="AB161" s="646"/>
      <c r="AC161" s="646"/>
      <c r="AD161" s="646"/>
      <c r="AE161" s="646"/>
      <c r="AF161" s="646"/>
      <c r="AG161" s="646"/>
      <c r="AH161" s="646"/>
      <c r="AI161" s="646"/>
      <c r="AJ161" s="646"/>
      <c r="AK161" s="646"/>
      <c r="AL161" s="646"/>
      <c r="AM161" s="646"/>
      <c r="AN161" s="646"/>
      <c r="AO161" s="646"/>
      <c r="AP161" s="646"/>
      <c r="AQ161" s="646"/>
      <c r="AR161" s="646"/>
      <c r="AS161" s="646"/>
      <c r="AT161" s="646"/>
      <c r="AU161" s="646"/>
      <c r="AV161" s="646"/>
      <c r="AW161" s="646"/>
      <c r="AX161" s="646"/>
      <c r="AY161" s="646"/>
      <c r="AZ161" s="646"/>
    </row>
    <row r="162" spans="23:52">
      <c r="W162" s="646"/>
      <c r="X162" s="646"/>
      <c r="Y162" s="646"/>
      <c r="Z162" s="646"/>
      <c r="AA162" s="646"/>
      <c r="AB162" s="646"/>
      <c r="AC162" s="646"/>
      <c r="AD162" s="646"/>
      <c r="AE162" s="646"/>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row>
    <row r="163" spans="23:52">
      <c r="W163" s="646"/>
      <c r="X163" s="646"/>
      <c r="Y163" s="646"/>
      <c r="Z163" s="646"/>
      <c r="AA163" s="646"/>
      <c r="AB163" s="646"/>
      <c r="AC163" s="646"/>
      <c r="AD163" s="646"/>
      <c r="AE163" s="646"/>
      <c r="AF163" s="646"/>
      <c r="AG163" s="646"/>
      <c r="AH163" s="646"/>
      <c r="AI163" s="646"/>
      <c r="AJ163" s="646"/>
      <c r="AK163" s="646"/>
      <c r="AL163" s="646"/>
      <c r="AM163" s="646"/>
      <c r="AN163" s="646"/>
      <c r="AO163" s="646"/>
      <c r="AP163" s="646"/>
      <c r="AQ163" s="646"/>
      <c r="AR163" s="646"/>
      <c r="AS163" s="646"/>
      <c r="AT163" s="646"/>
      <c r="AU163" s="646"/>
      <c r="AV163" s="646"/>
      <c r="AW163" s="646"/>
      <c r="AX163" s="646"/>
      <c r="AY163" s="646"/>
      <c r="AZ163" s="646"/>
    </row>
    <row r="164" spans="23:52">
      <c r="W164" s="646"/>
      <c r="X164" s="646"/>
      <c r="Y164" s="646"/>
      <c r="Z164" s="646"/>
      <c r="AA164" s="646"/>
      <c r="AB164" s="646"/>
      <c r="AC164" s="646"/>
      <c r="AD164" s="646"/>
      <c r="AE164" s="646"/>
      <c r="AF164" s="646"/>
      <c r="AG164" s="646"/>
      <c r="AH164" s="646"/>
      <c r="AI164" s="646"/>
      <c r="AJ164" s="646"/>
      <c r="AK164" s="646"/>
      <c r="AL164" s="646"/>
      <c r="AM164" s="646"/>
      <c r="AN164" s="646"/>
      <c r="AO164" s="646"/>
      <c r="AP164" s="646"/>
      <c r="AQ164" s="646"/>
      <c r="AR164" s="646"/>
      <c r="AS164" s="646"/>
      <c r="AT164" s="646"/>
      <c r="AU164" s="646"/>
      <c r="AV164" s="646"/>
      <c r="AW164" s="646"/>
      <c r="AX164" s="646"/>
      <c r="AY164" s="646"/>
      <c r="AZ164" s="646"/>
    </row>
    <row r="165" spans="23:52">
      <c r="W165" s="646"/>
      <c r="X165" s="646"/>
      <c r="Y165" s="646"/>
      <c r="Z165" s="646"/>
      <c r="AA165" s="646"/>
      <c r="AB165" s="646"/>
      <c r="AC165" s="646"/>
      <c r="AD165" s="646"/>
      <c r="AE165" s="646"/>
      <c r="AF165" s="646"/>
      <c r="AG165" s="646"/>
      <c r="AH165" s="646"/>
      <c r="AI165" s="646"/>
      <c r="AJ165" s="646"/>
      <c r="AK165" s="646"/>
      <c r="AL165" s="646"/>
      <c r="AM165" s="646"/>
      <c r="AN165" s="646"/>
      <c r="AO165" s="646"/>
      <c r="AP165" s="646"/>
      <c r="AQ165" s="646"/>
      <c r="AR165" s="646"/>
      <c r="AS165" s="646"/>
      <c r="AT165" s="646"/>
      <c r="AU165" s="646"/>
      <c r="AV165" s="646"/>
      <c r="AW165" s="646"/>
      <c r="AX165" s="646"/>
      <c r="AY165" s="646"/>
      <c r="AZ165" s="646"/>
    </row>
    <row r="166" spans="23:52">
      <c r="W166" s="646"/>
      <c r="X166" s="646"/>
      <c r="Y166" s="646"/>
      <c r="Z166" s="646"/>
      <c r="AA166" s="646"/>
      <c r="AB166" s="646"/>
      <c r="AC166" s="646"/>
      <c r="AD166" s="646"/>
      <c r="AE166" s="646"/>
      <c r="AF166" s="646"/>
      <c r="AG166" s="646"/>
      <c r="AH166" s="646"/>
      <c r="AI166" s="646"/>
      <c r="AJ166" s="646"/>
      <c r="AK166" s="646"/>
      <c r="AL166" s="646"/>
      <c r="AM166" s="646"/>
      <c r="AN166" s="646"/>
      <c r="AO166" s="646"/>
      <c r="AP166" s="646"/>
      <c r="AQ166" s="646"/>
      <c r="AR166" s="646"/>
      <c r="AS166" s="646"/>
      <c r="AT166" s="646"/>
      <c r="AU166" s="646"/>
      <c r="AV166" s="646"/>
      <c r="AW166" s="646"/>
      <c r="AX166" s="646"/>
      <c r="AY166" s="646"/>
      <c r="AZ166" s="646"/>
    </row>
    <row r="167" spans="23:52">
      <c r="W167" s="646"/>
      <c r="X167" s="646"/>
      <c r="Y167" s="646"/>
      <c r="Z167" s="646"/>
      <c r="AA167" s="646"/>
      <c r="AB167" s="646"/>
      <c r="AC167" s="646"/>
      <c r="AD167" s="646"/>
      <c r="AE167" s="646"/>
      <c r="AF167" s="646"/>
      <c r="AG167" s="646"/>
      <c r="AH167" s="646"/>
      <c r="AI167" s="646"/>
      <c r="AJ167" s="646"/>
      <c r="AK167" s="646"/>
      <c r="AL167" s="646"/>
      <c r="AM167" s="646"/>
      <c r="AN167" s="646"/>
      <c r="AO167" s="646"/>
      <c r="AP167" s="646"/>
      <c r="AQ167" s="646"/>
      <c r="AR167" s="646"/>
      <c r="AS167" s="646"/>
      <c r="AT167" s="646"/>
      <c r="AU167" s="646"/>
      <c r="AV167" s="646"/>
      <c r="AW167" s="646"/>
      <c r="AX167" s="646"/>
      <c r="AY167" s="646"/>
      <c r="AZ167" s="646"/>
    </row>
    <row r="168" spans="23:52">
      <c r="W168" s="646"/>
      <c r="X168" s="646"/>
      <c r="Y168" s="646"/>
      <c r="Z168" s="646"/>
      <c r="AA168" s="646"/>
      <c r="AB168" s="646"/>
      <c r="AC168" s="646"/>
      <c r="AD168" s="646"/>
      <c r="AE168" s="646"/>
      <c r="AF168" s="646"/>
      <c r="AG168" s="646"/>
      <c r="AH168" s="646"/>
      <c r="AI168" s="646"/>
      <c r="AJ168" s="646"/>
      <c r="AK168" s="646"/>
      <c r="AL168" s="646"/>
      <c r="AM168" s="646"/>
      <c r="AN168" s="646"/>
      <c r="AO168" s="646"/>
      <c r="AP168" s="646"/>
      <c r="AQ168" s="646"/>
      <c r="AR168" s="646"/>
      <c r="AS168" s="646"/>
      <c r="AT168" s="646"/>
      <c r="AU168" s="646"/>
      <c r="AV168" s="646"/>
      <c r="AW168" s="646"/>
      <c r="AX168" s="646"/>
      <c r="AY168" s="646"/>
      <c r="AZ168" s="646"/>
    </row>
    <row r="169" spans="23:52">
      <c r="W169" s="646"/>
      <c r="X169" s="646"/>
      <c r="Y169" s="646"/>
      <c r="Z169" s="646"/>
      <c r="AA169" s="646"/>
      <c r="AB169" s="646"/>
      <c r="AC169" s="646"/>
      <c r="AD169" s="646"/>
      <c r="AE169" s="646"/>
      <c r="AF169" s="646"/>
      <c r="AG169" s="646"/>
      <c r="AH169" s="646"/>
      <c r="AI169" s="646"/>
      <c r="AJ169" s="646"/>
      <c r="AK169" s="646"/>
      <c r="AL169" s="646"/>
      <c r="AM169" s="646"/>
      <c r="AN169" s="646"/>
      <c r="AO169" s="646"/>
      <c r="AP169" s="646"/>
      <c r="AQ169" s="646"/>
      <c r="AR169" s="646"/>
      <c r="AS169" s="646"/>
      <c r="AT169" s="646"/>
      <c r="AU169" s="646"/>
      <c r="AV169" s="646"/>
      <c r="AW169" s="646"/>
      <c r="AX169" s="646"/>
      <c r="AY169" s="646"/>
      <c r="AZ169" s="646"/>
    </row>
    <row r="170" spans="23:52">
      <c r="W170" s="646"/>
      <c r="X170" s="646"/>
      <c r="Y170" s="646"/>
      <c r="Z170" s="646"/>
      <c r="AA170" s="646"/>
      <c r="AB170" s="646"/>
      <c r="AC170" s="646"/>
      <c r="AD170" s="646"/>
      <c r="AE170" s="646"/>
      <c r="AF170" s="646"/>
      <c r="AG170" s="646"/>
      <c r="AH170" s="646"/>
      <c r="AI170" s="646"/>
      <c r="AJ170" s="646"/>
      <c r="AK170" s="646"/>
      <c r="AL170" s="646"/>
      <c r="AM170" s="646"/>
      <c r="AN170" s="646"/>
      <c r="AO170" s="646"/>
      <c r="AP170" s="646"/>
      <c r="AQ170" s="646"/>
      <c r="AR170" s="646"/>
      <c r="AS170" s="646"/>
      <c r="AT170" s="646"/>
      <c r="AU170" s="646"/>
      <c r="AV170" s="646"/>
      <c r="AW170" s="646"/>
      <c r="AX170" s="646"/>
      <c r="AY170" s="646"/>
      <c r="AZ170" s="646"/>
    </row>
    <row r="171" spans="23:52">
      <c r="W171" s="646"/>
      <c r="X171" s="646"/>
      <c r="Y171" s="646"/>
      <c r="Z171" s="646"/>
      <c r="AA171" s="646"/>
      <c r="AB171" s="646"/>
      <c r="AC171" s="646"/>
      <c r="AD171" s="646"/>
      <c r="AE171" s="646"/>
      <c r="AF171" s="646"/>
      <c r="AG171" s="646"/>
      <c r="AH171" s="646"/>
      <c r="AI171" s="646"/>
      <c r="AJ171" s="646"/>
      <c r="AK171" s="646"/>
      <c r="AL171" s="646"/>
      <c r="AM171" s="646"/>
      <c r="AN171" s="646"/>
      <c r="AO171" s="646"/>
      <c r="AP171" s="646"/>
      <c r="AQ171" s="646"/>
      <c r="AR171" s="646"/>
      <c r="AS171" s="646"/>
      <c r="AT171" s="646"/>
      <c r="AU171" s="646"/>
      <c r="AV171" s="646"/>
      <c r="AW171" s="646"/>
      <c r="AX171" s="646"/>
      <c r="AY171" s="646"/>
      <c r="AZ171" s="646"/>
    </row>
    <row r="172" spans="23:52">
      <c r="W172" s="646"/>
      <c r="X172" s="646"/>
      <c r="Y172" s="646"/>
      <c r="Z172" s="646"/>
      <c r="AA172" s="646"/>
      <c r="AB172" s="646"/>
      <c r="AC172" s="646"/>
      <c r="AD172" s="646"/>
      <c r="AE172" s="646"/>
      <c r="AF172" s="646"/>
      <c r="AG172" s="646"/>
      <c r="AH172" s="646"/>
      <c r="AI172" s="646"/>
      <c r="AJ172" s="646"/>
      <c r="AK172" s="646"/>
      <c r="AL172" s="646"/>
      <c r="AM172" s="646"/>
      <c r="AN172" s="646"/>
      <c r="AO172" s="646"/>
      <c r="AP172" s="646"/>
      <c r="AQ172" s="646"/>
      <c r="AR172" s="646"/>
      <c r="AS172" s="646"/>
      <c r="AT172" s="646"/>
      <c r="AU172" s="646"/>
      <c r="AV172" s="646"/>
      <c r="AW172" s="646"/>
      <c r="AX172" s="646"/>
      <c r="AY172" s="646"/>
      <c r="AZ172" s="646"/>
    </row>
    <row r="173" spans="23:52">
      <c r="W173" s="646"/>
      <c r="X173" s="646"/>
      <c r="Y173" s="646"/>
      <c r="Z173" s="646"/>
      <c r="AA173" s="646"/>
      <c r="AB173" s="646"/>
      <c r="AC173" s="646"/>
      <c r="AD173" s="646"/>
      <c r="AE173" s="646"/>
      <c r="AF173" s="646"/>
      <c r="AG173" s="646"/>
      <c r="AH173" s="646"/>
      <c r="AI173" s="646"/>
      <c r="AJ173" s="646"/>
      <c r="AK173" s="646"/>
      <c r="AL173" s="646"/>
      <c r="AM173" s="646"/>
      <c r="AN173" s="646"/>
      <c r="AO173" s="646"/>
      <c r="AP173" s="646"/>
      <c r="AQ173" s="646"/>
      <c r="AR173" s="646"/>
      <c r="AS173" s="646"/>
      <c r="AT173" s="646"/>
      <c r="AU173" s="646"/>
      <c r="AV173" s="646"/>
      <c r="AW173" s="646"/>
      <c r="AX173" s="646"/>
      <c r="AY173" s="646"/>
      <c r="AZ173" s="646"/>
    </row>
    <row r="174" spans="23:52">
      <c r="W174" s="646"/>
      <c r="X174" s="646"/>
      <c r="Y174" s="646"/>
      <c r="Z174" s="646"/>
      <c r="AA174" s="646"/>
      <c r="AB174" s="646"/>
      <c r="AC174" s="646"/>
      <c r="AD174" s="646"/>
      <c r="AE174" s="646"/>
      <c r="AF174" s="646"/>
      <c r="AG174" s="646"/>
      <c r="AH174" s="646"/>
      <c r="AI174" s="646"/>
      <c r="AJ174" s="646"/>
      <c r="AK174" s="646"/>
      <c r="AL174" s="646"/>
      <c r="AM174" s="646"/>
      <c r="AN174" s="646"/>
      <c r="AO174" s="646"/>
      <c r="AP174" s="646"/>
      <c r="AQ174" s="646"/>
      <c r="AR174" s="646"/>
      <c r="AS174" s="646"/>
      <c r="AT174" s="646"/>
      <c r="AU174" s="646"/>
      <c r="AV174" s="646"/>
      <c r="AW174" s="646"/>
      <c r="AX174" s="646"/>
      <c r="AY174" s="646"/>
      <c r="AZ174" s="646"/>
    </row>
    <row r="175" spans="23:52">
      <c r="W175" s="646"/>
      <c r="X175" s="646"/>
      <c r="Y175" s="646"/>
      <c r="Z175" s="646"/>
      <c r="AA175" s="646"/>
      <c r="AB175" s="646"/>
      <c r="AC175" s="646"/>
      <c r="AD175" s="646"/>
      <c r="AE175" s="646"/>
      <c r="AF175" s="646"/>
      <c r="AG175" s="646"/>
      <c r="AH175" s="646"/>
      <c r="AI175" s="646"/>
      <c r="AJ175" s="646"/>
      <c r="AK175" s="646"/>
      <c r="AL175" s="646"/>
      <c r="AM175" s="646"/>
      <c r="AN175" s="646"/>
      <c r="AO175" s="646"/>
      <c r="AP175" s="646"/>
      <c r="AQ175" s="646"/>
      <c r="AR175" s="646"/>
      <c r="AS175" s="646"/>
      <c r="AT175" s="646"/>
      <c r="AU175" s="646"/>
      <c r="AV175" s="646"/>
      <c r="AW175" s="646"/>
      <c r="AX175" s="646"/>
      <c r="AY175" s="646"/>
      <c r="AZ175" s="646"/>
    </row>
    <row r="176" spans="23:52">
      <c r="W176" s="646"/>
      <c r="X176" s="646"/>
      <c r="Y176" s="646"/>
      <c r="Z176" s="646"/>
      <c r="AA176" s="646"/>
      <c r="AB176" s="646"/>
      <c r="AC176" s="646"/>
      <c r="AD176" s="646"/>
      <c r="AE176" s="646"/>
      <c r="AF176" s="646"/>
      <c r="AG176" s="646"/>
      <c r="AH176" s="646"/>
      <c r="AI176" s="646"/>
      <c r="AJ176" s="646"/>
      <c r="AK176" s="646"/>
      <c r="AL176" s="646"/>
      <c r="AM176" s="646"/>
      <c r="AN176" s="646"/>
      <c r="AO176" s="646"/>
      <c r="AP176" s="646"/>
      <c r="AQ176" s="646"/>
      <c r="AR176" s="646"/>
      <c r="AS176" s="646"/>
      <c r="AT176" s="646"/>
      <c r="AU176" s="646"/>
      <c r="AV176" s="646"/>
      <c r="AW176" s="646"/>
      <c r="AX176" s="646"/>
      <c r="AY176" s="646"/>
      <c r="AZ176" s="646"/>
    </row>
    <row r="177" spans="23:52">
      <c r="W177" s="646"/>
      <c r="X177" s="646"/>
      <c r="Y177" s="646"/>
      <c r="Z177" s="646"/>
      <c r="AA177" s="646"/>
      <c r="AB177" s="646"/>
      <c r="AC177" s="646"/>
      <c r="AD177" s="646"/>
      <c r="AE177" s="646"/>
      <c r="AF177" s="646"/>
      <c r="AG177" s="646"/>
      <c r="AH177" s="646"/>
      <c r="AI177" s="646"/>
      <c r="AJ177" s="646"/>
      <c r="AK177" s="646"/>
      <c r="AL177" s="646"/>
      <c r="AM177" s="646"/>
      <c r="AN177" s="646"/>
      <c r="AO177" s="646"/>
      <c r="AP177" s="646"/>
      <c r="AQ177" s="646"/>
      <c r="AR177" s="646"/>
      <c r="AS177" s="646"/>
      <c r="AT177" s="646"/>
      <c r="AU177" s="646"/>
      <c r="AV177" s="646"/>
      <c r="AW177" s="646"/>
      <c r="AX177" s="646"/>
      <c r="AY177" s="646"/>
      <c r="AZ177" s="646"/>
    </row>
    <row r="178" spans="23:52">
      <c r="W178" s="646"/>
      <c r="X178" s="646"/>
      <c r="Y178" s="646"/>
      <c r="Z178" s="646"/>
      <c r="AA178" s="646"/>
      <c r="AB178" s="646"/>
      <c r="AC178" s="646"/>
      <c r="AD178" s="646"/>
      <c r="AE178" s="646"/>
      <c r="AF178" s="646"/>
      <c r="AG178" s="646"/>
      <c r="AH178" s="646"/>
      <c r="AI178" s="646"/>
      <c r="AJ178" s="646"/>
      <c r="AK178" s="646"/>
      <c r="AL178" s="646"/>
      <c r="AM178" s="646"/>
      <c r="AN178" s="646"/>
      <c r="AO178" s="646"/>
      <c r="AP178" s="646"/>
      <c r="AQ178" s="646"/>
      <c r="AR178" s="646"/>
      <c r="AS178" s="646"/>
      <c r="AT178" s="646"/>
      <c r="AU178" s="646"/>
      <c r="AV178" s="646"/>
      <c r="AW178" s="646"/>
      <c r="AX178" s="646"/>
      <c r="AY178" s="646"/>
      <c r="AZ178" s="646"/>
    </row>
    <row r="179" spans="23:52">
      <c r="W179" s="646"/>
      <c r="X179" s="646"/>
      <c r="Y179" s="646"/>
      <c r="Z179" s="646"/>
      <c r="AA179" s="646"/>
      <c r="AB179" s="646"/>
      <c r="AC179" s="646"/>
      <c r="AD179" s="646"/>
      <c r="AE179" s="646"/>
      <c r="AF179" s="646"/>
      <c r="AG179" s="646"/>
      <c r="AH179" s="646"/>
      <c r="AI179" s="646"/>
      <c r="AJ179" s="646"/>
      <c r="AK179" s="646"/>
      <c r="AL179" s="646"/>
      <c r="AM179" s="646"/>
      <c r="AN179" s="646"/>
      <c r="AO179" s="646"/>
      <c r="AP179" s="646"/>
      <c r="AQ179" s="646"/>
      <c r="AR179" s="646"/>
      <c r="AS179" s="646"/>
      <c r="AT179" s="646"/>
      <c r="AU179" s="646"/>
      <c r="AV179" s="646"/>
      <c r="AW179" s="646"/>
      <c r="AX179" s="646"/>
      <c r="AY179" s="646"/>
      <c r="AZ179" s="646"/>
    </row>
    <row r="180" spans="23:52">
      <c r="W180" s="646"/>
      <c r="X180" s="646"/>
      <c r="Y180" s="646"/>
      <c r="Z180" s="646"/>
      <c r="AA180" s="646"/>
      <c r="AB180" s="646"/>
      <c r="AC180" s="646"/>
      <c r="AD180" s="646"/>
      <c r="AE180" s="646"/>
      <c r="AF180" s="646"/>
      <c r="AG180" s="646"/>
      <c r="AH180" s="646"/>
      <c r="AI180" s="646"/>
      <c r="AJ180" s="646"/>
      <c r="AK180" s="646"/>
      <c r="AL180" s="646"/>
      <c r="AM180" s="646"/>
      <c r="AN180" s="646"/>
      <c r="AO180" s="646"/>
      <c r="AP180" s="646"/>
      <c r="AQ180" s="646"/>
      <c r="AR180" s="646"/>
      <c r="AS180" s="646"/>
      <c r="AT180" s="646"/>
      <c r="AU180" s="646"/>
      <c r="AV180" s="646"/>
      <c r="AW180" s="646"/>
      <c r="AX180" s="646"/>
      <c r="AY180" s="646"/>
      <c r="AZ180" s="646"/>
    </row>
    <row r="181" spans="23:52">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row>
    <row r="182" spans="23:52">
      <c r="W182" s="646"/>
      <c r="X182" s="646"/>
      <c r="Y182" s="646"/>
      <c r="Z182" s="646"/>
      <c r="AA182" s="646"/>
      <c r="AB182" s="646"/>
      <c r="AC182" s="646"/>
      <c r="AD182" s="646"/>
      <c r="AE182" s="646"/>
      <c r="AF182" s="646"/>
      <c r="AG182" s="646"/>
      <c r="AH182" s="646"/>
      <c r="AI182" s="646"/>
      <c r="AJ182" s="646"/>
      <c r="AK182" s="646"/>
      <c r="AL182" s="646"/>
      <c r="AM182" s="646"/>
      <c r="AN182" s="646"/>
      <c r="AO182" s="646"/>
      <c r="AP182" s="646"/>
      <c r="AQ182" s="646"/>
      <c r="AR182" s="646"/>
      <c r="AS182" s="646"/>
      <c r="AT182" s="646"/>
      <c r="AU182" s="646"/>
      <c r="AV182" s="646"/>
      <c r="AW182" s="646"/>
      <c r="AX182" s="646"/>
      <c r="AY182" s="646"/>
      <c r="AZ182" s="646"/>
    </row>
    <row r="183" spans="23:52">
      <c r="W183" s="646"/>
      <c r="X183" s="646"/>
      <c r="Y183" s="646"/>
      <c r="Z183" s="646"/>
      <c r="AA183" s="646"/>
      <c r="AB183" s="646"/>
      <c r="AC183" s="646"/>
      <c r="AD183" s="646"/>
      <c r="AE183" s="646"/>
      <c r="AF183" s="646"/>
      <c r="AG183" s="646"/>
      <c r="AH183" s="646"/>
      <c r="AI183" s="646"/>
      <c r="AJ183" s="646"/>
      <c r="AK183" s="646"/>
      <c r="AL183" s="646"/>
      <c r="AM183" s="646"/>
      <c r="AN183" s="646"/>
      <c r="AO183" s="646"/>
      <c r="AP183" s="646"/>
      <c r="AQ183" s="646"/>
      <c r="AR183" s="646"/>
      <c r="AS183" s="646"/>
      <c r="AT183" s="646"/>
      <c r="AU183" s="646"/>
      <c r="AV183" s="646"/>
      <c r="AW183" s="646"/>
      <c r="AX183" s="646"/>
      <c r="AY183" s="646"/>
      <c r="AZ183" s="646"/>
    </row>
    <row r="184" spans="23:52">
      <c r="W184" s="646"/>
      <c r="X184" s="646"/>
      <c r="Y184" s="646"/>
      <c r="Z184" s="646"/>
      <c r="AA184" s="646"/>
      <c r="AB184" s="646"/>
      <c r="AC184" s="646"/>
      <c r="AD184" s="646"/>
      <c r="AE184" s="646"/>
      <c r="AF184" s="646"/>
      <c r="AG184" s="646"/>
      <c r="AH184" s="646"/>
      <c r="AI184" s="646"/>
      <c r="AJ184" s="646"/>
      <c r="AK184" s="646"/>
      <c r="AL184" s="646"/>
      <c r="AM184" s="646"/>
      <c r="AN184" s="646"/>
      <c r="AO184" s="646"/>
      <c r="AP184" s="646"/>
      <c r="AQ184" s="646"/>
      <c r="AR184" s="646"/>
      <c r="AS184" s="646"/>
      <c r="AT184" s="646"/>
      <c r="AU184" s="646"/>
      <c r="AV184" s="646"/>
      <c r="AW184" s="646"/>
      <c r="AX184" s="646"/>
      <c r="AY184" s="646"/>
      <c r="AZ184" s="646"/>
    </row>
    <row r="185" spans="23:52">
      <c r="W185" s="646"/>
      <c r="X185" s="646"/>
      <c r="Y185" s="646"/>
      <c r="Z185" s="646"/>
      <c r="AA185" s="646"/>
      <c r="AB185" s="646"/>
      <c r="AC185" s="646"/>
      <c r="AD185" s="646"/>
      <c r="AE185" s="646"/>
      <c r="AF185" s="646"/>
      <c r="AG185" s="646"/>
      <c r="AH185" s="646"/>
      <c r="AI185" s="646"/>
      <c r="AJ185" s="646"/>
      <c r="AK185" s="646"/>
      <c r="AL185" s="646"/>
      <c r="AM185" s="646"/>
      <c r="AN185" s="646"/>
      <c r="AO185" s="646"/>
      <c r="AP185" s="646"/>
      <c r="AQ185" s="646"/>
      <c r="AR185" s="646"/>
      <c r="AS185" s="646"/>
      <c r="AT185" s="646"/>
      <c r="AU185" s="646"/>
      <c r="AV185" s="646"/>
      <c r="AW185" s="646"/>
      <c r="AX185" s="646"/>
      <c r="AY185" s="646"/>
      <c r="AZ185" s="646"/>
    </row>
    <row r="186" spans="23:52">
      <c r="W186" s="646"/>
      <c r="X186" s="646"/>
      <c r="Y186" s="646"/>
      <c r="Z186" s="646"/>
      <c r="AA186" s="646"/>
      <c r="AB186" s="646"/>
      <c r="AC186" s="646"/>
      <c r="AD186" s="646"/>
      <c r="AE186" s="646"/>
      <c r="AF186" s="646"/>
      <c r="AG186" s="646"/>
      <c r="AH186" s="646"/>
      <c r="AI186" s="646"/>
      <c r="AJ186" s="646"/>
      <c r="AK186" s="646"/>
      <c r="AL186" s="646"/>
      <c r="AM186" s="646"/>
      <c r="AN186" s="646"/>
      <c r="AO186" s="646"/>
      <c r="AP186" s="646"/>
      <c r="AQ186" s="646"/>
      <c r="AR186" s="646"/>
      <c r="AS186" s="646"/>
      <c r="AT186" s="646"/>
      <c r="AU186" s="646"/>
      <c r="AV186" s="646"/>
      <c r="AW186" s="646"/>
      <c r="AX186" s="646"/>
      <c r="AY186" s="646"/>
      <c r="AZ186" s="646"/>
    </row>
    <row r="187" spans="23:52">
      <c r="W187" s="646"/>
      <c r="X187" s="646"/>
      <c r="Y187" s="646"/>
      <c r="Z187" s="646"/>
      <c r="AA187" s="646"/>
      <c r="AB187" s="646"/>
      <c r="AC187" s="646"/>
      <c r="AD187" s="646"/>
      <c r="AE187" s="646"/>
      <c r="AF187" s="646"/>
      <c r="AG187" s="646"/>
      <c r="AH187" s="646"/>
      <c r="AI187" s="646"/>
      <c r="AJ187" s="646"/>
      <c r="AK187" s="646"/>
      <c r="AL187" s="646"/>
      <c r="AM187" s="646"/>
      <c r="AN187" s="646"/>
      <c r="AO187" s="646"/>
      <c r="AP187" s="646"/>
      <c r="AQ187" s="646"/>
      <c r="AR187" s="646"/>
      <c r="AS187" s="646"/>
      <c r="AT187" s="646"/>
      <c r="AU187" s="646"/>
      <c r="AV187" s="646"/>
      <c r="AW187" s="646"/>
      <c r="AX187" s="646"/>
      <c r="AY187" s="646"/>
      <c r="AZ187" s="646"/>
    </row>
    <row r="188" spans="23:52">
      <c r="W188" s="646"/>
      <c r="X188" s="646"/>
      <c r="Y188" s="646"/>
      <c r="Z188" s="646"/>
      <c r="AA188" s="646"/>
      <c r="AB188" s="646"/>
      <c r="AC188" s="646"/>
      <c r="AD188" s="646"/>
      <c r="AE188" s="646"/>
      <c r="AF188" s="646"/>
      <c r="AG188" s="646"/>
      <c r="AH188" s="646"/>
      <c r="AI188" s="646"/>
      <c r="AJ188" s="646"/>
      <c r="AK188" s="646"/>
      <c r="AL188" s="646"/>
      <c r="AM188" s="646"/>
      <c r="AN188" s="646"/>
      <c r="AO188" s="646"/>
      <c r="AP188" s="646"/>
      <c r="AQ188" s="646"/>
      <c r="AR188" s="646"/>
      <c r="AS188" s="646"/>
      <c r="AT188" s="646"/>
      <c r="AU188" s="646"/>
      <c r="AV188" s="646"/>
      <c r="AW188" s="646"/>
      <c r="AX188" s="646"/>
      <c r="AY188" s="646"/>
      <c r="AZ188" s="646"/>
    </row>
    <row r="189" spans="23:52">
      <c r="W189" s="646"/>
      <c r="X189" s="646"/>
      <c r="Y189" s="646"/>
      <c r="Z189" s="646"/>
      <c r="AA189" s="646"/>
      <c r="AB189" s="646"/>
      <c r="AC189" s="646"/>
      <c r="AD189" s="646"/>
      <c r="AE189" s="646"/>
      <c r="AF189" s="646"/>
      <c r="AG189" s="646"/>
      <c r="AH189" s="646"/>
      <c r="AI189" s="646"/>
      <c r="AJ189" s="646"/>
      <c r="AK189" s="646"/>
      <c r="AL189" s="646"/>
      <c r="AM189" s="646"/>
      <c r="AN189" s="646"/>
      <c r="AO189" s="646"/>
      <c r="AP189" s="646"/>
      <c r="AQ189" s="646"/>
      <c r="AR189" s="646"/>
      <c r="AS189" s="646"/>
      <c r="AT189" s="646"/>
      <c r="AU189" s="646"/>
      <c r="AV189" s="646"/>
      <c r="AW189" s="646"/>
      <c r="AX189" s="646"/>
      <c r="AY189" s="646"/>
      <c r="AZ189" s="646"/>
    </row>
    <row r="190" spans="23:52">
      <c r="W190" s="646"/>
      <c r="X190" s="646"/>
      <c r="Y190" s="646"/>
      <c r="Z190" s="646"/>
      <c r="AA190" s="646"/>
      <c r="AB190" s="646"/>
      <c r="AC190" s="646"/>
      <c r="AD190" s="646"/>
      <c r="AE190" s="646"/>
      <c r="AF190" s="646"/>
      <c r="AG190" s="646"/>
      <c r="AH190" s="646"/>
      <c r="AI190" s="646"/>
      <c r="AJ190" s="646"/>
      <c r="AK190" s="646"/>
      <c r="AL190" s="646"/>
      <c r="AM190" s="646"/>
      <c r="AN190" s="646"/>
      <c r="AO190" s="646"/>
      <c r="AP190" s="646"/>
      <c r="AQ190" s="646"/>
      <c r="AR190" s="646"/>
      <c r="AS190" s="646"/>
      <c r="AT190" s="646"/>
      <c r="AU190" s="646"/>
      <c r="AV190" s="646"/>
      <c r="AW190" s="646"/>
      <c r="AX190" s="646"/>
      <c r="AY190" s="646"/>
      <c r="AZ190" s="646"/>
    </row>
    <row r="191" spans="23:52">
      <c r="W191" s="646"/>
      <c r="X191" s="646"/>
      <c r="Y191" s="646"/>
      <c r="Z191" s="646"/>
      <c r="AA191" s="646"/>
      <c r="AB191" s="646"/>
      <c r="AC191" s="646"/>
      <c r="AD191" s="646"/>
      <c r="AE191" s="646"/>
      <c r="AF191" s="646"/>
      <c r="AG191" s="646"/>
      <c r="AH191" s="646"/>
      <c r="AI191" s="646"/>
      <c r="AJ191" s="646"/>
      <c r="AK191" s="646"/>
      <c r="AL191" s="646"/>
      <c r="AM191" s="646"/>
      <c r="AN191" s="646"/>
      <c r="AO191" s="646"/>
      <c r="AP191" s="646"/>
      <c r="AQ191" s="646"/>
      <c r="AR191" s="646"/>
      <c r="AS191" s="646"/>
      <c r="AT191" s="646"/>
      <c r="AU191" s="646"/>
      <c r="AV191" s="646"/>
      <c r="AW191" s="646"/>
      <c r="AX191" s="646"/>
      <c r="AY191" s="646"/>
      <c r="AZ191" s="646"/>
    </row>
    <row r="192" spans="23:52">
      <c r="W192" s="646"/>
      <c r="X192" s="646"/>
      <c r="Y192" s="646"/>
      <c r="Z192" s="646"/>
      <c r="AA192" s="646"/>
      <c r="AB192" s="646"/>
      <c r="AC192" s="646"/>
      <c r="AD192" s="646"/>
      <c r="AE192" s="646"/>
      <c r="AF192" s="646"/>
      <c r="AG192" s="646"/>
      <c r="AH192" s="646"/>
      <c r="AI192" s="646"/>
      <c r="AJ192" s="646"/>
      <c r="AK192" s="646"/>
      <c r="AL192" s="646"/>
      <c r="AM192" s="646"/>
      <c r="AN192" s="646"/>
      <c r="AO192" s="646"/>
      <c r="AP192" s="646"/>
      <c r="AQ192" s="646"/>
      <c r="AR192" s="646"/>
      <c r="AS192" s="646"/>
      <c r="AT192" s="646"/>
      <c r="AU192" s="646"/>
      <c r="AV192" s="646"/>
      <c r="AW192" s="646"/>
      <c r="AX192" s="646"/>
      <c r="AY192" s="646"/>
      <c r="AZ192" s="646"/>
    </row>
    <row r="193" spans="23:52">
      <c r="W193" s="646"/>
      <c r="X193" s="646"/>
      <c r="Y193" s="646"/>
      <c r="Z193" s="646"/>
      <c r="AA193" s="646"/>
      <c r="AB193" s="646"/>
      <c r="AC193" s="646"/>
      <c r="AD193" s="646"/>
      <c r="AE193" s="646"/>
      <c r="AF193" s="646"/>
      <c r="AG193" s="646"/>
      <c r="AH193" s="646"/>
      <c r="AI193" s="646"/>
      <c r="AJ193" s="646"/>
      <c r="AK193" s="646"/>
      <c r="AL193" s="646"/>
      <c r="AM193" s="646"/>
      <c r="AN193" s="646"/>
      <c r="AO193" s="646"/>
      <c r="AP193" s="646"/>
      <c r="AQ193" s="646"/>
      <c r="AR193" s="646"/>
      <c r="AS193" s="646"/>
      <c r="AT193" s="646"/>
      <c r="AU193" s="646"/>
      <c r="AV193" s="646"/>
      <c r="AW193" s="646"/>
      <c r="AX193" s="646"/>
      <c r="AY193" s="646"/>
      <c r="AZ193" s="646"/>
    </row>
    <row r="194" spans="23:52">
      <c r="W194" s="646"/>
      <c r="X194" s="646"/>
      <c r="Y194" s="646"/>
      <c r="Z194" s="646"/>
      <c r="AA194" s="646"/>
      <c r="AB194" s="646"/>
      <c r="AC194" s="646"/>
      <c r="AD194" s="646"/>
      <c r="AE194" s="646"/>
      <c r="AF194" s="646"/>
      <c r="AG194" s="646"/>
      <c r="AH194" s="646"/>
      <c r="AI194" s="646"/>
      <c r="AJ194" s="646"/>
      <c r="AK194" s="646"/>
      <c r="AL194" s="646"/>
      <c r="AM194" s="646"/>
      <c r="AN194" s="646"/>
      <c r="AO194" s="646"/>
      <c r="AP194" s="646"/>
      <c r="AQ194" s="646"/>
      <c r="AR194" s="646"/>
      <c r="AS194" s="646"/>
      <c r="AT194" s="646"/>
      <c r="AU194" s="646"/>
      <c r="AV194" s="646"/>
      <c r="AW194" s="646"/>
      <c r="AX194" s="646"/>
      <c r="AY194" s="646"/>
      <c r="AZ194" s="646"/>
    </row>
    <row r="195" spans="23:52">
      <c r="W195" s="646"/>
      <c r="X195" s="646"/>
      <c r="Y195" s="646"/>
      <c r="Z195" s="646"/>
      <c r="AA195" s="646"/>
      <c r="AB195" s="646"/>
      <c r="AC195" s="646"/>
      <c r="AD195" s="646"/>
      <c r="AE195" s="646"/>
      <c r="AF195" s="646"/>
      <c r="AG195" s="646"/>
      <c r="AH195" s="646"/>
      <c r="AI195" s="646"/>
      <c r="AJ195" s="646"/>
      <c r="AK195" s="646"/>
      <c r="AL195" s="646"/>
      <c r="AM195" s="646"/>
      <c r="AN195" s="646"/>
      <c r="AO195" s="646"/>
      <c r="AP195" s="646"/>
      <c r="AQ195" s="646"/>
      <c r="AR195" s="646"/>
      <c r="AS195" s="646"/>
      <c r="AT195" s="646"/>
      <c r="AU195" s="646"/>
      <c r="AV195" s="646"/>
      <c r="AW195" s="646"/>
      <c r="AX195" s="646"/>
      <c r="AY195" s="646"/>
      <c r="AZ195" s="646"/>
    </row>
    <row r="196" spans="23:52">
      <c r="W196" s="646"/>
      <c r="X196" s="646"/>
      <c r="Y196" s="646"/>
      <c r="Z196" s="646"/>
      <c r="AA196" s="646"/>
      <c r="AB196" s="646"/>
      <c r="AC196" s="646"/>
      <c r="AD196" s="646"/>
      <c r="AE196" s="646"/>
      <c r="AF196" s="646"/>
      <c r="AG196" s="646"/>
      <c r="AH196" s="646"/>
      <c r="AI196" s="646"/>
      <c r="AJ196" s="646"/>
      <c r="AK196" s="646"/>
      <c r="AL196" s="646"/>
      <c r="AM196" s="646"/>
      <c r="AN196" s="646"/>
      <c r="AO196" s="646"/>
      <c r="AP196" s="646"/>
      <c r="AQ196" s="646"/>
      <c r="AR196" s="646"/>
      <c r="AS196" s="646"/>
      <c r="AT196" s="646"/>
      <c r="AU196" s="646"/>
      <c r="AV196" s="646"/>
      <c r="AW196" s="646"/>
      <c r="AX196" s="646"/>
      <c r="AY196" s="646"/>
      <c r="AZ196" s="646"/>
    </row>
    <row r="197" spans="23:52">
      <c r="W197" s="646"/>
      <c r="X197" s="646"/>
      <c r="Y197" s="646"/>
      <c r="Z197" s="646"/>
      <c r="AA197" s="646"/>
      <c r="AB197" s="646"/>
      <c r="AC197" s="646"/>
      <c r="AD197" s="646"/>
      <c r="AE197" s="646"/>
      <c r="AF197" s="646"/>
      <c r="AG197" s="646"/>
      <c r="AH197" s="646"/>
      <c r="AI197" s="646"/>
      <c r="AJ197" s="646"/>
      <c r="AK197" s="646"/>
      <c r="AL197" s="646"/>
      <c r="AM197" s="646"/>
      <c r="AN197" s="646"/>
      <c r="AO197" s="646"/>
      <c r="AP197" s="646"/>
      <c r="AQ197" s="646"/>
      <c r="AR197" s="646"/>
      <c r="AS197" s="646"/>
      <c r="AT197" s="646"/>
      <c r="AU197" s="646"/>
      <c r="AV197" s="646"/>
      <c r="AW197" s="646"/>
      <c r="AX197" s="646"/>
      <c r="AY197" s="646"/>
      <c r="AZ197" s="646"/>
    </row>
    <row r="198" spans="23:52">
      <c r="W198" s="646"/>
      <c r="X198" s="646"/>
      <c r="Y198" s="646"/>
      <c r="Z198" s="646"/>
      <c r="AA198" s="646"/>
      <c r="AB198" s="646"/>
      <c r="AC198" s="646"/>
      <c r="AD198" s="646"/>
      <c r="AE198" s="646"/>
      <c r="AF198" s="646"/>
      <c r="AG198" s="646"/>
      <c r="AH198" s="646"/>
      <c r="AI198" s="646"/>
      <c r="AJ198" s="646"/>
      <c r="AK198" s="646"/>
      <c r="AL198" s="646"/>
      <c r="AM198" s="646"/>
      <c r="AN198" s="646"/>
      <c r="AO198" s="646"/>
      <c r="AP198" s="646"/>
      <c r="AQ198" s="646"/>
      <c r="AR198" s="646"/>
      <c r="AS198" s="646"/>
      <c r="AT198" s="646"/>
      <c r="AU198" s="646"/>
      <c r="AV198" s="646"/>
      <c r="AW198" s="646"/>
      <c r="AX198" s="646"/>
      <c r="AY198" s="646"/>
      <c r="AZ198" s="646"/>
    </row>
    <row r="199" spans="23:52">
      <c r="W199" s="646"/>
      <c r="X199" s="646"/>
      <c r="Y199" s="646"/>
      <c r="Z199" s="646"/>
      <c r="AA199" s="646"/>
      <c r="AB199" s="646"/>
      <c r="AC199" s="646"/>
      <c r="AD199" s="646"/>
      <c r="AE199" s="646"/>
      <c r="AF199" s="646"/>
      <c r="AG199" s="646"/>
      <c r="AH199" s="646"/>
      <c r="AI199" s="646"/>
      <c r="AJ199" s="646"/>
      <c r="AK199" s="646"/>
      <c r="AL199" s="646"/>
      <c r="AM199" s="646"/>
      <c r="AN199" s="646"/>
      <c r="AO199" s="646"/>
      <c r="AP199" s="646"/>
      <c r="AQ199" s="646"/>
      <c r="AR199" s="646"/>
      <c r="AS199" s="646"/>
      <c r="AT199" s="646"/>
      <c r="AU199" s="646"/>
      <c r="AV199" s="646"/>
      <c r="AW199" s="646"/>
      <c r="AX199" s="646"/>
      <c r="AY199" s="646"/>
      <c r="AZ199" s="646"/>
    </row>
    <row r="200" spans="23:52">
      <c r="W200" s="646"/>
      <c r="X200" s="646"/>
      <c r="Y200" s="646"/>
      <c r="Z200" s="646"/>
      <c r="AA200" s="646"/>
      <c r="AB200" s="646"/>
      <c r="AC200" s="646"/>
      <c r="AD200" s="646"/>
      <c r="AE200" s="646"/>
      <c r="AF200" s="646"/>
      <c r="AG200" s="646"/>
      <c r="AH200" s="646"/>
      <c r="AI200" s="646"/>
      <c r="AJ200" s="646"/>
      <c r="AK200" s="646"/>
      <c r="AL200" s="646"/>
      <c r="AM200" s="646"/>
      <c r="AN200" s="646"/>
      <c r="AO200" s="646"/>
      <c r="AP200" s="646"/>
      <c r="AQ200" s="646"/>
      <c r="AR200" s="646"/>
      <c r="AS200" s="646"/>
      <c r="AT200" s="646"/>
      <c r="AU200" s="646"/>
      <c r="AV200" s="646"/>
      <c r="AW200" s="646"/>
      <c r="AX200" s="646"/>
      <c r="AY200" s="646"/>
      <c r="AZ200" s="646"/>
    </row>
    <row r="201" spans="23:52">
      <c r="W201" s="646"/>
      <c r="X201" s="646"/>
      <c r="Y201" s="646"/>
      <c r="Z201" s="646"/>
      <c r="AA201" s="646"/>
      <c r="AB201" s="646"/>
      <c r="AC201" s="646"/>
      <c r="AD201" s="646"/>
      <c r="AE201" s="646"/>
      <c r="AF201" s="646"/>
      <c r="AG201" s="646"/>
      <c r="AH201" s="646"/>
      <c r="AI201" s="646"/>
      <c r="AJ201" s="646"/>
      <c r="AK201" s="646"/>
      <c r="AL201" s="646"/>
      <c r="AM201" s="646"/>
      <c r="AN201" s="646"/>
      <c r="AO201" s="646"/>
      <c r="AP201" s="646"/>
      <c r="AQ201" s="646"/>
      <c r="AR201" s="646"/>
      <c r="AS201" s="646"/>
      <c r="AT201" s="646"/>
      <c r="AU201" s="646"/>
      <c r="AV201" s="646"/>
      <c r="AW201" s="646"/>
      <c r="AX201" s="646"/>
      <c r="AY201" s="646"/>
      <c r="AZ201" s="646"/>
    </row>
    <row r="202" spans="23:52">
      <c r="W202" s="646"/>
      <c r="X202" s="646"/>
      <c r="Y202" s="646"/>
      <c r="Z202" s="646"/>
      <c r="AA202" s="646"/>
      <c r="AB202" s="646"/>
      <c r="AC202" s="646"/>
      <c r="AD202" s="646"/>
      <c r="AE202" s="646"/>
      <c r="AF202" s="646"/>
      <c r="AG202" s="646"/>
      <c r="AH202" s="646"/>
      <c r="AI202" s="646"/>
      <c r="AJ202" s="646"/>
      <c r="AK202" s="646"/>
      <c r="AL202" s="646"/>
      <c r="AM202" s="646"/>
      <c r="AN202" s="646"/>
      <c r="AO202" s="646"/>
      <c r="AP202" s="646"/>
      <c r="AQ202" s="646"/>
      <c r="AR202" s="646"/>
      <c r="AS202" s="646"/>
      <c r="AT202" s="646"/>
      <c r="AU202" s="646"/>
      <c r="AV202" s="646"/>
      <c r="AW202" s="646"/>
      <c r="AX202" s="646"/>
      <c r="AY202" s="646"/>
      <c r="AZ202" s="646"/>
    </row>
    <row r="203" spans="23:52">
      <c r="W203" s="646"/>
      <c r="X203" s="646"/>
      <c r="Y203" s="646"/>
      <c r="Z203" s="646"/>
      <c r="AA203" s="646"/>
      <c r="AB203" s="646"/>
      <c r="AC203" s="646"/>
      <c r="AD203" s="646"/>
      <c r="AE203" s="646"/>
      <c r="AF203" s="646"/>
      <c r="AG203" s="646"/>
      <c r="AH203" s="646"/>
      <c r="AI203" s="646"/>
      <c r="AJ203" s="646"/>
      <c r="AK203" s="646"/>
      <c r="AL203" s="646"/>
      <c r="AM203" s="646"/>
      <c r="AN203" s="646"/>
      <c r="AO203" s="646"/>
      <c r="AP203" s="646"/>
      <c r="AQ203" s="646"/>
      <c r="AR203" s="646"/>
      <c r="AS203" s="646"/>
      <c r="AT203" s="646"/>
      <c r="AU203" s="646"/>
      <c r="AV203" s="646"/>
      <c r="AW203" s="646"/>
      <c r="AX203" s="646"/>
      <c r="AY203" s="646"/>
      <c r="AZ203" s="646"/>
    </row>
    <row r="204" spans="23:52">
      <c r="W204" s="646"/>
      <c r="X204" s="646"/>
      <c r="Y204" s="646"/>
      <c r="Z204" s="646"/>
      <c r="AA204" s="646"/>
      <c r="AB204" s="646"/>
      <c r="AC204" s="646"/>
      <c r="AD204" s="646"/>
      <c r="AE204" s="646"/>
      <c r="AF204" s="646"/>
      <c r="AG204" s="646"/>
      <c r="AH204" s="646"/>
      <c r="AI204" s="646"/>
      <c r="AJ204" s="646"/>
      <c r="AK204" s="646"/>
      <c r="AL204" s="646"/>
      <c r="AM204" s="646"/>
      <c r="AN204" s="646"/>
      <c r="AO204" s="646"/>
      <c r="AP204" s="646"/>
      <c r="AQ204" s="646"/>
      <c r="AR204" s="646"/>
      <c r="AS204" s="646"/>
      <c r="AT204" s="646"/>
      <c r="AU204" s="646"/>
      <c r="AV204" s="646"/>
      <c r="AW204" s="646"/>
      <c r="AX204" s="646"/>
      <c r="AY204" s="646"/>
      <c r="AZ204" s="646"/>
    </row>
    <row r="205" spans="23:52">
      <c r="W205" s="646"/>
      <c r="X205" s="646"/>
      <c r="Y205" s="646"/>
      <c r="Z205" s="646"/>
      <c r="AA205" s="646"/>
      <c r="AB205" s="646"/>
      <c r="AC205" s="646"/>
      <c r="AD205" s="646"/>
      <c r="AE205" s="646"/>
      <c r="AF205" s="646"/>
      <c r="AG205" s="646"/>
      <c r="AH205" s="646"/>
      <c r="AI205" s="646"/>
      <c r="AJ205" s="646"/>
      <c r="AK205" s="646"/>
      <c r="AL205" s="646"/>
      <c r="AM205" s="646"/>
      <c r="AN205" s="646"/>
      <c r="AO205" s="646"/>
      <c r="AP205" s="646"/>
      <c r="AQ205" s="646"/>
      <c r="AR205" s="646"/>
      <c r="AS205" s="646"/>
      <c r="AT205" s="646"/>
      <c r="AU205" s="646"/>
      <c r="AV205" s="646"/>
      <c r="AW205" s="646"/>
      <c r="AX205" s="646"/>
      <c r="AY205" s="646"/>
      <c r="AZ205" s="646"/>
    </row>
    <row r="206" spans="23:52">
      <c r="W206" s="646"/>
      <c r="X206" s="646"/>
      <c r="Y206" s="646"/>
      <c r="Z206" s="646"/>
      <c r="AA206" s="646"/>
      <c r="AB206" s="646"/>
      <c r="AC206" s="646"/>
      <c r="AD206" s="646"/>
      <c r="AE206" s="646"/>
      <c r="AF206" s="646"/>
      <c r="AG206" s="646"/>
      <c r="AH206" s="646"/>
      <c r="AI206" s="646"/>
      <c r="AJ206" s="646"/>
      <c r="AK206" s="646"/>
      <c r="AL206" s="646"/>
      <c r="AM206" s="646"/>
      <c r="AN206" s="646"/>
      <c r="AO206" s="646"/>
      <c r="AP206" s="646"/>
      <c r="AQ206" s="646"/>
      <c r="AR206" s="646"/>
      <c r="AS206" s="646"/>
      <c r="AT206" s="646"/>
      <c r="AU206" s="646"/>
      <c r="AV206" s="646"/>
      <c r="AW206" s="646"/>
      <c r="AX206" s="646"/>
      <c r="AY206" s="646"/>
      <c r="AZ206" s="646"/>
    </row>
    <row r="207" spans="23:52">
      <c r="W207" s="646"/>
      <c r="X207" s="646"/>
      <c r="Y207" s="646"/>
      <c r="Z207" s="646"/>
      <c r="AA207" s="646"/>
      <c r="AB207" s="646"/>
      <c r="AC207" s="646"/>
      <c r="AD207" s="646"/>
      <c r="AE207" s="646"/>
      <c r="AF207" s="646"/>
      <c r="AG207" s="646"/>
      <c r="AH207" s="646"/>
      <c r="AI207" s="646"/>
      <c r="AJ207" s="646"/>
      <c r="AK207" s="646"/>
      <c r="AL207" s="646"/>
      <c r="AM207" s="646"/>
      <c r="AN207" s="646"/>
      <c r="AO207" s="646"/>
      <c r="AP207" s="646"/>
      <c r="AQ207" s="646"/>
      <c r="AR207" s="646"/>
      <c r="AS207" s="646"/>
      <c r="AT207" s="646"/>
      <c r="AU207" s="646"/>
      <c r="AV207" s="646"/>
      <c r="AW207" s="646"/>
      <c r="AX207" s="646"/>
      <c r="AY207" s="646"/>
      <c r="AZ207" s="646"/>
    </row>
    <row r="208" spans="23:52">
      <c r="W208" s="646"/>
      <c r="X208" s="646"/>
      <c r="Y208" s="646"/>
      <c r="Z208" s="646"/>
      <c r="AA208" s="646"/>
      <c r="AB208" s="646"/>
      <c r="AC208" s="646"/>
      <c r="AD208" s="646"/>
      <c r="AE208" s="646"/>
      <c r="AF208" s="646"/>
      <c r="AG208" s="646"/>
      <c r="AH208" s="646"/>
      <c r="AI208" s="646"/>
      <c r="AJ208" s="646"/>
      <c r="AK208" s="646"/>
      <c r="AL208" s="646"/>
      <c r="AM208" s="646"/>
      <c r="AN208" s="646"/>
      <c r="AO208" s="646"/>
      <c r="AP208" s="646"/>
      <c r="AQ208" s="646"/>
      <c r="AR208" s="646"/>
      <c r="AS208" s="646"/>
      <c r="AT208" s="646"/>
      <c r="AU208" s="646"/>
      <c r="AV208" s="646"/>
      <c r="AW208" s="646"/>
      <c r="AX208" s="646"/>
      <c r="AY208" s="646"/>
      <c r="AZ208" s="646"/>
    </row>
    <row r="209" spans="23:52">
      <c r="W209" s="646"/>
      <c r="X209" s="646"/>
      <c r="Y209" s="646"/>
      <c r="Z209" s="646"/>
      <c r="AA209" s="646"/>
      <c r="AB209" s="646"/>
      <c r="AC209" s="646"/>
      <c r="AD209" s="646"/>
      <c r="AE209" s="646"/>
      <c r="AF209" s="646"/>
      <c r="AG209" s="646"/>
      <c r="AH209" s="646"/>
      <c r="AI209" s="646"/>
      <c r="AJ209" s="646"/>
      <c r="AK209" s="646"/>
      <c r="AL209" s="646"/>
      <c r="AM209" s="646"/>
      <c r="AN209" s="646"/>
      <c r="AO209" s="646"/>
      <c r="AP209" s="646"/>
      <c r="AQ209" s="646"/>
      <c r="AR209" s="646"/>
      <c r="AS209" s="646"/>
      <c r="AT209" s="646"/>
      <c r="AU209" s="646"/>
      <c r="AV209" s="646"/>
      <c r="AW209" s="646"/>
      <c r="AX209" s="646"/>
      <c r="AY209" s="646"/>
      <c r="AZ209" s="646"/>
    </row>
    <row r="210" spans="23:52">
      <c r="W210" s="646"/>
      <c r="X210" s="646"/>
      <c r="Y210" s="646"/>
      <c r="Z210" s="646"/>
      <c r="AA210" s="646"/>
      <c r="AB210" s="646"/>
      <c r="AC210" s="646"/>
      <c r="AD210" s="646"/>
      <c r="AE210" s="646"/>
      <c r="AF210" s="646"/>
      <c r="AG210" s="646"/>
      <c r="AH210" s="646"/>
      <c r="AI210" s="646"/>
      <c r="AJ210" s="646"/>
      <c r="AK210" s="646"/>
      <c r="AL210" s="646"/>
      <c r="AM210" s="646"/>
      <c r="AN210" s="646"/>
      <c r="AO210" s="646"/>
      <c r="AP210" s="646"/>
      <c r="AQ210" s="646"/>
      <c r="AR210" s="646"/>
      <c r="AS210" s="646"/>
      <c r="AT210" s="646"/>
      <c r="AU210" s="646"/>
      <c r="AV210" s="646"/>
      <c r="AW210" s="646"/>
      <c r="AX210" s="646"/>
      <c r="AY210" s="646"/>
      <c r="AZ210" s="646"/>
    </row>
    <row r="211" spans="23:52">
      <c r="W211" s="646"/>
      <c r="X211" s="646"/>
      <c r="Y211" s="646"/>
      <c r="Z211" s="646"/>
      <c r="AA211" s="646"/>
      <c r="AB211" s="646"/>
      <c r="AC211" s="646"/>
      <c r="AD211" s="646"/>
      <c r="AE211" s="646"/>
      <c r="AF211" s="646"/>
      <c r="AG211" s="646"/>
      <c r="AH211" s="646"/>
      <c r="AI211" s="646"/>
      <c r="AJ211" s="646"/>
      <c r="AK211" s="646"/>
      <c r="AL211" s="646"/>
      <c r="AM211" s="646"/>
      <c r="AN211" s="646"/>
      <c r="AO211" s="646"/>
      <c r="AP211" s="646"/>
      <c r="AQ211" s="646"/>
      <c r="AR211" s="646"/>
      <c r="AS211" s="646"/>
      <c r="AT211" s="646"/>
      <c r="AU211" s="646"/>
      <c r="AV211" s="646"/>
      <c r="AW211" s="646"/>
      <c r="AX211" s="646"/>
      <c r="AY211" s="646"/>
      <c r="AZ211" s="646"/>
    </row>
    <row r="212" spans="23:52">
      <c r="W212" s="646"/>
      <c r="X212" s="646"/>
      <c r="Y212" s="646"/>
      <c r="Z212" s="646"/>
      <c r="AA212" s="646"/>
      <c r="AB212" s="646"/>
      <c r="AC212" s="646"/>
      <c r="AD212" s="646"/>
      <c r="AE212" s="646"/>
      <c r="AF212" s="646"/>
      <c r="AG212" s="646"/>
      <c r="AH212" s="646"/>
      <c r="AI212" s="646"/>
      <c r="AJ212" s="646"/>
      <c r="AK212" s="646"/>
      <c r="AL212" s="646"/>
      <c r="AM212" s="646"/>
      <c r="AN212" s="646"/>
      <c r="AO212" s="646"/>
      <c r="AP212" s="646"/>
      <c r="AQ212" s="646"/>
      <c r="AR212" s="646"/>
      <c r="AS212" s="646"/>
      <c r="AT212" s="646"/>
      <c r="AU212" s="646"/>
      <c r="AV212" s="646"/>
      <c r="AW212" s="646"/>
      <c r="AX212" s="646"/>
      <c r="AY212" s="646"/>
      <c r="AZ212" s="646"/>
    </row>
    <row r="213" spans="23:52">
      <c r="W213" s="646"/>
      <c r="X213" s="646"/>
      <c r="Y213" s="646"/>
      <c r="Z213" s="646"/>
      <c r="AA213" s="646"/>
      <c r="AB213" s="646"/>
      <c r="AC213" s="646"/>
      <c r="AD213" s="646"/>
      <c r="AE213" s="646"/>
      <c r="AF213" s="646"/>
      <c r="AG213" s="646"/>
      <c r="AH213" s="646"/>
      <c r="AI213" s="646"/>
      <c r="AJ213" s="646"/>
      <c r="AK213" s="646"/>
      <c r="AL213" s="646"/>
      <c r="AM213" s="646"/>
      <c r="AN213" s="646"/>
      <c r="AO213" s="646"/>
      <c r="AP213" s="646"/>
      <c r="AQ213" s="646"/>
      <c r="AR213" s="646"/>
      <c r="AS213" s="646"/>
      <c r="AT213" s="646"/>
      <c r="AU213" s="646"/>
      <c r="AV213" s="646"/>
      <c r="AW213" s="646"/>
      <c r="AX213" s="646"/>
      <c r="AY213" s="646"/>
      <c r="AZ213" s="646"/>
    </row>
    <row r="214" spans="23:52">
      <c r="W214" s="646"/>
      <c r="X214" s="646"/>
      <c r="Y214" s="646"/>
      <c r="Z214" s="646"/>
      <c r="AA214" s="646"/>
      <c r="AB214" s="646"/>
      <c r="AC214" s="646"/>
      <c r="AD214" s="646"/>
      <c r="AE214" s="646"/>
      <c r="AF214" s="646"/>
      <c r="AG214" s="646"/>
      <c r="AH214" s="646"/>
      <c r="AI214" s="646"/>
      <c r="AJ214" s="646"/>
      <c r="AK214" s="646"/>
      <c r="AL214" s="646"/>
      <c r="AM214" s="646"/>
      <c r="AN214" s="646"/>
      <c r="AO214" s="646"/>
      <c r="AP214" s="646"/>
      <c r="AQ214" s="646"/>
      <c r="AR214" s="646"/>
      <c r="AS214" s="646"/>
      <c r="AT214" s="646"/>
      <c r="AU214" s="646"/>
      <c r="AV214" s="646"/>
      <c r="AW214" s="646"/>
      <c r="AX214" s="646"/>
      <c r="AY214" s="646"/>
      <c r="AZ214" s="646"/>
    </row>
    <row r="215" spans="23:52">
      <c r="W215" s="646"/>
      <c r="X215" s="646"/>
      <c r="Y215" s="646"/>
      <c r="Z215" s="646"/>
      <c r="AA215" s="646"/>
      <c r="AB215" s="646"/>
      <c r="AC215" s="646"/>
      <c r="AD215" s="646"/>
      <c r="AE215" s="646"/>
      <c r="AF215" s="646"/>
      <c r="AG215" s="646"/>
      <c r="AH215" s="646"/>
      <c r="AI215" s="646"/>
      <c r="AJ215" s="646"/>
      <c r="AK215" s="646"/>
      <c r="AL215" s="646"/>
      <c r="AM215" s="646"/>
      <c r="AN215" s="646"/>
      <c r="AO215" s="646"/>
      <c r="AP215" s="646"/>
      <c r="AQ215" s="646"/>
      <c r="AR215" s="646"/>
      <c r="AS215" s="646"/>
      <c r="AT215" s="646"/>
      <c r="AU215" s="646"/>
      <c r="AV215" s="646"/>
      <c r="AW215" s="646"/>
      <c r="AX215" s="646"/>
      <c r="AY215" s="646"/>
      <c r="AZ215" s="646"/>
    </row>
    <row r="216" spans="23:52">
      <c r="W216" s="646"/>
      <c r="X216" s="646"/>
      <c r="Y216" s="646"/>
      <c r="Z216" s="646"/>
      <c r="AA216" s="646"/>
      <c r="AB216" s="646"/>
      <c r="AC216" s="646"/>
      <c r="AD216" s="646"/>
      <c r="AE216" s="646"/>
      <c r="AF216" s="646"/>
      <c r="AG216" s="646"/>
      <c r="AH216" s="646"/>
      <c r="AI216" s="646"/>
      <c r="AJ216" s="646"/>
      <c r="AK216" s="646"/>
      <c r="AL216" s="646"/>
      <c r="AM216" s="646"/>
      <c r="AN216" s="646"/>
      <c r="AO216" s="646"/>
      <c r="AP216" s="646"/>
      <c r="AQ216" s="646"/>
      <c r="AR216" s="646"/>
      <c r="AS216" s="646"/>
      <c r="AT216" s="646"/>
      <c r="AU216" s="646"/>
      <c r="AV216" s="646"/>
      <c r="AW216" s="646"/>
      <c r="AX216" s="646"/>
      <c r="AY216" s="646"/>
      <c r="AZ216" s="646"/>
    </row>
    <row r="217" spans="23:52">
      <c r="W217" s="646"/>
      <c r="X217" s="646"/>
      <c r="Y217" s="646"/>
      <c r="Z217" s="646"/>
      <c r="AA217" s="646"/>
      <c r="AB217" s="646"/>
      <c r="AC217" s="646"/>
      <c r="AD217" s="646"/>
      <c r="AE217" s="646"/>
      <c r="AF217" s="646"/>
      <c r="AG217" s="646"/>
      <c r="AH217" s="646"/>
      <c r="AI217" s="646"/>
      <c r="AJ217" s="646"/>
      <c r="AK217" s="646"/>
      <c r="AL217" s="646"/>
      <c r="AM217" s="646"/>
      <c r="AN217" s="646"/>
      <c r="AO217" s="646"/>
      <c r="AP217" s="646"/>
      <c r="AQ217" s="646"/>
      <c r="AR217" s="646"/>
      <c r="AS217" s="646"/>
      <c r="AT217" s="646"/>
      <c r="AU217" s="646"/>
      <c r="AV217" s="646"/>
      <c r="AW217" s="646"/>
      <c r="AX217" s="646"/>
      <c r="AY217" s="646"/>
      <c r="AZ217" s="646"/>
    </row>
    <row r="218" spans="23:52">
      <c r="W218" s="646"/>
      <c r="X218" s="646"/>
      <c r="Y218" s="646"/>
      <c r="Z218" s="646"/>
      <c r="AA218" s="646"/>
      <c r="AB218" s="646"/>
      <c r="AC218" s="646"/>
      <c r="AD218" s="646"/>
      <c r="AE218" s="646"/>
      <c r="AF218" s="646"/>
      <c r="AG218" s="646"/>
      <c r="AH218" s="646"/>
      <c r="AI218" s="646"/>
      <c r="AJ218" s="646"/>
      <c r="AK218" s="646"/>
      <c r="AL218" s="646"/>
      <c r="AM218" s="646"/>
      <c r="AN218" s="646"/>
      <c r="AO218" s="646"/>
      <c r="AP218" s="646"/>
      <c r="AQ218" s="646"/>
      <c r="AR218" s="646"/>
      <c r="AS218" s="646"/>
      <c r="AT218" s="646"/>
      <c r="AU218" s="646"/>
      <c r="AV218" s="646"/>
      <c r="AW218" s="646"/>
      <c r="AX218" s="646"/>
      <c r="AY218" s="646"/>
      <c r="AZ218" s="646"/>
    </row>
    <row r="219" spans="23:52">
      <c r="W219" s="646"/>
      <c r="X219" s="646"/>
      <c r="Y219" s="646"/>
      <c r="Z219" s="646"/>
      <c r="AA219" s="646"/>
      <c r="AB219" s="646"/>
      <c r="AC219" s="646"/>
      <c r="AD219" s="646"/>
      <c r="AE219" s="646"/>
      <c r="AF219" s="646"/>
      <c r="AG219" s="646"/>
      <c r="AH219" s="646"/>
      <c r="AI219" s="646"/>
      <c r="AJ219" s="646"/>
      <c r="AK219" s="646"/>
      <c r="AL219" s="646"/>
      <c r="AM219" s="646"/>
      <c r="AN219" s="646"/>
      <c r="AO219" s="646"/>
      <c r="AP219" s="646"/>
      <c r="AQ219" s="646"/>
      <c r="AR219" s="646"/>
      <c r="AS219" s="646"/>
      <c r="AT219" s="646"/>
      <c r="AU219" s="646"/>
      <c r="AV219" s="646"/>
      <c r="AW219" s="646"/>
      <c r="AX219" s="646"/>
      <c r="AY219" s="646"/>
      <c r="AZ219" s="646"/>
    </row>
    <row r="220" spans="23:52">
      <c r="W220" s="646"/>
      <c r="X220" s="646"/>
      <c r="Y220" s="646"/>
      <c r="Z220" s="646"/>
      <c r="AA220" s="646"/>
      <c r="AB220" s="646"/>
      <c r="AC220" s="646"/>
      <c r="AD220" s="646"/>
      <c r="AE220" s="646"/>
      <c r="AF220" s="646"/>
      <c r="AG220" s="646"/>
      <c r="AH220" s="646"/>
      <c r="AI220" s="646"/>
      <c r="AJ220" s="646"/>
      <c r="AK220" s="646"/>
      <c r="AL220" s="646"/>
      <c r="AM220" s="646"/>
      <c r="AN220" s="646"/>
      <c r="AO220" s="646"/>
      <c r="AP220" s="646"/>
      <c r="AQ220" s="646"/>
      <c r="AR220" s="646"/>
      <c r="AS220" s="646"/>
      <c r="AT220" s="646"/>
      <c r="AU220" s="646"/>
      <c r="AV220" s="646"/>
      <c r="AW220" s="646"/>
      <c r="AX220" s="646"/>
      <c r="AY220" s="646"/>
      <c r="AZ220" s="646"/>
    </row>
    <row r="221" spans="23:52">
      <c r="W221" s="646"/>
      <c r="X221" s="646"/>
      <c r="Y221" s="646"/>
      <c r="Z221" s="646"/>
      <c r="AA221" s="646"/>
      <c r="AB221" s="646"/>
      <c r="AC221" s="646"/>
      <c r="AD221" s="646"/>
      <c r="AE221" s="646"/>
      <c r="AF221" s="646"/>
      <c r="AG221" s="646"/>
      <c r="AH221" s="646"/>
      <c r="AI221" s="646"/>
      <c r="AJ221" s="646"/>
      <c r="AK221" s="646"/>
      <c r="AL221" s="646"/>
      <c r="AM221" s="646"/>
      <c r="AN221" s="646"/>
      <c r="AO221" s="646"/>
      <c r="AP221" s="646"/>
      <c r="AQ221" s="646"/>
      <c r="AR221" s="646"/>
      <c r="AS221" s="646"/>
      <c r="AT221" s="646"/>
      <c r="AU221" s="646"/>
      <c r="AV221" s="646"/>
      <c r="AW221" s="646"/>
      <c r="AX221" s="646"/>
      <c r="AY221" s="646"/>
      <c r="AZ221" s="646"/>
    </row>
    <row r="222" spans="23:52">
      <c r="W222" s="646"/>
      <c r="X222" s="646"/>
      <c r="Y222" s="646"/>
      <c r="Z222" s="646"/>
      <c r="AA222" s="646"/>
      <c r="AB222" s="646"/>
      <c r="AC222" s="646"/>
      <c r="AD222" s="646"/>
      <c r="AE222" s="646"/>
      <c r="AF222" s="646"/>
      <c r="AG222" s="646"/>
      <c r="AH222" s="646"/>
      <c r="AI222" s="646"/>
      <c r="AJ222" s="646"/>
      <c r="AK222" s="646"/>
      <c r="AL222" s="646"/>
      <c r="AM222" s="646"/>
      <c r="AN222" s="646"/>
      <c r="AO222" s="646"/>
      <c r="AP222" s="646"/>
      <c r="AQ222" s="646"/>
      <c r="AR222" s="646"/>
      <c r="AS222" s="646"/>
      <c r="AT222" s="646"/>
      <c r="AU222" s="646"/>
      <c r="AV222" s="646"/>
      <c r="AW222" s="646"/>
      <c r="AX222" s="646"/>
      <c r="AY222" s="646"/>
      <c r="AZ222" s="646"/>
    </row>
    <row r="223" spans="23:52">
      <c r="W223" s="646"/>
      <c r="X223" s="646"/>
      <c r="Y223" s="646"/>
      <c r="Z223" s="646"/>
      <c r="AA223" s="646"/>
      <c r="AB223" s="646"/>
      <c r="AC223" s="646"/>
      <c r="AD223" s="646"/>
      <c r="AE223" s="646"/>
      <c r="AF223" s="646"/>
      <c r="AG223" s="646"/>
      <c r="AH223" s="646"/>
      <c r="AI223" s="646"/>
      <c r="AJ223" s="646"/>
      <c r="AK223" s="646"/>
      <c r="AL223" s="646"/>
      <c r="AM223" s="646"/>
      <c r="AN223" s="646"/>
      <c r="AO223" s="646"/>
      <c r="AP223" s="646"/>
      <c r="AQ223" s="646"/>
      <c r="AR223" s="646"/>
      <c r="AS223" s="646"/>
      <c r="AT223" s="646"/>
      <c r="AU223" s="646"/>
      <c r="AV223" s="646"/>
      <c r="AW223" s="646"/>
      <c r="AX223" s="646"/>
      <c r="AY223" s="646"/>
      <c r="AZ223" s="646"/>
    </row>
    <row r="224" spans="23:52">
      <c r="W224" s="646"/>
      <c r="X224" s="646"/>
      <c r="Y224" s="646"/>
      <c r="Z224" s="646"/>
      <c r="AA224" s="646"/>
      <c r="AB224" s="646"/>
      <c r="AC224" s="646"/>
      <c r="AD224" s="646"/>
      <c r="AE224" s="646"/>
      <c r="AF224" s="646"/>
      <c r="AG224" s="646"/>
      <c r="AH224" s="646"/>
      <c r="AI224" s="646"/>
      <c r="AJ224" s="646"/>
      <c r="AK224" s="646"/>
      <c r="AL224" s="646"/>
      <c r="AM224" s="646"/>
      <c r="AN224" s="646"/>
      <c r="AO224" s="646"/>
      <c r="AP224" s="646"/>
      <c r="AQ224" s="646"/>
      <c r="AR224" s="646"/>
      <c r="AS224" s="646"/>
      <c r="AT224" s="646"/>
      <c r="AU224" s="646"/>
      <c r="AV224" s="646"/>
      <c r="AW224" s="646"/>
      <c r="AX224" s="646"/>
      <c r="AY224" s="646"/>
      <c r="AZ224" s="646"/>
    </row>
    <row r="225" spans="23:52">
      <c r="W225" s="646"/>
      <c r="X225" s="646"/>
      <c r="Y225" s="646"/>
      <c r="Z225" s="646"/>
      <c r="AA225" s="646"/>
      <c r="AB225" s="646"/>
      <c r="AC225" s="646"/>
      <c r="AD225" s="646"/>
      <c r="AE225" s="646"/>
      <c r="AF225" s="646"/>
      <c r="AG225" s="646"/>
      <c r="AH225" s="646"/>
      <c r="AI225" s="646"/>
      <c r="AJ225" s="646"/>
      <c r="AK225" s="646"/>
      <c r="AL225" s="646"/>
      <c r="AM225" s="646"/>
      <c r="AN225" s="646"/>
      <c r="AO225" s="646"/>
      <c r="AP225" s="646"/>
      <c r="AQ225" s="646"/>
      <c r="AR225" s="646"/>
      <c r="AS225" s="646"/>
      <c r="AT225" s="646"/>
      <c r="AU225" s="646"/>
      <c r="AV225" s="646"/>
      <c r="AW225" s="646"/>
      <c r="AX225" s="646"/>
      <c r="AY225" s="646"/>
      <c r="AZ225" s="646"/>
    </row>
    <row r="226" spans="23:52">
      <c r="W226" s="646"/>
      <c r="X226" s="646"/>
      <c r="Y226" s="646"/>
      <c r="Z226" s="646"/>
      <c r="AA226" s="646"/>
      <c r="AB226" s="646"/>
      <c r="AC226" s="646"/>
      <c r="AD226" s="646"/>
      <c r="AE226" s="646"/>
      <c r="AF226" s="646"/>
      <c r="AG226" s="646"/>
      <c r="AH226" s="646"/>
      <c r="AI226" s="646"/>
      <c r="AJ226" s="646"/>
      <c r="AK226" s="646"/>
      <c r="AL226" s="646"/>
      <c r="AM226" s="646"/>
      <c r="AN226" s="646"/>
      <c r="AO226" s="646"/>
      <c r="AP226" s="646"/>
      <c r="AQ226" s="646"/>
      <c r="AR226" s="646"/>
      <c r="AS226" s="646"/>
      <c r="AT226" s="646"/>
      <c r="AU226" s="646"/>
      <c r="AV226" s="646"/>
      <c r="AW226" s="646"/>
      <c r="AX226" s="646"/>
      <c r="AY226" s="646"/>
      <c r="AZ226" s="646"/>
    </row>
    <row r="227" spans="23:52">
      <c r="W227" s="646"/>
      <c r="X227" s="646"/>
      <c r="Y227" s="646"/>
      <c r="Z227" s="646"/>
      <c r="AA227" s="646"/>
      <c r="AB227" s="646"/>
      <c r="AC227" s="646"/>
      <c r="AD227" s="646"/>
      <c r="AE227" s="646"/>
      <c r="AF227" s="646"/>
      <c r="AG227" s="646"/>
      <c r="AH227" s="646"/>
      <c r="AI227" s="646"/>
      <c r="AJ227" s="646"/>
      <c r="AK227" s="646"/>
      <c r="AL227" s="646"/>
      <c r="AM227" s="646"/>
      <c r="AN227" s="646"/>
      <c r="AO227" s="646"/>
      <c r="AP227" s="646"/>
      <c r="AQ227" s="646"/>
      <c r="AR227" s="646"/>
      <c r="AS227" s="646"/>
      <c r="AT227" s="646"/>
      <c r="AU227" s="646"/>
      <c r="AV227" s="646"/>
      <c r="AW227" s="646"/>
      <c r="AX227" s="646"/>
      <c r="AY227" s="646"/>
      <c r="AZ227" s="646"/>
    </row>
    <row r="228" spans="23:52">
      <c r="W228" s="646"/>
      <c r="X228" s="646"/>
      <c r="Y228" s="646"/>
      <c r="Z228" s="646"/>
      <c r="AA228" s="646"/>
      <c r="AB228" s="646"/>
      <c r="AC228" s="646"/>
      <c r="AD228" s="646"/>
      <c r="AE228" s="646"/>
      <c r="AF228" s="646"/>
      <c r="AG228" s="646"/>
      <c r="AH228" s="646"/>
      <c r="AI228" s="646"/>
      <c r="AJ228" s="646"/>
      <c r="AK228" s="646"/>
      <c r="AL228" s="646"/>
      <c r="AM228" s="646"/>
      <c r="AN228" s="646"/>
      <c r="AO228" s="646"/>
      <c r="AP228" s="646"/>
      <c r="AQ228" s="646"/>
      <c r="AR228" s="646"/>
      <c r="AS228" s="646"/>
      <c r="AT228" s="646"/>
      <c r="AU228" s="646"/>
      <c r="AV228" s="646"/>
      <c r="AW228" s="646"/>
      <c r="AX228" s="646"/>
      <c r="AY228" s="646"/>
      <c r="AZ228" s="646"/>
    </row>
    <row r="229" spans="23:52">
      <c r="W229" s="646"/>
      <c r="X229" s="646"/>
      <c r="Y229" s="646"/>
      <c r="Z229" s="646"/>
      <c r="AA229" s="646"/>
      <c r="AB229" s="646"/>
      <c r="AC229" s="646"/>
      <c r="AD229" s="646"/>
      <c r="AE229" s="646"/>
      <c r="AF229" s="646"/>
      <c r="AG229" s="646"/>
      <c r="AH229" s="646"/>
      <c r="AI229" s="646"/>
      <c r="AJ229" s="646"/>
      <c r="AK229" s="646"/>
      <c r="AL229" s="646"/>
      <c r="AM229" s="646"/>
      <c r="AN229" s="646"/>
      <c r="AO229" s="646"/>
      <c r="AP229" s="646"/>
      <c r="AQ229" s="646"/>
      <c r="AR229" s="646"/>
      <c r="AS229" s="646"/>
      <c r="AT229" s="646"/>
      <c r="AU229" s="646"/>
      <c r="AV229" s="646"/>
      <c r="AW229" s="646"/>
      <c r="AX229" s="646"/>
      <c r="AY229" s="646"/>
      <c r="AZ229" s="646"/>
    </row>
    <row r="230" spans="23:52">
      <c r="W230" s="646"/>
      <c r="X230" s="646"/>
      <c r="Y230" s="646"/>
      <c r="Z230" s="646"/>
      <c r="AA230" s="646"/>
      <c r="AB230" s="646"/>
      <c r="AC230" s="646"/>
      <c r="AD230" s="646"/>
      <c r="AE230" s="646"/>
      <c r="AF230" s="646"/>
      <c r="AG230" s="646"/>
      <c r="AH230" s="646"/>
      <c r="AI230" s="646"/>
      <c r="AJ230" s="646"/>
      <c r="AK230" s="646"/>
      <c r="AL230" s="646"/>
      <c r="AM230" s="646"/>
      <c r="AN230" s="646"/>
      <c r="AO230" s="646"/>
      <c r="AP230" s="646"/>
      <c r="AQ230" s="646"/>
      <c r="AR230" s="646"/>
      <c r="AS230" s="646"/>
      <c r="AT230" s="646"/>
      <c r="AU230" s="646"/>
      <c r="AV230" s="646"/>
      <c r="AW230" s="646"/>
      <c r="AX230" s="646"/>
      <c r="AY230" s="646"/>
      <c r="AZ230" s="646"/>
    </row>
    <row r="231" spans="23:52">
      <c r="W231" s="646"/>
      <c r="X231" s="646"/>
      <c r="Y231" s="646"/>
      <c r="Z231" s="646"/>
      <c r="AA231" s="646"/>
      <c r="AB231" s="646"/>
      <c r="AC231" s="646"/>
      <c r="AD231" s="646"/>
      <c r="AE231" s="646"/>
      <c r="AF231" s="646"/>
      <c r="AG231" s="646"/>
      <c r="AH231" s="646"/>
      <c r="AI231" s="646"/>
      <c r="AJ231" s="646"/>
      <c r="AK231" s="646"/>
      <c r="AL231" s="646"/>
      <c r="AM231" s="646"/>
      <c r="AN231" s="646"/>
      <c r="AO231" s="646"/>
      <c r="AP231" s="646"/>
      <c r="AQ231" s="646"/>
      <c r="AR231" s="646"/>
      <c r="AS231" s="646"/>
      <c r="AT231" s="646"/>
      <c r="AU231" s="646"/>
      <c r="AV231" s="646"/>
      <c r="AW231" s="646"/>
      <c r="AX231" s="646"/>
      <c r="AY231" s="646"/>
      <c r="AZ231" s="646"/>
    </row>
    <row r="232" spans="23:52">
      <c r="W232" s="646"/>
      <c r="X232" s="646"/>
      <c r="Y232" s="646"/>
      <c r="Z232" s="646"/>
      <c r="AA232" s="646"/>
      <c r="AB232" s="646"/>
      <c r="AC232" s="646"/>
      <c r="AD232" s="646"/>
      <c r="AE232" s="646"/>
      <c r="AF232" s="646"/>
      <c r="AG232" s="646"/>
      <c r="AH232" s="646"/>
      <c r="AI232" s="646"/>
      <c r="AJ232" s="646"/>
      <c r="AK232" s="646"/>
      <c r="AL232" s="646"/>
      <c r="AM232" s="646"/>
      <c r="AN232" s="646"/>
      <c r="AO232" s="646"/>
      <c r="AP232" s="646"/>
      <c r="AQ232" s="646"/>
      <c r="AR232" s="646"/>
      <c r="AS232" s="646"/>
      <c r="AT232" s="646"/>
      <c r="AU232" s="646"/>
      <c r="AV232" s="646"/>
      <c r="AW232" s="646"/>
      <c r="AX232" s="646"/>
      <c r="AY232" s="646"/>
      <c r="AZ232" s="646"/>
    </row>
    <row r="233" spans="23:52">
      <c r="W233" s="646"/>
      <c r="X233" s="646"/>
      <c r="Y233" s="646"/>
      <c r="Z233" s="646"/>
      <c r="AA233" s="646"/>
      <c r="AB233" s="646"/>
      <c r="AC233" s="646"/>
      <c r="AD233" s="646"/>
      <c r="AE233" s="646"/>
      <c r="AF233" s="646"/>
      <c r="AG233" s="646"/>
      <c r="AH233" s="646"/>
      <c r="AI233" s="646"/>
      <c r="AJ233" s="646"/>
      <c r="AK233" s="646"/>
      <c r="AL233" s="646"/>
      <c r="AM233" s="646"/>
      <c r="AN233" s="646"/>
      <c r="AO233" s="646"/>
      <c r="AP233" s="646"/>
      <c r="AQ233" s="646"/>
      <c r="AR233" s="646"/>
      <c r="AS233" s="646"/>
      <c r="AT233" s="646"/>
      <c r="AU233" s="646"/>
      <c r="AV233" s="646"/>
      <c r="AW233" s="646"/>
      <c r="AX233" s="646"/>
      <c r="AY233" s="646"/>
      <c r="AZ233" s="646"/>
    </row>
    <row r="234" spans="23:52">
      <c r="W234" s="646"/>
      <c r="X234" s="646"/>
      <c r="Y234" s="646"/>
      <c r="Z234" s="646"/>
      <c r="AA234" s="646"/>
      <c r="AB234" s="646"/>
      <c r="AC234" s="646"/>
      <c r="AD234" s="646"/>
      <c r="AE234" s="646"/>
      <c r="AF234" s="646"/>
      <c r="AG234" s="646"/>
      <c r="AH234" s="646"/>
      <c r="AI234" s="646"/>
      <c r="AJ234" s="646"/>
      <c r="AK234" s="646"/>
      <c r="AL234" s="646"/>
      <c r="AM234" s="646"/>
      <c r="AN234" s="646"/>
      <c r="AO234" s="646"/>
      <c r="AP234" s="646"/>
      <c r="AQ234" s="646"/>
      <c r="AR234" s="646"/>
      <c r="AS234" s="646"/>
      <c r="AT234" s="646"/>
      <c r="AU234" s="646"/>
      <c r="AV234" s="646"/>
      <c r="AW234" s="646"/>
      <c r="AX234" s="646"/>
      <c r="AY234" s="646"/>
      <c r="AZ234" s="646"/>
    </row>
    <row r="235" spans="23:52">
      <c r="W235" s="646"/>
      <c r="X235" s="646"/>
      <c r="Y235" s="646"/>
      <c r="Z235" s="646"/>
      <c r="AA235" s="646"/>
      <c r="AB235" s="646"/>
      <c r="AC235" s="646"/>
      <c r="AD235" s="646"/>
      <c r="AE235" s="646"/>
      <c r="AF235" s="646"/>
      <c r="AG235" s="646"/>
      <c r="AH235" s="646"/>
      <c r="AI235" s="646"/>
      <c r="AJ235" s="646"/>
      <c r="AK235" s="646"/>
      <c r="AL235" s="646"/>
      <c r="AM235" s="646"/>
      <c r="AN235" s="646"/>
      <c r="AO235" s="646"/>
      <c r="AP235" s="646"/>
      <c r="AQ235" s="646"/>
      <c r="AR235" s="646"/>
      <c r="AS235" s="646"/>
      <c r="AT235" s="646"/>
      <c r="AU235" s="646"/>
      <c r="AV235" s="646"/>
      <c r="AW235" s="646"/>
      <c r="AX235" s="646"/>
      <c r="AY235" s="646"/>
      <c r="AZ235" s="646"/>
    </row>
    <row r="236" spans="23:52">
      <c r="W236" s="646"/>
      <c r="X236" s="646"/>
      <c r="Y236" s="646"/>
      <c r="Z236" s="646"/>
      <c r="AA236" s="646"/>
      <c r="AB236" s="646"/>
      <c r="AC236" s="646"/>
      <c r="AD236" s="646"/>
      <c r="AE236" s="646"/>
      <c r="AF236" s="646"/>
      <c r="AG236" s="646"/>
      <c r="AH236" s="646"/>
      <c r="AI236" s="646"/>
      <c r="AJ236" s="646"/>
      <c r="AK236" s="646"/>
      <c r="AL236" s="646"/>
      <c r="AM236" s="646"/>
      <c r="AN236" s="646"/>
      <c r="AO236" s="646"/>
      <c r="AP236" s="646"/>
      <c r="AQ236" s="646"/>
      <c r="AR236" s="646"/>
      <c r="AS236" s="646"/>
      <c r="AT236" s="646"/>
      <c r="AU236" s="646"/>
      <c r="AV236" s="646"/>
      <c r="AW236" s="646"/>
      <c r="AX236" s="646"/>
      <c r="AY236" s="646"/>
      <c r="AZ236" s="646"/>
    </row>
    <row r="237" spans="23:52">
      <c r="W237" s="646"/>
      <c r="X237" s="646"/>
      <c r="Y237" s="646"/>
      <c r="Z237" s="646"/>
      <c r="AA237" s="646"/>
      <c r="AB237" s="646"/>
      <c r="AC237" s="646"/>
      <c r="AD237" s="646"/>
      <c r="AE237" s="646"/>
      <c r="AF237" s="646"/>
      <c r="AG237" s="646"/>
      <c r="AH237" s="646"/>
      <c r="AI237" s="646"/>
      <c r="AJ237" s="646"/>
      <c r="AK237" s="646"/>
      <c r="AL237" s="646"/>
      <c r="AM237" s="646"/>
      <c r="AN237" s="646"/>
      <c r="AO237" s="646"/>
      <c r="AP237" s="646"/>
      <c r="AQ237" s="646"/>
      <c r="AR237" s="646"/>
      <c r="AS237" s="646"/>
      <c r="AT237" s="646"/>
      <c r="AU237" s="646"/>
      <c r="AV237" s="646"/>
      <c r="AW237" s="646"/>
      <c r="AX237" s="646"/>
      <c r="AY237" s="646"/>
      <c r="AZ237" s="646"/>
    </row>
    <row r="238" spans="23:52">
      <c r="W238" s="646"/>
      <c r="X238" s="646"/>
      <c r="Y238" s="646"/>
      <c r="Z238" s="646"/>
      <c r="AA238" s="646"/>
      <c r="AB238" s="646"/>
      <c r="AC238" s="646"/>
      <c r="AD238" s="646"/>
      <c r="AE238" s="646"/>
      <c r="AF238" s="646"/>
      <c r="AG238" s="646"/>
      <c r="AH238" s="646"/>
      <c r="AI238" s="646"/>
      <c r="AJ238" s="646"/>
      <c r="AK238" s="646"/>
      <c r="AL238" s="646"/>
      <c r="AM238" s="646"/>
      <c r="AN238" s="646"/>
      <c r="AO238" s="646"/>
      <c r="AP238" s="646"/>
      <c r="AQ238" s="646"/>
      <c r="AR238" s="646"/>
      <c r="AS238" s="646"/>
      <c r="AT238" s="646"/>
      <c r="AU238" s="646"/>
      <c r="AV238" s="646"/>
      <c r="AW238" s="646"/>
      <c r="AX238" s="646"/>
      <c r="AY238" s="646"/>
      <c r="AZ238" s="646"/>
    </row>
    <row r="239" spans="23:52">
      <c r="W239" s="646"/>
      <c r="X239" s="646"/>
      <c r="Y239" s="646"/>
      <c r="Z239" s="646"/>
      <c r="AA239" s="646"/>
      <c r="AB239" s="646"/>
      <c r="AC239" s="646"/>
      <c r="AD239" s="646"/>
      <c r="AE239" s="646"/>
      <c r="AF239" s="646"/>
      <c r="AG239" s="646"/>
      <c r="AH239" s="646"/>
      <c r="AI239" s="646"/>
      <c r="AJ239" s="646"/>
      <c r="AK239" s="646"/>
      <c r="AL239" s="646"/>
      <c r="AM239" s="646"/>
      <c r="AN239" s="646"/>
      <c r="AO239" s="646"/>
      <c r="AP239" s="646"/>
      <c r="AQ239" s="646"/>
      <c r="AR239" s="646"/>
      <c r="AS239" s="646"/>
      <c r="AT239" s="646"/>
      <c r="AU239" s="646"/>
      <c r="AV239" s="646"/>
      <c r="AW239" s="646"/>
      <c r="AX239" s="646"/>
      <c r="AY239" s="646"/>
      <c r="AZ239" s="646"/>
    </row>
    <row r="240" spans="23:52">
      <c r="W240" s="646"/>
      <c r="X240" s="646"/>
      <c r="Y240" s="646"/>
      <c r="Z240" s="646"/>
      <c r="AA240" s="646"/>
      <c r="AB240" s="646"/>
      <c r="AC240" s="646"/>
      <c r="AD240" s="646"/>
      <c r="AE240" s="646"/>
      <c r="AF240" s="646"/>
      <c r="AG240" s="646"/>
      <c r="AH240" s="646"/>
      <c r="AI240" s="646"/>
      <c r="AJ240" s="646"/>
      <c r="AK240" s="646"/>
      <c r="AL240" s="646"/>
      <c r="AM240" s="646"/>
      <c r="AN240" s="646"/>
      <c r="AO240" s="646"/>
      <c r="AP240" s="646"/>
      <c r="AQ240" s="646"/>
      <c r="AR240" s="646"/>
      <c r="AS240" s="646"/>
      <c r="AT240" s="646"/>
      <c r="AU240" s="646"/>
      <c r="AV240" s="646"/>
      <c r="AW240" s="646"/>
      <c r="AX240" s="646"/>
      <c r="AY240" s="646"/>
      <c r="AZ240" s="646"/>
    </row>
    <row r="241" spans="23:52">
      <c r="W241" s="646"/>
      <c r="X241" s="646"/>
      <c r="Y241" s="646"/>
      <c r="Z241" s="646"/>
      <c r="AA241" s="646"/>
      <c r="AB241" s="646"/>
      <c r="AC241" s="646"/>
      <c r="AD241" s="646"/>
      <c r="AE241" s="646"/>
      <c r="AF241" s="646"/>
      <c r="AG241" s="646"/>
      <c r="AH241" s="646"/>
      <c r="AI241" s="646"/>
      <c r="AJ241" s="646"/>
      <c r="AK241" s="646"/>
      <c r="AL241" s="646"/>
      <c r="AM241" s="646"/>
      <c r="AN241" s="646"/>
      <c r="AO241" s="646"/>
      <c r="AP241" s="646"/>
      <c r="AQ241" s="646"/>
      <c r="AR241" s="646"/>
      <c r="AS241" s="646"/>
      <c r="AT241" s="646"/>
      <c r="AU241" s="646"/>
      <c r="AV241" s="646"/>
      <c r="AW241" s="646"/>
      <c r="AX241" s="646"/>
      <c r="AY241" s="646"/>
      <c r="AZ241" s="646"/>
    </row>
    <row r="242" spans="23:52">
      <c r="W242" s="646"/>
      <c r="X242" s="646"/>
      <c r="Y242" s="646"/>
      <c r="Z242" s="646"/>
      <c r="AA242" s="646"/>
      <c r="AB242" s="646"/>
      <c r="AC242" s="646"/>
      <c r="AD242" s="646"/>
      <c r="AE242" s="646"/>
      <c r="AF242" s="646"/>
      <c r="AG242" s="646"/>
      <c r="AH242" s="646"/>
      <c r="AI242" s="646"/>
      <c r="AJ242" s="646"/>
      <c r="AK242" s="646"/>
      <c r="AL242" s="646"/>
      <c r="AM242" s="646"/>
      <c r="AN242" s="646"/>
      <c r="AO242" s="646"/>
      <c r="AP242" s="646"/>
      <c r="AQ242" s="646"/>
      <c r="AR242" s="646"/>
      <c r="AS242" s="646"/>
      <c r="AT242" s="646"/>
      <c r="AU242" s="646"/>
      <c r="AV242" s="646"/>
      <c r="AW242" s="646"/>
      <c r="AX242" s="646"/>
      <c r="AY242" s="646"/>
      <c r="AZ242" s="646"/>
    </row>
    <row r="243" spans="23:52">
      <c r="W243" s="646"/>
      <c r="X243" s="646"/>
      <c r="Y243" s="646"/>
      <c r="Z243" s="646"/>
      <c r="AA243" s="646"/>
      <c r="AB243" s="646"/>
      <c r="AC243" s="646"/>
      <c r="AD243" s="646"/>
      <c r="AE243" s="646"/>
      <c r="AF243" s="646"/>
      <c r="AG243" s="646"/>
      <c r="AH243" s="646"/>
      <c r="AI243" s="646"/>
      <c r="AJ243" s="646"/>
      <c r="AK243" s="646"/>
      <c r="AL243" s="646"/>
      <c r="AM243" s="646"/>
      <c r="AN243" s="646"/>
      <c r="AO243" s="646"/>
      <c r="AP243" s="646"/>
      <c r="AQ243" s="646"/>
      <c r="AR243" s="646"/>
      <c r="AS243" s="646"/>
      <c r="AT243" s="646"/>
      <c r="AU243" s="646"/>
      <c r="AV243" s="646"/>
      <c r="AW243" s="646"/>
      <c r="AX243" s="646"/>
      <c r="AY243" s="646"/>
      <c r="AZ243" s="646"/>
    </row>
    <row r="244" spans="23:52">
      <c r="W244" s="646"/>
      <c r="X244" s="646"/>
      <c r="Y244" s="646"/>
      <c r="Z244" s="646"/>
      <c r="AA244" s="646"/>
      <c r="AB244" s="646"/>
      <c r="AC244" s="646"/>
      <c r="AD244" s="646"/>
      <c r="AE244" s="646"/>
      <c r="AF244" s="646"/>
      <c r="AG244" s="646"/>
      <c r="AH244" s="646"/>
      <c r="AI244" s="646"/>
      <c r="AJ244" s="646"/>
      <c r="AK244" s="646"/>
      <c r="AL244" s="646"/>
      <c r="AM244" s="646"/>
      <c r="AN244" s="646"/>
      <c r="AO244" s="646"/>
      <c r="AP244" s="646"/>
      <c r="AQ244" s="646"/>
      <c r="AR244" s="646"/>
      <c r="AS244" s="646"/>
      <c r="AT244" s="646"/>
      <c r="AU244" s="646"/>
      <c r="AV244" s="646"/>
      <c r="AW244" s="646"/>
      <c r="AX244" s="646"/>
      <c r="AY244" s="646"/>
      <c r="AZ244" s="646"/>
    </row>
    <row r="245" spans="23:52">
      <c r="W245" s="646"/>
      <c r="X245" s="646"/>
      <c r="Y245" s="646"/>
      <c r="Z245" s="646"/>
      <c r="AA245" s="646"/>
      <c r="AB245" s="646"/>
      <c r="AC245" s="646"/>
      <c r="AD245" s="646"/>
      <c r="AE245" s="646"/>
      <c r="AF245" s="646"/>
      <c r="AG245" s="646"/>
      <c r="AH245" s="646"/>
      <c r="AI245" s="646"/>
      <c r="AJ245" s="646"/>
      <c r="AK245" s="646"/>
      <c r="AL245" s="646"/>
      <c r="AM245" s="646"/>
      <c r="AN245" s="646"/>
      <c r="AO245" s="646"/>
      <c r="AP245" s="646"/>
      <c r="AQ245" s="646"/>
      <c r="AR245" s="646"/>
      <c r="AS245" s="646"/>
      <c r="AT245" s="646"/>
      <c r="AU245" s="646"/>
      <c r="AV245" s="646"/>
      <c r="AW245" s="646"/>
      <c r="AX245" s="646"/>
      <c r="AY245" s="646"/>
      <c r="AZ245" s="646"/>
    </row>
    <row r="246" spans="23:52">
      <c r="W246" s="646"/>
      <c r="X246" s="646"/>
      <c r="Y246" s="646"/>
      <c r="Z246" s="646"/>
      <c r="AA246" s="646"/>
      <c r="AB246" s="646"/>
      <c r="AC246" s="646"/>
      <c r="AD246" s="646"/>
      <c r="AE246" s="646"/>
      <c r="AF246" s="646"/>
      <c r="AG246" s="646"/>
      <c r="AH246" s="646"/>
      <c r="AI246" s="646"/>
      <c r="AJ246" s="646"/>
      <c r="AK246" s="646"/>
      <c r="AL246" s="646"/>
      <c r="AM246" s="646"/>
      <c r="AN246" s="646"/>
      <c r="AO246" s="646"/>
      <c r="AP246" s="646"/>
      <c r="AQ246" s="646"/>
      <c r="AR246" s="646"/>
      <c r="AS246" s="646"/>
      <c r="AT246" s="646"/>
      <c r="AU246" s="646"/>
      <c r="AV246" s="646"/>
      <c r="AW246" s="646"/>
      <c r="AX246" s="646"/>
      <c r="AY246" s="646"/>
      <c r="AZ246" s="646"/>
    </row>
    <row r="247" spans="23:52">
      <c r="W247" s="646"/>
      <c r="X247" s="646"/>
      <c r="Y247" s="646"/>
      <c r="Z247" s="646"/>
      <c r="AA247" s="646"/>
      <c r="AB247" s="646"/>
      <c r="AC247" s="646"/>
      <c r="AD247" s="646"/>
      <c r="AE247" s="646"/>
      <c r="AF247" s="646"/>
      <c r="AG247" s="646"/>
      <c r="AH247" s="646"/>
      <c r="AI247" s="646"/>
      <c r="AJ247" s="646"/>
      <c r="AK247" s="646"/>
      <c r="AL247" s="646"/>
      <c r="AM247" s="646"/>
      <c r="AN247" s="646"/>
      <c r="AO247" s="646"/>
      <c r="AP247" s="646"/>
      <c r="AQ247" s="646"/>
      <c r="AR247" s="646"/>
      <c r="AS247" s="646"/>
      <c r="AT247" s="646"/>
      <c r="AU247" s="646"/>
      <c r="AV247" s="646"/>
      <c r="AW247" s="646"/>
      <c r="AX247" s="646"/>
      <c r="AY247" s="646"/>
      <c r="AZ247" s="646"/>
    </row>
    <row r="248" spans="23:52">
      <c r="W248" s="646"/>
      <c r="X248" s="646"/>
      <c r="Y248" s="646"/>
      <c r="Z248" s="646"/>
      <c r="AA248" s="646"/>
      <c r="AB248" s="646"/>
      <c r="AC248" s="646"/>
      <c r="AD248" s="646"/>
      <c r="AE248" s="646"/>
      <c r="AF248" s="646"/>
      <c r="AG248" s="646"/>
      <c r="AH248" s="646"/>
      <c r="AI248" s="646"/>
      <c r="AJ248" s="646"/>
      <c r="AK248" s="646"/>
      <c r="AL248" s="646"/>
      <c r="AM248" s="646"/>
      <c r="AN248" s="646"/>
      <c r="AO248" s="646"/>
      <c r="AP248" s="646"/>
      <c r="AQ248" s="646"/>
      <c r="AR248" s="646"/>
      <c r="AS248" s="646"/>
      <c r="AT248" s="646"/>
      <c r="AU248" s="646"/>
      <c r="AV248" s="646"/>
      <c r="AW248" s="646"/>
      <c r="AX248" s="646"/>
      <c r="AY248" s="646"/>
      <c r="AZ248" s="646"/>
    </row>
    <row r="249" spans="23:52">
      <c r="W249" s="646"/>
      <c r="X249" s="646"/>
      <c r="Y249" s="646"/>
      <c r="Z249" s="646"/>
      <c r="AA249" s="646"/>
      <c r="AB249" s="646"/>
      <c r="AC249" s="646"/>
      <c r="AD249" s="646"/>
      <c r="AE249" s="646"/>
      <c r="AF249" s="646"/>
      <c r="AG249" s="646"/>
      <c r="AH249" s="646"/>
      <c r="AI249" s="646"/>
      <c r="AJ249" s="646"/>
      <c r="AK249" s="646"/>
      <c r="AL249" s="646"/>
      <c r="AM249" s="646"/>
      <c r="AN249" s="646"/>
      <c r="AO249" s="646"/>
      <c r="AP249" s="646"/>
      <c r="AQ249" s="646"/>
      <c r="AR249" s="646"/>
      <c r="AS249" s="646"/>
      <c r="AT249" s="646"/>
      <c r="AU249" s="646"/>
      <c r="AV249" s="646"/>
      <c r="AW249" s="646"/>
      <c r="AX249" s="646"/>
      <c r="AY249" s="646"/>
      <c r="AZ249" s="646"/>
    </row>
    <row r="250" spans="23:52">
      <c r="W250" s="646"/>
      <c r="X250" s="646"/>
      <c r="Y250" s="646"/>
      <c r="Z250" s="646"/>
      <c r="AA250" s="646"/>
      <c r="AB250" s="646"/>
      <c r="AC250" s="646"/>
      <c r="AD250" s="646"/>
      <c r="AE250" s="646"/>
      <c r="AF250" s="646"/>
      <c r="AG250" s="646"/>
      <c r="AH250" s="646"/>
      <c r="AI250" s="646"/>
      <c r="AJ250" s="646"/>
      <c r="AK250" s="646"/>
      <c r="AL250" s="646"/>
      <c r="AM250" s="646"/>
      <c r="AN250" s="646"/>
      <c r="AO250" s="646"/>
      <c r="AP250" s="646"/>
      <c r="AQ250" s="646"/>
      <c r="AR250" s="646"/>
      <c r="AS250" s="646"/>
      <c r="AT250" s="646"/>
      <c r="AU250" s="646"/>
      <c r="AV250" s="646"/>
      <c r="AW250" s="646"/>
      <c r="AX250" s="646"/>
      <c r="AY250" s="646"/>
      <c r="AZ250" s="646"/>
    </row>
    <row r="251" spans="23:52">
      <c r="W251" s="646"/>
      <c r="X251" s="646"/>
      <c r="Y251" s="646"/>
      <c r="Z251" s="646"/>
      <c r="AA251" s="646"/>
      <c r="AB251" s="646"/>
      <c r="AC251" s="646"/>
      <c r="AD251" s="646"/>
      <c r="AE251" s="646"/>
      <c r="AF251" s="646"/>
      <c r="AG251" s="646"/>
      <c r="AH251" s="646"/>
      <c r="AI251" s="646"/>
      <c r="AJ251" s="646"/>
      <c r="AK251" s="646"/>
      <c r="AL251" s="646"/>
      <c r="AM251" s="646"/>
      <c r="AN251" s="646"/>
      <c r="AO251" s="646"/>
      <c r="AP251" s="646"/>
      <c r="AQ251" s="646"/>
      <c r="AR251" s="646"/>
      <c r="AS251" s="646"/>
      <c r="AT251" s="646"/>
      <c r="AU251" s="646"/>
      <c r="AV251" s="646"/>
      <c r="AW251" s="646"/>
      <c r="AX251" s="646"/>
      <c r="AY251" s="646"/>
      <c r="AZ251" s="646"/>
    </row>
    <row r="252" spans="23:52">
      <c r="W252" s="646"/>
      <c r="X252" s="646"/>
      <c r="Y252" s="646"/>
      <c r="Z252" s="646"/>
      <c r="AA252" s="646"/>
      <c r="AB252" s="646"/>
      <c r="AC252" s="646"/>
      <c r="AD252" s="646"/>
      <c r="AE252" s="646"/>
      <c r="AF252" s="646"/>
      <c r="AG252" s="646"/>
      <c r="AH252" s="646"/>
      <c r="AI252" s="646"/>
      <c r="AJ252" s="646"/>
      <c r="AK252" s="646"/>
      <c r="AL252" s="646"/>
      <c r="AM252" s="646"/>
      <c r="AN252" s="646"/>
      <c r="AO252" s="646"/>
      <c r="AP252" s="646"/>
      <c r="AQ252" s="646"/>
      <c r="AR252" s="646"/>
      <c r="AS252" s="646"/>
      <c r="AT252" s="646"/>
      <c r="AU252" s="646"/>
      <c r="AV252" s="646"/>
      <c r="AW252" s="646"/>
      <c r="AX252" s="646"/>
      <c r="AY252" s="646"/>
      <c r="AZ252" s="646"/>
    </row>
    <row r="253" spans="23:52">
      <c r="W253" s="646"/>
      <c r="X253" s="646"/>
      <c r="Y253" s="646"/>
      <c r="Z253" s="646"/>
      <c r="AA253" s="646"/>
      <c r="AB253" s="646"/>
      <c r="AC253" s="646"/>
      <c r="AD253" s="646"/>
      <c r="AE253" s="646"/>
      <c r="AF253" s="646"/>
      <c r="AG253" s="646"/>
      <c r="AH253" s="646"/>
      <c r="AI253" s="646"/>
      <c r="AJ253" s="646"/>
      <c r="AK253" s="646"/>
      <c r="AL253" s="646"/>
      <c r="AM253" s="646"/>
      <c r="AN253" s="646"/>
      <c r="AO253" s="646"/>
      <c r="AP253" s="646"/>
      <c r="AQ253" s="646"/>
      <c r="AR253" s="646"/>
      <c r="AS253" s="646"/>
      <c r="AT253" s="646"/>
      <c r="AU253" s="646"/>
      <c r="AV253" s="646"/>
      <c r="AW253" s="646"/>
      <c r="AX253" s="646"/>
      <c r="AY253" s="646"/>
      <c r="AZ253" s="646"/>
    </row>
    <row r="254" spans="23:52">
      <c r="W254" s="646"/>
      <c r="X254" s="646"/>
      <c r="Y254" s="646"/>
      <c r="Z254" s="646"/>
      <c r="AA254" s="646"/>
      <c r="AB254" s="646"/>
      <c r="AC254" s="646"/>
      <c r="AD254" s="646"/>
      <c r="AE254" s="646"/>
      <c r="AF254" s="646"/>
      <c r="AG254" s="646"/>
      <c r="AH254" s="646"/>
      <c r="AI254" s="646"/>
      <c r="AJ254" s="646"/>
      <c r="AK254" s="646"/>
      <c r="AL254" s="646"/>
      <c r="AM254" s="646"/>
      <c r="AN254" s="646"/>
      <c r="AO254" s="646"/>
      <c r="AP254" s="646"/>
      <c r="AQ254" s="646"/>
      <c r="AR254" s="646"/>
      <c r="AS254" s="646"/>
      <c r="AT254" s="646"/>
      <c r="AU254" s="646"/>
      <c r="AV254" s="646"/>
      <c r="AW254" s="646"/>
      <c r="AX254" s="646"/>
      <c r="AY254" s="646"/>
      <c r="AZ254" s="646"/>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55" zoomScaleSheetLayoutView="100" zoomScalePageLayoutView="85" workbookViewId="0">
      <selection activeCell="K7" sqref="K7"/>
    </sheetView>
  </sheetViews>
  <sheetFormatPr defaultColWidth="11.7109375" defaultRowHeight="14.4"/>
  <cols>
    <col min="1" max="1" width="3.28515625" style="632" customWidth="1"/>
    <col min="2" max="2" width="3" style="632" customWidth="1"/>
    <col min="3" max="3" width="22.5703125" style="632" customWidth="1"/>
    <col min="4" max="4" width="12.140625" style="632" customWidth="1"/>
    <col min="5" max="9" width="11.7109375" style="632"/>
    <col min="10" max="10" width="11.7109375" style="632" customWidth="1"/>
    <col min="11" max="11" width="11.7109375" style="632"/>
    <col min="12" max="170" width="11.7109375" style="697"/>
    <col min="171" max="16384" width="11.7109375" style="632"/>
  </cols>
  <sheetData>
    <row r="1" spans="1:162" ht="58.5" customHeight="1">
      <c r="A1" s="864"/>
      <c r="B1" s="864"/>
      <c r="C1" s="864"/>
      <c r="D1" s="631" t="s">
        <v>407</v>
      </c>
      <c r="AK1" s="697" t="s">
        <v>561</v>
      </c>
    </row>
    <row r="2" spans="1:162" ht="11.25" customHeight="1">
      <c r="AK2" s="697" t="s">
        <v>561</v>
      </c>
    </row>
    <row r="3" spans="1:162" ht="15.6">
      <c r="B3" s="633" t="s">
        <v>201</v>
      </c>
      <c r="AK3" s="697" t="s">
        <v>561</v>
      </c>
    </row>
    <row r="4" spans="1:162">
      <c r="AK4" s="697" t="s">
        <v>561</v>
      </c>
    </row>
    <row r="5" spans="1:162">
      <c r="C5" s="683" t="s">
        <v>293</v>
      </c>
      <c r="AK5" s="697" t="s">
        <v>561</v>
      </c>
    </row>
    <row r="6" spans="1:162">
      <c r="AK6" s="697" t="s">
        <v>561</v>
      </c>
    </row>
    <row r="7" spans="1:162">
      <c r="AK7" s="697" t="s">
        <v>561</v>
      </c>
    </row>
    <row r="9" spans="1:162">
      <c r="M9" s="697">
        <v>1</v>
      </c>
      <c r="S9" s="697">
        <v>2</v>
      </c>
      <c r="V9" s="698"/>
      <c r="W9" s="698"/>
      <c r="Y9" s="697">
        <v>3</v>
      </c>
      <c r="AE9" s="697">
        <v>4</v>
      </c>
      <c r="AK9" s="697">
        <v>5</v>
      </c>
      <c r="AQ9" s="697">
        <v>6</v>
      </c>
      <c r="AT9" s="698"/>
      <c r="AU9" s="698"/>
      <c r="AW9" s="697">
        <v>7</v>
      </c>
      <c r="BC9" s="697">
        <v>8</v>
      </c>
      <c r="BF9" s="698"/>
      <c r="BG9" s="698"/>
      <c r="BI9" s="697">
        <v>9</v>
      </c>
      <c r="BO9" s="697">
        <v>10</v>
      </c>
      <c r="BU9" s="697">
        <v>11</v>
      </c>
      <c r="CA9" s="697">
        <v>12</v>
      </c>
      <c r="CG9" s="697">
        <v>13</v>
      </c>
      <c r="CM9" s="697">
        <v>14</v>
      </c>
      <c r="CP9" s="698"/>
      <c r="CQ9" s="698"/>
      <c r="CS9" s="697">
        <v>15</v>
      </c>
      <c r="CY9" s="697">
        <v>16</v>
      </c>
      <c r="DE9" s="697">
        <v>17</v>
      </c>
      <c r="DK9" s="697">
        <v>18</v>
      </c>
      <c r="DN9" s="698"/>
      <c r="DO9" s="698"/>
      <c r="DQ9" s="697">
        <v>19</v>
      </c>
      <c r="DW9" s="697">
        <v>20</v>
      </c>
      <c r="EC9" s="697">
        <v>21</v>
      </c>
      <c r="EI9" s="697">
        <v>22</v>
      </c>
      <c r="EL9" s="698"/>
      <c r="EM9" s="698"/>
      <c r="EO9" s="697">
        <v>23</v>
      </c>
      <c r="EU9" s="697">
        <v>24</v>
      </c>
    </row>
    <row r="10" spans="1:162">
      <c r="M10" s="699" t="s">
        <v>528</v>
      </c>
      <c r="N10" s="698"/>
      <c r="O10" s="698"/>
      <c r="P10" s="698"/>
      <c r="Q10" s="698" t="s">
        <v>509</v>
      </c>
      <c r="R10" s="698" t="s">
        <v>443</v>
      </c>
      <c r="S10" s="699" t="s">
        <v>529</v>
      </c>
      <c r="T10" s="698"/>
      <c r="U10" s="698"/>
      <c r="V10" s="698"/>
      <c r="W10" s="698" t="s">
        <v>509</v>
      </c>
      <c r="X10" s="698" t="s">
        <v>443</v>
      </c>
      <c r="Y10" s="699" t="s">
        <v>530</v>
      </c>
      <c r="Z10" s="698"/>
      <c r="AA10" s="698"/>
      <c r="AB10" s="698"/>
      <c r="AC10" s="698" t="s">
        <v>509</v>
      </c>
      <c r="AD10" s="698" t="s">
        <v>443</v>
      </c>
      <c r="AE10" s="699" t="s">
        <v>531</v>
      </c>
      <c r="AF10" s="698"/>
      <c r="AG10" s="698"/>
      <c r="AH10" s="698"/>
      <c r="AI10" s="698" t="s">
        <v>509</v>
      </c>
      <c r="AJ10" s="698" t="s">
        <v>443</v>
      </c>
      <c r="AK10" s="699" t="s">
        <v>508</v>
      </c>
      <c r="AL10" s="698"/>
      <c r="AM10" s="698"/>
      <c r="AN10" s="698"/>
      <c r="AO10" s="698" t="s">
        <v>509</v>
      </c>
      <c r="AP10" s="698" t="s">
        <v>443</v>
      </c>
      <c r="AQ10" s="699" t="s">
        <v>510</v>
      </c>
      <c r="AR10" s="698"/>
      <c r="AS10" s="698"/>
      <c r="AT10" s="698"/>
      <c r="AU10" s="698" t="s">
        <v>509</v>
      </c>
      <c r="AV10" s="698" t="s">
        <v>443</v>
      </c>
      <c r="AW10" s="699" t="s">
        <v>511</v>
      </c>
      <c r="AX10" s="698"/>
      <c r="AY10" s="698"/>
      <c r="AZ10" s="698"/>
      <c r="BA10" s="698" t="s">
        <v>509</v>
      </c>
      <c r="BB10" s="698" t="s">
        <v>443</v>
      </c>
      <c r="BC10" s="699" t="s">
        <v>512</v>
      </c>
      <c r="BD10" s="698"/>
      <c r="BE10" s="698"/>
      <c r="BF10" s="698"/>
      <c r="BG10" s="698" t="s">
        <v>509</v>
      </c>
      <c r="BH10" s="698" t="s">
        <v>443</v>
      </c>
      <c r="BI10" s="699" t="s">
        <v>513</v>
      </c>
      <c r="BJ10" s="698"/>
      <c r="BK10" s="698"/>
      <c r="BL10" s="698"/>
      <c r="BM10" s="698" t="s">
        <v>509</v>
      </c>
      <c r="BN10" s="698" t="s">
        <v>443</v>
      </c>
      <c r="BO10" s="699" t="s">
        <v>514</v>
      </c>
      <c r="BP10" s="698"/>
      <c r="BQ10" s="698"/>
      <c r="BR10" s="698"/>
      <c r="BS10" s="698" t="s">
        <v>509</v>
      </c>
      <c r="BT10" s="698" t="s">
        <v>443</v>
      </c>
      <c r="BU10" s="699" t="s">
        <v>515</v>
      </c>
      <c r="BV10" s="698"/>
      <c r="BW10" s="698"/>
      <c r="BX10" s="698"/>
      <c r="BY10" s="698" t="s">
        <v>509</v>
      </c>
      <c r="BZ10" s="698" t="s">
        <v>443</v>
      </c>
      <c r="CA10" s="699" t="s">
        <v>516</v>
      </c>
      <c r="CB10" s="698"/>
      <c r="CC10" s="698"/>
      <c r="CD10" s="698"/>
      <c r="CE10" s="698" t="s">
        <v>509</v>
      </c>
      <c r="CF10" s="698" t="s">
        <v>443</v>
      </c>
      <c r="CG10" s="699" t="s">
        <v>517</v>
      </c>
      <c r="CH10" s="698"/>
      <c r="CI10" s="698"/>
      <c r="CJ10" s="698"/>
      <c r="CK10" s="698" t="s">
        <v>509</v>
      </c>
      <c r="CL10" s="698" t="s">
        <v>443</v>
      </c>
      <c r="CM10" s="699" t="s">
        <v>518</v>
      </c>
      <c r="CN10" s="698"/>
      <c r="CO10" s="698"/>
      <c r="CP10" s="698"/>
      <c r="CQ10" s="698" t="s">
        <v>509</v>
      </c>
      <c r="CR10" s="698" t="s">
        <v>443</v>
      </c>
      <c r="CS10" s="699" t="s">
        <v>519</v>
      </c>
      <c r="CT10" s="698"/>
      <c r="CU10" s="698"/>
      <c r="CV10" s="698"/>
      <c r="CW10" s="698" t="s">
        <v>509</v>
      </c>
      <c r="CX10" s="698" t="s">
        <v>443</v>
      </c>
      <c r="CY10" s="699" t="s">
        <v>520</v>
      </c>
      <c r="CZ10" s="698"/>
      <c r="DA10" s="698"/>
      <c r="DB10" s="698"/>
      <c r="DC10" s="698" t="s">
        <v>509</v>
      </c>
      <c r="DD10" s="698" t="s">
        <v>443</v>
      </c>
      <c r="DE10" s="699" t="s">
        <v>521</v>
      </c>
      <c r="DF10" s="698"/>
      <c r="DG10" s="698"/>
      <c r="DH10" s="698"/>
      <c r="DI10" s="698" t="s">
        <v>509</v>
      </c>
      <c r="DJ10" s="698" t="s">
        <v>443</v>
      </c>
      <c r="DK10" s="699" t="s">
        <v>522</v>
      </c>
      <c r="DL10" s="698"/>
      <c r="DM10" s="698"/>
      <c r="DN10" s="698"/>
      <c r="DO10" s="698" t="s">
        <v>509</v>
      </c>
      <c r="DP10" s="698" t="s">
        <v>443</v>
      </c>
      <c r="DQ10" s="699" t="s">
        <v>550</v>
      </c>
      <c r="DR10" s="698"/>
      <c r="DS10" s="698"/>
      <c r="DT10" s="698"/>
      <c r="DU10" s="698" t="s">
        <v>509</v>
      </c>
      <c r="DV10" s="698" t="s">
        <v>443</v>
      </c>
      <c r="DW10" s="699" t="s">
        <v>523</v>
      </c>
      <c r="DX10" s="698"/>
      <c r="DY10" s="698"/>
      <c r="DZ10" s="698"/>
      <c r="EA10" s="698" t="s">
        <v>509</v>
      </c>
      <c r="EB10" s="698" t="s">
        <v>443</v>
      </c>
      <c r="EC10" s="699" t="s">
        <v>524</v>
      </c>
      <c r="ED10" s="698"/>
      <c r="EE10" s="698"/>
      <c r="EF10" s="698"/>
      <c r="EG10" s="698" t="s">
        <v>509</v>
      </c>
      <c r="EH10" s="698" t="s">
        <v>443</v>
      </c>
      <c r="EI10" s="699" t="s">
        <v>525</v>
      </c>
      <c r="EJ10" s="698"/>
      <c r="EK10" s="698"/>
      <c r="EL10" s="698"/>
      <c r="EM10" s="698" t="s">
        <v>509</v>
      </c>
      <c r="EN10" s="698" t="s">
        <v>443</v>
      </c>
      <c r="EO10" s="699" t="s">
        <v>526</v>
      </c>
      <c r="EP10" s="698"/>
      <c r="EQ10" s="698"/>
      <c r="ER10" s="698"/>
      <c r="ES10" s="698" t="s">
        <v>509</v>
      </c>
      <c r="ET10" s="698" t="s">
        <v>443</v>
      </c>
      <c r="EU10" s="699" t="s">
        <v>527</v>
      </c>
      <c r="EV10" s="698"/>
      <c r="EW10" s="698"/>
      <c r="EX10" s="698"/>
      <c r="EY10" s="698" t="s">
        <v>509</v>
      </c>
      <c r="EZ10" s="698" t="s">
        <v>443</v>
      </c>
      <c r="FA10" s="706"/>
      <c r="FF10" s="697" t="s">
        <v>443</v>
      </c>
    </row>
    <row r="11" spans="1:162">
      <c r="M11" s="698"/>
      <c r="N11" s="700" t="s">
        <v>454</v>
      </c>
      <c r="O11" s="700" t="s">
        <v>455</v>
      </c>
      <c r="P11" s="700" t="s">
        <v>456</v>
      </c>
      <c r="Q11" s="700" t="s">
        <v>745</v>
      </c>
      <c r="S11" s="698"/>
      <c r="T11" s="700" t="s">
        <v>454</v>
      </c>
      <c r="U11" s="700" t="s">
        <v>455</v>
      </c>
      <c r="V11" s="700" t="s">
        <v>456</v>
      </c>
      <c r="W11" s="700" t="s">
        <v>745</v>
      </c>
      <c r="Y11" s="698"/>
      <c r="Z11" s="700" t="s">
        <v>454</v>
      </c>
      <c r="AA11" s="700" t="s">
        <v>455</v>
      </c>
      <c r="AB11" s="700" t="s">
        <v>456</v>
      </c>
      <c r="AC11" s="700" t="s">
        <v>745</v>
      </c>
      <c r="AE11" s="698"/>
      <c r="AF11" s="700" t="s">
        <v>454</v>
      </c>
      <c r="AG11" s="700" t="s">
        <v>455</v>
      </c>
      <c r="AH11" s="700" t="s">
        <v>456</v>
      </c>
      <c r="AI11" s="700" t="s">
        <v>745</v>
      </c>
      <c r="AK11" s="698"/>
      <c r="AL11" s="700" t="s">
        <v>454</v>
      </c>
      <c r="AM11" s="700" t="s">
        <v>455</v>
      </c>
      <c r="AN11" s="700" t="s">
        <v>456</v>
      </c>
      <c r="AO11" s="700" t="s">
        <v>745</v>
      </c>
      <c r="AQ11" s="698"/>
      <c r="AR11" s="700" t="s">
        <v>454</v>
      </c>
      <c r="AS11" s="700" t="s">
        <v>455</v>
      </c>
      <c r="AT11" s="700" t="s">
        <v>456</v>
      </c>
      <c r="AU11" s="700" t="s">
        <v>745</v>
      </c>
      <c r="AW11" s="698"/>
      <c r="AX11" s="700" t="s">
        <v>454</v>
      </c>
      <c r="AY11" s="700" t="s">
        <v>455</v>
      </c>
      <c r="AZ11" s="700" t="s">
        <v>456</v>
      </c>
      <c r="BA11" s="700" t="s">
        <v>745</v>
      </c>
      <c r="BC11" s="698"/>
      <c r="BD11" s="700" t="s">
        <v>454</v>
      </c>
      <c r="BE11" s="700" t="s">
        <v>455</v>
      </c>
      <c r="BF11" s="700" t="s">
        <v>456</v>
      </c>
      <c r="BG11" s="700" t="s">
        <v>745</v>
      </c>
      <c r="BI11" s="698"/>
      <c r="BJ11" s="700" t="s">
        <v>454</v>
      </c>
      <c r="BK11" s="700" t="s">
        <v>455</v>
      </c>
      <c r="BL11" s="700" t="s">
        <v>456</v>
      </c>
      <c r="BM11" s="700" t="s">
        <v>745</v>
      </c>
      <c r="BO11" s="698"/>
      <c r="BP11" s="700" t="s">
        <v>454</v>
      </c>
      <c r="BQ11" s="700" t="s">
        <v>455</v>
      </c>
      <c r="BR11" s="700" t="s">
        <v>456</v>
      </c>
      <c r="BS11" s="700" t="s">
        <v>745</v>
      </c>
      <c r="BU11" s="698"/>
      <c r="BV11" s="700" t="s">
        <v>454</v>
      </c>
      <c r="BW11" s="700" t="s">
        <v>455</v>
      </c>
      <c r="BX11" s="700" t="s">
        <v>456</v>
      </c>
      <c r="BY11" s="700" t="s">
        <v>745</v>
      </c>
      <c r="CA11" s="698"/>
      <c r="CB11" s="700" t="s">
        <v>454</v>
      </c>
      <c r="CC11" s="700" t="s">
        <v>455</v>
      </c>
      <c r="CD11" s="700" t="s">
        <v>456</v>
      </c>
      <c r="CE11" s="700" t="s">
        <v>745</v>
      </c>
      <c r="CG11" s="698"/>
      <c r="CH11" s="700" t="s">
        <v>454</v>
      </c>
      <c r="CI11" s="700" t="s">
        <v>455</v>
      </c>
      <c r="CJ11" s="700" t="s">
        <v>456</v>
      </c>
      <c r="CK11" s="700" t="s">
        <v>745</v>
      </c>
      <c r="CM11" s="698"/>
      <c r="CN11" s="700" t="s">
        <v>454</v>
      </c>
      <c r="CO11" s="700" t="s">
        <v>455</v>
      </c>
      <c r="CP11" s="700" t="s">
        <v>456</v>
      </c>
      <c r="CQ11" s="700" t="s">
        <v>745</v>
      </c>
      <c r="CS11" s="698"/>
      <c r="CT11" s="700" t="s">
        <v>454</v>
      </c>
      <c r="CU11" s="700" t="s">
        <v>455</v>
      </c>
      <c r="CV11" s="700" t="s">
        <v>456</v>
      </c>
      <c r="CW11" s="700" t="s">
        <v>745</v>
      </c>
      <c r="CY11" s="698"/>
      <c r="CZ11" s="700" t="s">
        <v>453</v>
      </c>
      <c r="DA11" s="700" t="s">
        <v>454</v>
      </c>
      <c r="DB11" s="700" t="s">
        <v>455</v>
      </c>
      <c r="DC11" s="700" t="s">
        <v>456</v>
      </c>
      <c r="DD11" s="697" t="s">
        <v>745</v>
      </c>
      <c r="DE11" s="698"/>
      <c r="DF11" s="700"/>
      <c r="DG11" s="700" t="s">
        <v>454</v>
      </c>
      <c r="DH11" s="700" t="s">
        <v>455</v>
      </c>
      <c r="DI11" s="700" t="s">
        <v>456</v>
      </c>
      <c r="DJ11" s="697" t="s">
        <v>745</v>
      </c>
      <c r="DK11" s="698"/>
      <c r="DL11" s="700" t="s">
        <v>454</v>
      </c>
      <c r="DM11" s="700" t="s">
        <v>455</v>
      </c>
      <c r="DN11" s="700" t="s">
        <v>456</v>
      </c>
      <c r="DO11" s="700" t="s">
        <v>745</v>
      </c>
      <c r="DQ11" s="698"/>
      <c r="DR11" s="700" t="s">
        <v>454</v>
      </c>
      <c r="DS11" s="700" t="s">
        <v>455</v>
      </c>
      <c r="DT11" s="700" t="s">
        <v>456</v>
      </c>
      <c r="DU11" s="700" t="s">
        <v>745</v>
      </c>
      <c r="DW11" s="698"/>
      <c r="DX11" s="700" t="s">
        <v>454</v>
      </c>
      <c r="DY11" s="700" t="s">
        <v>455</v>
      </c>
      <c r="DZ11" s="700" t="s">
        <v>456</v>
      </c>
      <c r="EA11" s="700" t="s">
        <v>745</v>
      </c>
      <c r="EC11" s="698"/>
      <c r="ED11" s="700" t="s">
        <v>454</v>
      </c>
      <c r="EE11" s="700" t="s">
        <v>455</v>
      </c>
      <c r="EF11" s="700" t="s">
        <v>456</v>
      </c>
      <c r="EG11" s="700" t="s">
        <v>745</v>
      </c>
      <c r="EI11" s="698"/>
      <c r="EJ11" s="700" t="s">
        <v>454</v>
      </c>
      <c r="EK11" s="700" t="s">
        <v>455</v>
      </c>
      <c r="EL11" s="700" t="s">
        <v>456</v>
      </c>
      <c r="EM11" s="700" t="s">
        <v>745</v>
      </c>
      <c r="EO11" s="698"/>
      <c r="EP11" s="700" t="s">
        <v>454</v>
      </c>
      <c r="EQ11" s="700" t="s">
        <v>455</v>
      </c>
      <c r="ER11" s="700" t="s">
        <v>456</v>
      </c>
      <c r="ES11" s="700" t="s">
        <v>745</v>
      </c>
      <c r="EU11" s="698"/>
      <c r="EV11" s="700" t="s">
        <v>454</v>
      </c>
      <c r="EW11" s="700" t="s">
        <v>455</v>
      </c>
      <c r="EX11" s="700" t="s">
        <v>456</v>
      </c>
      <c r="EY11" s="700" t="s">
        <v>745</v>
      </c>
    </row>
    <row r="12" spans="1:162">
      <c r="M12" s="701">
        <v>1</v>
      </c>
      <c r="N12" s="702">
        <v>60.698820178571431</v>
      </c>
      <c r="O12" s="702">
        <v>118.30029422619047</v>
      </c>
      <c r="P12" s="703">
        <v>124.19683363095237</v>
      </c>
      <c r="Q12" s="698">
        <v>140.09851797619046</v>
      </c>
      <c r="S12" s="701">
        <v>1</v>
      </c>
      <c r="T12" s="702">
        <v>7.7380952380952381</v>
      </c>
      <c r="U12" s="702">
        <v>8.2738095238095237</v>
      </c>
      <c r="V12" s="703">
        <v>10.112500000000001</v>
      </c>
      <c r="W12" s="698">
        <v>9.7624999999999993</v>
      </c>
      <c r="Y12" s="701">
        <v>1</v>
      </c>
      <c r="Z12" s="702">
        <v>26.495153999999999</v>
      </c>
      <c r="AA12" s="702">
        <v>26.193480000000001</v>
      </c>
      <c r="AB12" s="703">
        <v>88.78642518292682</v>
      </c>
      <c r="AC12" s="241">
        <v>81.709419876543208</v>
      </c>
      <c r="AD12" s="241"/>
      <c r="AE12" s="701">
        <v>1</v>
      </c>
      <c r="AF12" s="702">
        <v>21.888805773809526</v>
      </c>
      <c r="AG12" s="702">
        <v>33.708409166666662</v>
      </c>
      <c r="AH12" s="703">
        <v>93.88996232142857</v>
      </c>
      <c r="AI12" s="241">
        <v>65.894647083333339</v>
      </c>
      <c r="AK12" s="701">
        <v>1</v>
      </c>
      <c r="AL12" s="702">
        <v>71.095839285714291</v>
      </c>
      <c r="AM12" s="702">
        <v>79.502595238095225</v>
      </c>
      <c r="AN12" s="703">
        <v>220.38591666666665</v>
      </c>
      <c r="AO12" s="698">
        <v>217.47739285714283</v>
      </c>
      <c r="AQ12" s="701">
        <v>1</v>
      </c>
      <c r="AR12" s="702">
        <v>42.987708333333337</v>
      </c>
      <c r="AS12" s="702">
        <v>32.061190476190475</v>
      </c>
      <c r="AT12" s="703">
        <v>94.755714285714276</v>
      </c>
      <c r="AU12" s="698">
        <v>95.694821428571416</v>
      </c>
      <c r="AW12" s="701">
        <v>1</v>
      </c>
      <c r="AX12" s="702">
        <v>1.4930714285714286</v>
      </c>
      <c r="AY12" s="702">
        <v>1.6364285714285716</v>
      </c>
      <c r="AZ12" s="703">
        <v>1.7492857142857143</v>
      </c>
      <c r="BA12" s="698">
        <v>2.2077142857142857</v>
      </c>
      <c r="BC12" s="701">
        <v>1</v>
      </c>
      <c r="BD12" s="702">
        <v>11.543928571428571</v>
      </c>
      <c r="BE12" s="702">
        <v>16.241071428571431</v>
      </c>
      <c r="BF12" s="703">
        <v>33.761309523809523</v>
      </c>
      <c r="BG12" s="698">
        <v>29.299405714285715</v>
      </c>
      <c r="BI12" s="701">
        <v>1</v>
      </c>
      <c r="BJ12" s="702">
        <v>53.00595238095238</v>
      </c>
      <c r="BK12" s="702">
        <v>94.875</v>
      </c>
      <c r="BL12" s="703">
        <v>162.24404761904762</v>
      </c>
      <c r="BM12" s="698">
        <v>132.44047619047618</v>
      </c>
      <c r="BO12" s="701">
        <v>1</v>
      </c>
      <c r="BP12" s="702">
        <v>8.6220238095238084</v>
      </c>
      <c r="BQ12" s="702">
        <v>8.081547619047619</v>
      </c>
      <c r="BR12" s="703">
        <v>39.466071428571432</v>
      </c>
      <c r="BS12" s="698">
        <v>25.172619047619047</v>
      </c>
      <c r="BU12" s="701">
        <v>1</v>
      </c>
      <c r="BV12" s="702">
        <v>45.740059523809521</v>
      </c>
      <c r="BW12" s="702">
        <v>22.387202380952381</v>
      </c>
      <c r="BX12" s="703">
        <v>27.354583333333331</v>
      </c>
      <c r="BY12" s="698">
        <v>65.462916666666672</v>
      </c>
      <c r="CA12" s="701">
        <v>1</v>
      </c>
      <c r="CB12" s="702">
        <v>109.58663999999999</v>
      </c>
      <c r="CC12" s="702">
        <v>147.1565457142857</v>
      </c>
      <c r="CD12" s="703">
        <v>268.89191285714287</v>
      </c>
      <c r="CE12" s="698">
        <v>523.61036000000001</v>
      </c>
      <c r="CG12" s="701">
        <v>1</v>
      </c>
      <c r="CH12" s="702">
        <v>102.98333333333333</v>
      </c>
      <c r="CI12" s="702">
        <v>66.146488095238098</v>
      </c>
      <c r="CJ12" s="703">
        <v>124.38279761904761</v>
      </c>
      <c r="CK12" s="698">
        <v>224.255</v>
      </c>
      <c r="CM12" s="701">
        <v>1</v>
      </c>
      <c r="CN12" s="702">
        <v>65.27320238095237</v>
      </c>
      <c r="CO12" s="702">
        <v>128.53054166666666</v>
      </c>
      <c r="CP12" s="703">
        <v>290.99485119047614</v>
      </c>
      <c r="CQ12" s="698">
        <v>201.61364880952382</v>
      </c>
      <c r="CS12" s="701">
        <v>1</v>
      </c>
      <c r="CT12" s="702">
        <v>28.413690476190474</v>
      </c>
      <c r="CU12" s="702">
        <v>34.904761904761905</v>
      </c>
      <c r="CV12" s="703">
        <v>113.12142857142858</v>
      </c>
      <c r="CW12" s="698">
        <v>95.520833333333329</v>
      </c>
      <c r="CY12" s="701">
        <v>1</v>
      </c>
      <c r="CZ12" s="702">
        <v>0</v>
      </c>
      <c r="DA12" s="702">
        <v>0</v>
      </c>
      <c r="DB12" s="703">
        <v>0</v>
      </c>
      <c r="DC12" s="698">
        <v>0</v>
      </c>
      <c r="DD12" s="697">
        <v>0.308</v>
      </c>
      <c r="DE12" s="701"/>
      <c r="DF12" s="701">
        <v>1</v>
      </c>
      <c r="DG12" s="702">
        <v>0</v>
      </c>
      <c r="DH12" s="703">
        <v>0</v>
      </c>
      <c r="DI12" s="698">
        <v>0</v>
      </c>
      <c r="DJ12" s="697">
        <v>0</v>
      </c>
      <c r="DK12" s="701">
        <v>1</v>
      </c>
      <c r="DL12" s="702">
        <v>1.83</v>
      </c>
      <c r="DM12" s="702">
        <v>0.80700000000000005</v>
      </c>
      <c r="DN12" s="703">
        <v>1.907</v>
      </c>
      <c r="DO12" s="698">
        <v>0.63</v>
      </c>
      <c r="DQ12" s="701">
        <v>1</v>
      </c>
      <c r="DR12" s="702">
        <v>12.151369047619047</v>
      </c>
      <c r="DS12" s="702">
        <v>11.095357142857143</v>
      </c>
      <c r="DT12" s="703">
        <v>9.5889285714285712</v>
      </c>
      <c r="DU12" s="698">
        <v>10.659880952380952</v>
      </c>
      <c r="DW12" s="701">
        <v>1</v>
      </c>
      <c r="DX12" s="702">
        <v>1.4788630952380952</v>
      </c>
      <c r="DY12" s="702">
        <v>0.82545238095238094</v>
      </c>
      <c r="DZ12" s="703">
        <v>1.3617321428571429</v>
      </c>
      <c r="EA12" s="698">
        <v>1.417875</v>
      </c>
      <c r="EC12" s="701">
        <v>1</v>
      </c>
      <c r="ED12" s="702">
        <v>4.6622222222222218</v>
      </c>
      <c r="EE12" s="702">
        <v>0.25</v>
      </c>
      <c r="EF12" s="703">
        <v>0.82499999999999996</v>
      </c>
      <c r="EG12" s="698">
        <v>3.8852380952380954</v>
      </c>
      <c r="EI12" s="701">
        <v>1</v>
      </c>
      <c r="EJ12" s="702">
        <v>0.13</v>
      </c>
      <c r="EK12" s="702">
        <v>0.29228571428571426</v>
      </c>
      <c r="EL12" s="703">
        <v>0.24</v>
      </c>
      <c r="EM12" s="698">
        <v>0.372</v>
      </c>
      <c r="EO12" s="701">
        <v>1</v>
      </c>
      <c r="EP12" s="702">
        <v>4.1154285714285717</v>
      </c>
      <c r="EQ12" s="702">
        <v>5.826714285714286</v>
      </c>
      <c r="ER12" s="703">
        <v>1.6685714285714286</v>
      </c>
      <c r="ES12" s="698">
        <v>10.486857142857144</v>
      </c>
      <c r="EU12" s="701">
        <v>1</v>
      </c>
      <c r="EV12" s="702">
        <v>0.25</v>
      </c>
      <c r="EW12" s="702">
        <v>0.25</v>
      </c>
      <c r="EX12" s="703">
        <v>0.25</v>
      </c>
      <c r="EY12" s="698">
        <v>0.25</v>
      </c>
    </row>
    <row r="13" spans="1:162">
      <c r="M13" s="701">
        <v>2</v>
      </c>
      <c r="N13" s="702">
        <v>86.629251130952369</v>
      </c>
      <c r="O13" s="702">
        <v>87.559650773809523</v>
      </c>
      <c r="P13" s="703">
        <v>142.48386916666666</v>
      </c>
      <c r="Q13" s="698">
        <v>148.1922913095238</v>
      </c>
      <c r="S13" s="701">
        <v>2</v>
      </c>
      <c r="T13" s="702">
        <v>5.105952380952381</v>
      </c>
      <c r="U13" s="702">
        <v>5.1898809523809524</v>
      </c>
      <c r="V13" s="703">
        <v>10.614880952380952</v>
      </c>
      <c r="W13" s="698">
        <v>9.966666666666665</v>
      </c>
      <c r="Y13" s="701">
        <v>2</v>
      </c>
      <c r="Z13" s="702">
        <v>21.311193809523811</v>
      </c>
      <c r="AA13" s="702">
        <v>47.827152711864407</v>
      </c>
      <c r="AB13" s="703">
        <v>76.312980848484841</v>
      </c>
      <c r="AC13" s="241">
        <v>50.203965217391307</v>
      </c>
      <c r="AD13" s="241"/>
      <c r="AE13" s="701">
        <v>2</v>
      </c>
      <c r="AF13" s="702">
        <v>52.070680773809521</v>
      </c>
      <c r="AG13" s="702">
        <v>25.991475000000001</v>
      </c>
      <c r="AH13" s="703">
        <v>112.34464339285714</v>
      </c>
      <c r="AI13" s="241">
        <v>47.158423749999997</v>
      </c>
      <c r="AK13" s="701">
        <v>2</v>
      </c>
      <c r="AL13" s="702">
        <v>56.996488095238092</v>
      </c>
      <c r="AM13" s="702">
        <v>82.984999999999999</v>
      </c>
      <c r="AN13" s="703">
        <v>126.21670833333332</v>
      </c>
      <c r="AO13" s="698">
        <v>124.40014285714285</v>
      </c>
      <c r="AQ13" s="701">
        <v>2</v>
      </c>
      <c r="AR13" s="702">
        <v>27.815761904761906</v>
      </c>
      <c r="AS13" s="702">
        <v>34.565595238095234</v>
      </c>
      <c r="AT13" s="703">
        <v>78.50595238095238</v>
      </c>
      <c r="AU13" s="698">
        <v>60.187053571428564</v>
      </c>
      <c r="AW13" s="701">
        <v>2</v>
      </c>
      <c r="AX13" s="702">
        <v>4.3837142857142855</v>
      </c>
      <c r="AY13" s="702">
        <v>1.4351428571428573</v>
      </c>
      <c r="AZ13" s="703">
        <v>2.2167142857142861</v>
      </c>
      <c r="BA13" s="698">
        <v>1.5207142857142857</v>
      </c>
      <c r="BC13" s="701">
        <v>2</v>
      </c>
      <c r="BD13" s="702">
        <v>10.532738095238095</v>
      </c>
      <c r="BE13" s="702">
        <v>13.111309523809522</v>
      </c>
      <c r="BF13" s="703">
        <v>23.841369047619047</v>
      </c>
      <c r="BG13" s="698">
        <v>20.934522857142856</v>
      </c>
      <c r="BI13" s="701">
        <v>2</v>
      </c>
      <c r="BJ13" s="702">
        <v>85.154761904761898</v>
      </c>
      <c r="BK13" s="702">
        <v>63.964285714285708</v>
      </c>
      <c r="BL13" s="703">
        <v>129.33928571428569</v>
      </c>
      <c r="BM13" s="698">
        <v>114.32142857142856</v>
      </c>
      <c r="BO13" s="701">
        <v>2</v>
      </c>
      <c r="BP13" s="702">
        <v>16.483333333333334</v>
      </c>
      <c r="BQ13" s="702">
        <v>8.3011904761904756</v>
      </c>
      <c r="BR13" s="703">
        <v>28.008928571428569</v>
      </c>
      <c r="BS13" s="698">
        <v>18.363690476190477</v>
      </c>
      <c r="BU13" s="701">
        <v>2</v>
      </c>
      <c r="BV13" s="702">
        <v>44.318214285714284</v>
      </c>
      <c r="BW13" s="702">
        <v>20.756666666666664</v>
      </c>
      <c r="BX13" s="703">
        <v>26.725535714285712</v>
      </c>
      <c r="BY13" s="698">
        <v>75.157380952380947</v>
      </c>
      <c r="CA13" s="701">
        <v>2</v>
      </c>
      <c r="CB13" s="702">
        <v>122.15352142857144</v>
      </c>
      <c r="CC13" s="702">
        <v>134.57828428571426</v>
      </c>
      <c r="CD13" s="703">
        <v>293.80802285714287</v>
      </c>
      <c r="CE13" s="698">
        <v>321.32898999999998</v>
      </c>
      <c r="CG13" s="701">
        <v>2</v>
      </c>
      <c r="CH13" s="702">
        <v>187.8260714285714</v>
      </c>
      <c r="CI13" s="702">
        <v>61.672023809523807</v>
      </c>
      <c r="CJ13" s="703">
        <v>142.93428571428569</v>
      </c>
      <c r="CK13" s="698">
        <v>280.94928571428568</v>
      </c>
      <c r="CM13" s="701">
        <v>2</v>
      </c>
      <c r="CN13" s="702">
        <v>96.07277380952381</v>
      </c>
      <c r="CO13" s="702">
        <v>81.639958333333325</v>
      </c>
      <c r="CP13" s="703">
        <v>243.20825595238094</v>
      </c>
      <c r="CQ13" s="698">
        <v>145.3066975595238</v>
      </c>
      <c r="CS13" s="701">
        <v>2</v>
      </c>
      <c r="CT13" s="702">
        <v>29.998214285714283</v>
      </c>
      <c r="CU13" s="702">
        <v>28.24345238095238</v>
      </c>
      <c r="CV13" s="703">
        <v>104.79583333333333</v>
      </c>
      <c r="CW13" s="698">
        <v>55.897023809523809</v>
      </c>
      <c r="CY13" s="701">
        <v>2</v>
      </c>
      <c r="CZ13" s="702">
        <v>0</v>
      </c>
      <c r="DA13" s="702">
        <v>0</v>
      </c>
      <c r="DB13" s="703">
        <v>0</v>
      </c>
      <c r="DC13" s="698">
        <v>0</v>
      </c>
      <c r="DD13" s="697">
        <v>0.308</v>
      </c>
      <c r="DE13" s="701"/>
      <c r="DF13" s="701">
        <v>2</v>
      </c>
      <c r="DG13" s="702">
        <v>0</v>
      </c>
      <c r="DH13" s="703">
        <v>0</v>
      </c>
      <c r="DI13" s="698">
        <v>0</v>
      </c>
      <c r="DJ13" s="697">
        <v>0</v>
      </c>
      <c r="DK13" s="701">
        <v>2</v>
      </c>
      <c r="DL13" s="702">
        <v>1.83</v>
      </c>
      <c r="DM13" s="702">
        <v>0.80700000000000005</v>
      </c>
      <c r="DN13" s="703">
        <v>1.907</v>
      </c>
      <c r="DO13" s="698">
        <v>0.63</v>
      </c>
      <c r="DQ13" s="701">
        <v>2</v>
      </c>
      <c r="DR13" s="702">
        <v>15.379761904761905</v>
      </c>
      <c r="DS13" s="702">
        <v>10.665119047619047</v>
      </c>
      <c r="DT13" s="703">
        <v>8.8026785714285722</v>
      </c>
      <c r="DU13" s="698">
        <v>10.985714285714286</v>
      </c>
      <c r="DW13" s="701">
        <v>2</v>
      </c>
      <c r="DX13" s="702">
        <v>1.464172619047619</v>
      </c>
      <c r="DY13" s="702">
        <v>0.81767261904761912</v>
      </c>
      <c r="DZ13" s="703">
        <v>1.4181845238095239</v>
      </c>
      <c r="EA13" s="698">
        <v>1.5238809523809524</v>
      </c>
      <c r="EC13" s="701">
        <v>2</v>
      </c>
      <c r="ED13" s="702">
        <v>8.1722222222222225</v>
      </c>
      <c r="EE13" s="702">
        <v>0.28000000000000003</v>
      </c>
      <c r="EF13" s="703">
        <v>3.1924999999999999</v>
      </c>
      <c r="EG13" s="698">
        <v>6.3609090909090913</v>
      </c>
      <c r="EI13" s="701">
        <v>2</v>
      </c>
      <c r="EJ13" s="702">
        <v>0.13</v>
      </c>
      <c r="EK13" s="702">
        <v>0.25800000000000001</v>
      </c>
      <c r="EL13" s="703">
        <v>0.24</v>
      </c>
      <c r="EM13" s="698">
        <v>0.372</v>
      </c>
      <c r="EO13" s="701">
        <v>2</v>
      </c>
      <c r="EP13" s="702">
        <v>7.0179485714285716</v>
      </c>
      <c r="EQ13" s="702">
        <v>5.5138571428571428</v>
      </c>
      <c r="ER13" s="703">
        <v>1.9</v>
      </c>
      <c r="ES13" s="698">
        <v>10.226892857142856</v>
      </c>
      <c r="EU13" s="701">
        <v>2</v>
      </c>
      <c r="EV13" s="702">
        <v>0.25</v>
      </c>
      <c r="EW13" s="702">
        <v>0.25</v>
      </c>
      <c r="EX13" s="703">
        <v>0.25</v>
      </c>
      <c r="EY13" s="698">
        <v>0.25</v>
      </c>
    </row>
    <row r="14" spans="1:162">
      <c r="M14" s="701">
        <v>3</v>
      </c>
      <c r="N14" s="702">
        <v>105.94555714285713</v>
      </c>
      <c r="O14" s="702">
        <v>55.700483452380951</v>
      </c>
      <c r="P14" s="703">
        <v>134.36388583333334</v>
      </c>
      <c r="Q14" s="698">
        <v>126.37637035714286</v>
      </c>
      <c r="S14" s="701">
        <v>3</v>
      </c>
      <c r="T14" s="702">
        <v>3.7202380952380953</v>
      </c>
      <c r="U14" s="702">
        <v>2.8779761904761902</v>
      </c>
      <c r="V14" s="703">
        <v>10.901785714285715</v>
      </c>
      <c r="W14" s="698">
        <v>12.827380952380953</v>
      </c>
      <c r="Y14" s="701">
        <v>3</v>
      </c>
      <c r="Z14" s="702">
        <v>18.4038</v>
      </c>
      <c r="AA14" s="702">
        <v>38.682492142857143</v>
      </c>
      <c r="AB14" s="703">
        <v>69.859485106382976</v>
      </c>
      <c r="AC14" s="241">
        <v>45.818493827160495</v>
      </c>
      <c r="AD14" s="241"/>
      <c r="AE14" s="701">
        <v>3</v>
      </c>
      <c r="AF14" s="702">
        <v>49.971241190476185</v>
      </c>
      <c r="AG14" s="702">
        <v>41.108489404761904</v>
      </c>
      <c r="AH14" s="703">
        <v>94.990901309523807</v>
      </c>
      <c r="AI14" s="241">
        <v>51.663300299757623</v>
      </c>
      <c r="AK14" s="701">
        <v>3</v>
      </c>
      <c r="AL14" s="702">
        <v>56.568488095238095</v>
      </c>
      <c r="AM14" s="702">
        <v>85.672571428571416</v>
      </c>
      <c r="AN14" s="703">
        <v>156.85198214285714</v>
      </c>
      <c r="AO14" s="698">
        <v>95.204273809523812</v>
      </c>
      <c r="AQ14" s="701">
        <v>3</v>
      </c>
      <c r="AR14" s="702">
        <v>25.573815476190475</v>
      </c>
      <c r="AS14" s="702">
        <v>53.262976190476188</v>
      </c>
      <c r="AT14" s="703">
        <v>86.924410714285699</v>
      </c>
      <c r="AU14" s="698">
        <v>27.363720238095237</v>
      </c>
      <c r="AW14" s="701">
        <v>3</v>
      </c>
      <c r="AX14" s="702">
        <v>3.4293214285714289</v>
      </c>
      <c r="AY14" s="702">
        <v>1.1248571428571428</v>
      </c>
      <c r="AZ14" s="703">
        <v>1.9202857142857144</v>
      </c>
      <c r="BA14" s="698">
        <v>4.088857142857143</v>
      </c>
      <c r="BC14" s="701">
        <v>3</v>
      </c>
      <c r="BD14" s="702">
        <v>12.373452380952379</v>
      </c>
      <c r="BE14" s="702">
        <v>14.104166666666668</v>
      </c>
      <c r="BF14" s="703">
        <v>33.810119047619047</v>
      </c>
      <c r="BG14" s="698">
        <v>19.824404761904759</v>
      </c>
      <c r="BI14" s="701">
        <v>3</v>
      </c>
      <c r="BJ14" s="702">
        <v>79.166666666666657</v>
      </c>
      <c r="BK14" s="702">
        <v>66.660714285714278</v>
      </c>
      <c r="BL14" s="703">
        <v>143.57142857142856</v>
      </c>
      <c r="BM14" s="698">
        <v>156.94642857142858</v>
      </c>
      <c r="BO14" s="701">
        <v>3</v>
      </c>
      <c r="BP14" s="702">
        <v>14.234523809523807</v>
      </c>
      <c r="BQ14" s="702">
        <v>13.864285714285716</v>
      </c>
      <c r="BR14" s="703">
        <v>30.448214285714286</v>
      </c>
      <c r="BS14" s="698">
        <v>24.808333333333334</v>
      </c>
      <c r="BU14" s="701">
        <v>3</v>
      </c>
      <c r="BV14" s="702">
        <v>55.868511904761903</v>
      </c>
      <c r="BW14" s="702">
        <v>14.163095238095238</v>
      </c>
      <c r="BX14" s="703">
        <v>25.479166666666668</v>
      </c>
      <c r="BY14" s="698">
        <v>57.009285714285717</v>
      </c>
      <c r="CA14" s="701">
        <v>3</v>
      </c>
      <c r="CB14" s="702">
        <v>177.14736428571427</v>
      </c>
      <c r="CC14" s="702">
        <v>104.53121857142855</v>
      </c>
      <c r="CD14" s="703">
        <v>303.6156157142857</v>
      </c>
      <c r="CE14" s="698">
        <v>269.22536142857143</v>
      </c>
      <c r="CG14" s="701">
        <v>3</v>
      </c>
      <c r="CH14" s="702">
        <v>218.00309523809526</v>
      </c>
      <c r="CI14" s="702">
        <v>46.159166666666664</v>
      </c>
      <c r="CJ14" s="703">
        <v>97.427499999999995</v>
      </c>
      <c r="CK14" s="698">
        <v>302.52779761904765</v>
      </c>
      <c r="CM14" s="701">
        <v>3</v>
      </c>
      <c r="CN14" s="702">
        <v>98.782499999999999</v>
      </c>
      <c r="CO14" s="702">
        <v>71.090196428571417</v>
      </c>
      <c r="CP14" s="703">
        <v>269.28491071428567</v>
      </c>
      <c r="CQ14" s="698">
        <v>173.61822184523808</v>
      </c>
      <c r="CS14" s="701">
        <v>3</v>
      </c>
      <c r="CT14" s="702">
        <v>55.5625</v>
      </c>
      <c r="CU14" s="702">
        <v>26.6875</v>
      </c>
      <c r="CV14" s="703">
        <v>119.06607142857142</v>
      </c>
      <c r="CW14" s="698">
        <v>41.173214285714288</v>
      </c>
      <c r="CY14" s="701">
        <v>3</v>
      </c>
      <c r="CZ14" s="702">
        <v>0</v>
      </c>
      <c r="DA14" s="702">
        <v>0</v>
      </c>
      <c r="DB14" s="703">
        <v>0</v>
      </c>
      <c r="DC14" s="698">
        <v>0</v>
      </c>
      <c r="DD14" s="697">
        <v>0.308</v>
      </c>
      <c r="DE14" s="701"/>
      <c r="DF14" s="701">
        <v>3</v>
      </c>
      <c r="DG14" s="702">
        <v>0</v>
      </c>
      <c r="DH14" s="703">
        <v>0</v>
      </c>
      <c r="DI14" s="698">
        <v>0</v>
      </c>
      <c r="DJ14" s="697">
        <v>0</v>
      </c>
      <c r="DK14" s="701">
        <v>3</v>
      </c>
      <c r="DL14" s="702">
        <v>1.83</v>
      </c>
      <c r="DM14" s="702">
        <v>0.80700000000000005</v>
      </c>
      <c r="DN14" s="703">
        <v>1.907</v>
      </c>
      <c r="DO14" s="698">
        <v>0.63</v>
      </c>
      <c r="DQ14" s="701">
        <v>3</v>
      </c>
      <c r="DR14" s="702">
        <v>13.331011904761905</v>
      </c>
      <c r="DS14" s="702">
        <v>10.825059523809525</v>
      </c>
      <c r="DT14" s="703">
        <v>8.9224404761904754</v>
      </c>
      <c r="DU14" s="698">
        <v>11.73267857142857</v>
      </c>
      <c r="DW14" s="701">
        <v>3</v>
      </c>
      <c r="DX14" s="702">
        <v>1.4559285714285715</v>
      </c>
      <c r="DY14" s="702">
        <v>0.90885714285714292</v>
      </c>
      <c r="DZ14" s="703">
        <v>1.4368571428571428</v>
      </c>
      <c r="EA14" s="698">
        <v>1.4956785714285716</v>
      </c>
      <c r="EC14" s="701">
        <v>3</v>
      </c>
      <c r="ED14" s="702">
        <v>4.5495238095238095</v>
      </c>
      <c r="EE14" s="702">
        <v>4.4933333333333332</v>
      </c>
      <c r="EF14" s="703">
        <v>3.1475</v>
      </c>
      <c r="EG14" s="698">
        <v>3.7113999999999998</v>
      </c>
      <c r="EI14" s="701">
        <v>3</v>
      </c>
      <c r="EJ14" s="702">
        <v>0.13</v>
      </c>
      <c r="EK14" s="702">
        <v>0.25800000000000001</v>
      </c>
      <c r="EL14" s="703">
        <v>0.24</v>
      </c>
      <c r="EM14" s="698">
        <v>0.372</v>
      </c>
      <c r="EO14" s="701">
        <v>3</v>
      </c>
      <c r="EP14" s="702">
        <v>2.5666171428571429</v>
      </c>
      <c r="EQ14" s="702">
        <v>1.2242857142857144</v>
      </c>
      <c r="ER14" s="703">
        <v>1.79</v>
      </c>
      <c r="ES14" s="698">
        <v>7.394571428571429</v>
      </c>
      <c r="EU14" s="701">
        <v>3</v>
      </c>
      <c r="EV14" s="702">
        <v>0.25</v>
      </c>
      <c r="EW14" s="702">
        <v>0.25</v>
      </c>
      <c r="EX14" s="703">
        <v>0.25</v>
      </c>
      <c r="EY14" s="698">
        <v>0.25</v>
      </c>
    </row>
    <row r="15" spans="1:162">
      <c r="M15" s="701">
        <v>4</v>
      </c>
      <c r="N15" s="702">
        <v>129.45321488095237</v>
      </c>
      <c r="O15" s="702">
        <v>97.446473571428569</v>
      </c>
      <c r="P15" s="703">
        <v>137.64216166666665</v>
      </c>
      <c r="Q15" s="698">
        <v>149.84982583333334</v>
      </c>
      <c r="S15" s="701">
        <v>4</v>
      </c>
      <c r="T15" s="702">
        <v>3.0059523809523809</v>
      </c>
      <c r="U15" s="702">
        <v>1.1000000000000001</v>
      </c>
      <c r="V15" s="703">
        <v>11.298214285714286</v>
      </c>
      <c r="W15" s="698">
        <v>11.665277777777778</v>
      </c>
      <c r="Y15" s="701">
        <v>4</v>
      </c>
      <c r="Z15" s="702">
        <v>38.874150999999998</v>
      </c>
      <c r="AA15" s="702">
        <v>42.911521904761905</v>
      </c>
      <c r="AB15" s="703">
        <v>79.846007151898732</v>
      </c>
      <c r="AC15" s="241">
        <v>50.606926829268296</v>
      </c>
      <c r="AD15" s="241"/>
      <c r="AE15" s="701">
        <v>4</v>
      </c>
      <c r="AF15" s="702">
        <v>84.002267202380949</v>
      </c>
      <c r="AG15" s="702">
        <v>43.022029880952381</v>
      </c>
      <c r="AH15" s="703">
        <v>96.903960773809516</v>
      </c>
      <c r="AI15" s="241">
        <v>47.207325952380948</v>
      </c>
      <c r="AK15" s="701">
        <v>4</v>
      </c>
      <c r="AL15" s="702">
        <v>96.856434523809511</v>
      </c>
      <c r="AM15" s="702">
        <v>119.73223809523809</v>
      </c>
      <c r="AN15" s="703">
        <v>160.14499404761904</v>
      </c>
      <c r="AO15" s="698">
        <v>104.69656944444445</v>
      </c>
      <c r="AQ15" s="701">
        <v>4</v>
      </c>
      <c r="AR15" s="702">
        <v>46.265053571428567</v>
      </c>
      <c r="AS15" s="702">
        <v>106.51192857142857</v>
      </c>
      <c r="AT15" s="703">
        <v>57.605696428571427</v>
      </c>
      <c r="AU15" s="698">
        <v>24.282652777777777</v>
      </c>
      <c r="AW15" s="701">
        <v>4</v>
      </c>
      <c r="AX15" s="702">
        <v>5.88375</v>
      </c>
      <c r="AY15" s="702">
        <v>1.6419999999999999</v>
      </c>
      <c r="AZ15" s="703">
        <v>6.3637142857142859</v>
      </c>
      <c r="BA15" s="698">
        <v>11.140857142857142</v>
      </c>
      <c r="BC15" s="701">
        <v>4</v>
      </c>
      <c r="BD15" s="702">
        <v>13.78154761904762</v>
      </c>
      <c r="BE15" s="702">
        <v>13.683333333333334</v>
      </c>
      <c r="BF15" s="703">
        <v>28.35773857142857</v>
      </c>
      <c r="BG15" s="698">
        <v>22.567499999999999</v>
      </c>
      <c r="BI15" s="701">
        <v>4</v>
      </c>
      <c r="BJ15" s="702">
        <v>156.24404761904762</v>
      </c>
      <c r="BK15" s="702">
        <v>85.19047619047619</v>
      </c>
      <c r="BL15" s="703">
        <v>140.56547619047618</v>
      </c>
      <c r="BM15" s="698">
        <v>121.675</v>
      </c>
      <c r="BO15" s="701">
        <v>4</v>
      </c>
      <c r="BP15" s="702">
        <v>35.655357142857142</v>
      </c>
      <c r="BQ15" s="702">
        <v>19.117857142857144</v>
      </c>
      <c r="BR15" s="703">
        <v>28.722023809523808</v>
      </c>
      <c r="BS15" s="698">
        <v>19.094999999999999</v>
      </c>
      <c r="BU15" s="701">
        <v>4</v>
      </c>
      <c r="BV15" s="702">
        <v>129.97273809523807</v>
      </c>
      <c r="BW15" s="702">
        <v>12.92077380952381</v>
      </c>
      <c r="BX15" s="703">
        <v>34.767499999999998</v>
      </c>
      <c r="BY15" s="698">
        <v>61.917142857142856</v>
      </c>
      <c r="CA15" s="701">
        <v>4</v>
      </c>
      <c r="CB15" s="702">
        <v>324.79086714285711</v>
      </c>
      <c r="CC15" s="702">
        <v>108.99326999999998</v>
      </c>
      <c r="CD15" s="703">
        <v>307.86485714285709</v>
      </c>
      <c r="CE15" s="698">
        <v>337.02061464285714</v>
      </c>
      <c r="CG15" s="701">
        <v>4</v>
      </c>
      <c r="CH15" s="702">
        <v>436.99065476190475</v>
      </c>
      <c r="CI15" s="702">
        <v>47.766666666666666</v>
      </c>
      <c r="CJ15" s="703">
        <v>134.39386904761903</v>
      </c>
      <c r="CK15" s="698">
        <v>291.01238095238091</v>
      </c>
      <c r="CM15" s="701">
        <v>4</v>
      </c>
      <c r="CN15" s="702">
        <v>164.13628571428569</v>
      </c>
      <c r="CO15" s="702">
        <v>91.668916666666661</v>
      </c>
      <c r="CP15" s="703">
        <v>256.24823809523809</v>
      </c>
      <c r="CQ15" s="698">
        <v>164.86864404761903</v>
      </c>
      <c r="CS15" s="701">
        <v>4</v>
      </c>
      <c r="CT15" s="702">
        <v>67.37202380952381</v>
      </c>
      <c r="CU15" s="702">
        <v>35.523809523809526</v>
      </c>
      <c r="CV15" s="703">
        <v>158.13452380952381</v>
      </c>
      <c r="CW15" s="698">
        <v>78.73571428571428</v>
      </c>
      <c r="CY15" s="701">
        <v>4</v>
      </c>
      <c r="CZ15" s="702">
        <v>0</v>
      </c>
      <c r="DA15" s="702">
        <v>0</v>
      </c>
      <c r="DB15" s="703">
        <v>0</v>
      </c>
      <c r="DC15" s="698">
        <v>0</v>
      </c>
      <c r="DD15" s="697">
        <v>0.308</v>
      </c>
      <c r="DE15" s="701"/>
      <c r="DF15" s="701">
        <v>4</v>
      </c>
      <c r="DG15" s="702">
        <v>0</v>
      </c>
      <c r="DH15" s="703">
        <v>0</v>
      </c>
      <c r="DI15" s="698">
        <v>0</v>
      </c>
      <c r="DJ15" s="697">
        <v>0</v>
      </c>
      <c r="DK15" s="701">
        <v>4</v>
      </c>
      <c r="DL15" s="702">
        <v>1.7728571428571429</v>
      </c>
      <c r="DM15" s="702">
        <v>0.80700000000000005</v>
      </c>
      <c r="DN15" s="703">
        <v>1.907</v>
      </c>
      <c r="DO15" s="698">
        <v>0.63</v>
      </c>
      <c r="DQ15" s="701">
        <v>4</v>
      </c>
      <c r="DR15" s="702">
        <v>12.147083333333335</v>
      </c>
      <c r="DS15" s="702">
        <v>11.076488095238096</v>
      </c>
      <c r="DT15" s="703">
        <v>9.0116666666666667</v>
      </c>
      <c r="DU15" s="698">
        <v>10.965654761904762</v>
      </c>
      <c r="DW15" s="701">
        <v>4</v>
      </c>
      <c r="DX15" s="702">
        <v>1.4273571428571428</v>
      </c>
      <c r="DY15" s="702">
        <v>0.8240535714285715</v>
      </c>
      <c r="DZ15" s="703">
        <v>1.384095238095238</v>
      </c>
      <c r="EA15" s="698">
        <v>1.5192321428571429</v>
      </c>
      <c r="EC15" s="701">
        <v>4</v>
      </c>
      <c r="ED15" s="702">
        <v>1.0416666666666667</v>
      </c>
      <c r="EE15" s="702">
        <v>0.28999999999999998</v>
      </c>
      <c r="EF15" s="703">
        <v>1.8030303030303032</v>
      </c>
      <c r="EG15" s="698">
        <v>1.595</v>
      </c>
      <c r="EI15" s="701">
        <v>4</v>
      </c>
      <c r="EJ15" s="702">
        <v>0.13</v>
      </c>
      <c r="EK15" s="702">
        <v>0.25800000000000001</v>
      </c>
      <c r="EL15" s="703">
        <v>0.24</v>
      </c>
      <c r="EM15" s="698">
        <v>0.372</v>
      </c>
      <c r="EO15" s="701">
        <v>4</v>
      </c>
      <c r="EP15" s="702">
        <v>2.0738571428571428</v>
      </c>
      <c r="EQ15" s="702">
        <v>1.4867142857142859</v>
      </c>
      <c r="ER15" s="703">
        <v>3.6697142857142859</v>
      </c>
      <c r="ES15" s="698">
        <v>4.8791428571428579</v>
      </c>
      <c r="EU15" s="701">
        <v>4</v>
      </c>
      <c r="EV15" s="702">
        <v>0.25</v>
      </c>
      <c r="EW15" s="702">
        <v>0.25</v>
      </c>
      <c r="EX15" s="703">
        <v>0.25</v>
      </c>
      <c r="EY15" s="698">
        <v>0.25</v>
      </c>
    </row>
    <row r="16" spans="1:162">
      <c r="M16" s="701">
        <v>5</v>
      </c>
      <c r="N16" s="702">
        <v>145.63710660714284</v>
      </c>
      <c r="O16" s="702">
        <v>101.61142529761905</v>
      </c>
      <c r="P16" s="703">
        <v>112.4656475595238</v>
      </c>
      <c r="Q16" s="698">
        <v>147.11559047619048</v>
      </c>
      <c r="S16" s="701">
        <v>5</v>
      </c>
      <c r="T16" s="702">
        <v>3.0071428571428576</v>
      </c>
      <c r="U16" s="702">
        <v>1.1172619047619048</v>
      </c>
      <c r="V16" s="703">
        <v>11.771428571428572</v>
      </c>
      <c r="W16" s="698">
        <v>11.844642857142858</v>
      </c>
      <c r="Y16" s="701">
        <v>5</v>
      </c>
      <c r="Z16" s="702">
        <v>43.204165238095243</v>
      </c>
      <c r="AA16" s="702">
        <v>37.061470434782606</v>
      </c>
      <c r="AB16" s="703">
        <v>82.510010645161287</v>
      </c>
      <c r="AC16" s="241">
        <v>84.394737804878048</v>
      </c>
      <c r="AD16" s="241"/>
      <c r="AE16" s="701">
        <v>5</v>
      </c>
      <c r="AF16" s="702">
        <v>94.820056428571419</v>
      </c>
      <c r="AG16" s="702">
        <v>48.545656458333333</v>
      </c>
      <c r="AH16" s="703">
        <v>113.08854785714284</v>
      </c>
      <c r="AI16" s="241">
        <v>47.265305476190477</v>
      </c>
      <c r="AK16" s="701">
        <v>5</v>
      </c>
      <c r="AL16" s="702">
        <v>81.592928571428558</v>
      </c>
      <c r="AM16" s="702">
        <v>93.180404761904754</v>
      </c>
      <c r="AN16" s="703">
        <v>183.71745238095238</v>
      </c>
      <c r="AO16" s="698">
        <v>179.81583928571428</v>
      </c>
      <c r="AQ16" s="701">
        <v>5</v>
      </c>
      <c r="AR16" s="702">
        <v>29.483529761904759</v>
      </c>
      <c r="AS16" s="702">
        <v>42.072315476190475</v>
      </c>
      <c r="AT16" s="703">
        <v>50.341470238095233</v>
      </c>
      <c r="AU16" s="698">
        <v>84.200863095238077</v>
      </c>
      <c r="AW16" s="701">
        <v>5</v>
      </c>
      <c r="AX16" s="702">
        <v>5.6550714285714285</v>
      </c>
      <c r="AY16" s="702">
        <v>3.9332857142857147</v>
      </c>
      <c r="AZ16" s="703">
        <v>3.7480000000000002</v>
      </c>
      <c r="BA16" s="698">
        <v>5.9905714285714291</v>
      </c>
      <c r="BC16" s="701">
        <v>5</v>
      </c>
      <c r="BD16" s="702">
        <v>16.136904761904759</v>
      </c>
      <c r="BE16" s="702">
        <v>16.3</v>
      </c>
      <c r="BF16" s="703">
        <v>35.438095238095237</v>
      </c>
      <c r="BG16" s="698">
        <v>27.892855238095237</v>
      </c>
      <c r="BI16" s="701">
        <v>5</v>
      </c>
      <c r="BJ16" s="702">
        <v>182</v>
      </c>
      <c r="BK16" s="702">
        <v>146.64285714285714</v>
      </c>
      <c r="BL16" s="703">
        <v>192.27380952380952</v>
      </c>
      <c r="BM16" s="698">
        <v>109.56547619047619</v>
      </c>
      <c r="BO16" s="701">
        <v>5</v>
      </c>
      <c r="BP16" s="702">
        <v>43.192857142857143</v>
      </c>
      <c r="BQ16" s="702">
        <v>16.501785714285713</v>
      </c>
      <c r="BR16" s="703">
        <v>47.694642857142853</v>
      </c>
      <c r="BS16" s="698">
        <v>17.520833333333332</v>
      </c>
      <c r="BU16" s="701">
        <v>5</v>
      </c>
      <c r="BV16" s="702">
        <v>128.41071428571428</v>
      </c>
      <c r="BW16" s="702">
        <v>30.605357142857141</v>
      </c>
      <c r="BX16" s="703">
        <v>59.226964285714281</v>
      </c>
      <c r="BY16" s="698">
        <v>76.744652777777773</v>
      </c>
      <c r="CA16" s="701">
        <v>5</v>
      </c>
      <c r="CB16" s="702">
        <v>349.04842857142859</v>
      </c>
      <c r="CC16" s="702">
        <v>198.2332026190476</v>
      </c>
      <c r="CD16" s="703">
        <v>810.30588571428564</v>
      </c>
      <c r="CE16" s="698">
        <v>416.02936142857141</v>
      </c>
      <c r="CG16" s="701">
        <v>5</v>
      </c>
      <c r="CH16" s="702">
        <v>401.0955952380952</v>
      </c>
      <c r="CI16" s="702">
        <v>92.98571428571428</v>
      </c>
      <c r="CJ16" s="703">
        <v>305.48827380952383</v>
      </c>
      <c r="CK16" s="698">
        <v>294.27375000000001</v>
      </c>
      <c r="CM16" s="701">
        <v>5</v>
      </c>
      <c r="CN16" s="702">
        <v>166.42035714285714</v>
      </c>
      <c r="CO16" s="702">
        <v>99.703869047619051</v>
      </c>
      <c r="CP16" s="703">
        <v>248.02462499999999</v>
      </c>
      <c r="CQ16" s="698">
        <v>214.43275595238092</v>
      </c>
      <c r="CS16" s="701">
        <v>5</v>
      </c>
      <c r="CT16" s="702">
        <v>65.49166666666666</v>
      </c>
      <c r="CU16" s="702">
        <v>63.268452380952382</v>
      </c>
      <c r="CV16" s="703">
        <v>146.41309523809522</v>
      </c>
      <c r="CW16" s="698">
        <v>81.427380952380943</v>
      </c>
      <c r="CY16" s="701">
        <v>5</v>
      </c>
      <c r="CZ16" s="702">
        <v>0</v>
      </c>
      <c r="DA16" s="702">
        <v>0</v>
      </c>
      <c r="DB16" s="703">
        <v>0</v>
      </c>
      <c r="DC16" s="698">
        <v>0</v>
      </c>
      <c r="DD16" s="697">
        <v>0.308</v>
      </c>
      <c r="DE16" s="701"/>
      <c r="DF16" s="701">
        <v>5</v>
      </c>
      <c r="DG16" s="702">
        <v>0</v>
      </c>
      <c r="DH16" s="703">
        <v>0</v>
      </c>
      <c r="DI16" s="698">
        <v>0</v>
      </c>
      <c r="DK16" s="701">
        <v>5</v>
      </c>
      <c r="DL16" s="702">
        <v>1.6871428571428573</v>
      </c>
      <c r="DM16" s="702">
        <v>0.80700000000000005</v>
      </c>
      <c r="DN16" s="703">
        <v>1.907</v>
      </c>
      <c r="DO16" s="698">
        <v>0.63</v>
      </c>
      <c r="DQ16" s="701">
        <v>5</v>
      </c>
      <c r="DR16" s="702">
        <v>11.765000000000001</v>
      </c>
      <c r="DS16" s="702">
        <v>10.581666666666667</v>
      </c>
      <c r="DT16" s="703">
        <v>9.0458333333333325</v>
      </c>
      <c r="DU16" s="698">
        <v>14.874702380952382</v>
      </c>
      <c r="DW16" s="701">
        <v>5</v>
      </c>
      <c r="DX16" s="702">
        <v>1.4926726190476189</v>
      </c>
      <c r="DY16" s="702">
        <v>0.81022619047619049</v>
      </c>
      <c r="DZ16" s="703">
        <v>1.3870654761904762</v>
      </c>
      <c r="EA16" s="698">
        <v>1.5303988095238097</v>
      </c>
      <c r="EC16" s="701">
        <v>5</v>
      </c>
      <c r="ED16" s="702">
        <v>0.22</v>
      </c>
      <c r="EE16" s="702">
        <v>0.18</v>
      </c>
      <c r="EF16" s="703">
        <v>1.71</v>
      </c>
      <c r="EG16" s="698">
        <v>0.54896551724137932</v>
      </c>
      <c r="EI16" s="701">
        <v>5</v>
      </c>
      <c r="EJ16" s="702">
        <v>0.13</v>
      </c>
      <c r="EK16" s="702">
        <v>0.20799999999999999</v>
      </c>
      <c r="EL16" s="703">
        <v>0.24</v>
      </c>
      <c r="EM16" s="698">
        <v>0.372</v>
      </c>
      <c r="EO16" s="701">
        <v>5</v>
      </c>
      <c r="EP16" s="702">
        <v>2.0924285714285715</v>
      </c>
      <c r="EQ16" s="702">
        <v>1.513857142857143</v>
      </c>
      <c r="ER16" s="703">
        <v>8.825857142857144</v>
      </c>
      <c r="ES16" s="698">
        <v>6.7685714285714287</v>
      </c>
      <c r="EU16" s="701">
        <v>5</v>
      </c>
      <c r="EV16" s="702">
        <v>0.48428571428571432</v>
      </c>
      <c r="EW16" s="702">
        <v>0.25</v>
      </c>
      <c r="EX16" s="703">
        <v>0.25</v>
      </c>
      <c r="EY16" s="698">
        <v>0.25</v>
      </c>
    </row>
    <row r="17" spans="13:155">
      <c r="M17" s="701">
        <v>6</v>
      </c>
      <c r="N17" s="702">
        <v>140.85977226190477</v>
      </c>
      <c r="O17" s="702">
        <v>88.516864285714291</v>
      </c>
      <c r="P17" s="703">
        <v>116.79518125</v>
      </c>
      <c r="Q17" s="698">
        <v>149.52542178571429</v>
      </c>
      <c r="S17" s="701">
        <v>6</v>
      </c>
      <c r="T17" s="702">
        <v>3</v>
      </c>
      <c r="U17" s="702">
        <v>2.5386904761904763</v>
      </c>
      <c r="V17" s="703">
        <v>12.205952380952382</v>
      </c>
      <c r="W17" s="698">
        <v>8.8458333333333332</v>
      </c>
      <c r="Y17" s="701">
        <v>6</v>
      </c>
      <c r="Z17" s="702">
        <v>79.274011904761892</v>
      </c>
      <c r="AA17" s="702">
        <v>46.240595294117647</v>
      </c>
      <c r="AB17" s="703">
        <v>90.765432944785275</v>
      </c>
      <c r="AC17" s="241">
        <v>97.784104938271597</v>
      </c>
      <c r="AD17" s="241"/>
      <c r="AE17" s="701">
        <v>6</v>
      </c>
      <c r="AF17" s="702">
        <v>82.226530892857141</v>
      </c>
      <c r="AG17" s="702">
        <v>66.576255059523803</v>
      </c>
      <c r="AH17" s="703">
        <v>98.356794642857139</v>
      </c>
      <c r="AI17" s="241">
        <v>69.041706973443226</v>
      </c>
      <c r="AK17" s="701">
        <v>6</v>
      </c>
      <c r="AL17" s="702">
        <v>136.49740476190476</v>
      </c>
      <c r="AM17" s="702">
        <v>76.965345238095239</v>
      </c>
      <c r="AN17" s="703">
        <v>159.22662500000001</v>
      </c>
      <c r="AO17" s="698">
        <v>278.24124404761903</v>
      </c>
      <c r="AQ17" s="701">
        <v>6</v>
      </c>
      <c r="AR17" s="702">
        <v>66.893071428571432</v>
      </c>
      <c r="AS17" s="702">
        <v>29.099369047619046</v>
      </c>
      <c r="AT17" s="703">
        <v>91.752750000000006</v>
      </c>
      <c r="AU17" s="698">
        <v>171.03647619047618</v>
      </c>
      <c r="AW17" s="701">
        <v>6</v>
      </c>
      <c r="AX17" s="702">
        <v>2.0953571428571429</v>
      </c>
      <c r="AY17" s="702">
        <v>7.3275714285714288</v>
      </c>
      <c r="AZ17" s="703">
        <v>3.3497142857142856</v>
      </c>
      <c r="BA17" s="698">
        <v>8.7311428571428564</v>
      </c>
      <c r="BC17" s="701">
        <v>6</v>
      </c>
      <c r="BD17" s="702">
        <v>18.235714285714288</v>
      </c>
      <c r="BE17" s="702">
        <v>27.55</v>
      </c>
      <c r="BF17" s="703">
        <v>26.566665238095236</v>
      </c>
      <c r="BG17" s="698">
        <v>32.130357142857143</v>
      </c>
      <c r="BI17" s="701">
        <v>6</v>
      </c>
      <c r="BJ17" s="702">
        <v>179.08333333333331</v>
      </c>
      <c r="BK17" s="702">
        <v>176.99404761904762</v>
      </c>
      <c r="BL17" s="703">
        <v>126.92261904761904</v>
      </c>
      <c r="BM17" s="698">
        <v>163.48214285714286</v>
      </c>
      <c r="BO17" s="701">
        <v>6</v>
      </c>
      <c r="BP17" s="702">
        <v>33.553571428571423</v>
      </c>
      <c r="BQ17" s="702">
        <v>28.74345238095238</v>
      </c>
      <c r="BR17" s="703">
        <v>32.891666666666666</v>
      </c>
      <c r="BS17" s="698">
        <v>49.701190476190476</v>
      </c>
      <c r="BU17" s="701">
        <v>6</v>
      </c>
      <c r="BV17" s="702">
        <v>133.23184523809525</v>
      </c>
      <c r="BW17" s="702">
        <v>52.350952380952386</v>
      </c>
      <c r="BX17" s="703">
        <v>53.733273809523801</v>
      </c>
      <c r="BY17" s="698">
        <v>89.511666666666656</v>
      </c>
      <c r="CA17" s="701">
        <v>6</v>
      </c>
      <c r="CB17" s="702">
        <v>527.41624714285706</v>
      </c>
      <c r="CC17" s="702">
        <v>344.44026142857138</v>
      </c>
      <c r="CD17" s="703">
        <v>861.17537571428568</v>
      </c>
      <c r="CE17" s="698">
        <v>606.23885714285711</v>
      </c>
      <c r="CG17" s="701">
        <v>6</v>
      </c>
      <c r="CH17" s="702">
        <v>424.3161904761904</v>
      </c>
      <c r="CI17" s="702">
        <v>131.0242857142857</v>
      </c>
      <c r="CJ17" s="703">
        <v>222.49267857142854</v>
      </c>
      <c r="CK17" s="698">
        <v>322.73059523809525</v>
      </c>
      <c r="CM17" s="701">
        <v>6</v>
      </c>
      <c r="CN17" s="702">
        <v>197.58699999999999</v>
      </c>
      <c r="CO17" s="702">
        <v>94.078446428571425</v>
      </c>
      <c r="CP17" s="703">
        <v>181.86349999999999</v>
      </c>
      <c r="CQ17" s="698">
        <v>300.66753571428569</v>
      </c>
      <c r="CS17" s="701">
        <v>6</v>
      </c>
      <c r="CT17" s="702">
        <v>75.938690476190473</v>
      </c>
      <c r="CU17" s="702">
        <v>119.54107142857141</v>
      </c>
      <c r="CV17" s="703">
        <v>129.30654761904762</v>
      </c>
      <c r="CW17" s="698">
        <v>117.07083333333333</v>
      </c>
      <c r="CY17" s="701">
        <v>6</v>
      </c>
      <c r="CZ17" s="702">
        <v>0</v>
      </c>
      <c r="DA17" s="702">
        <v>0</v>
      </c>
      <c r="DB17" s="703">
        <v>0</v>
      </c>
      <c r="DC17" s="698">
        <v>0</v>
      </c>
      <c r="DD17" s="697">
        <v>0.308</v>
      </c>
      <c r="DE17" s="701"/>
      <c r="DF17" s="701">
        <v>6</v>
      </c>
      <c r="DG17" s="702">
        <v>0</v>
      </c>
      <c r="DH17" s="703">
        <v>0</v>
      </c>
      <c r="DI17" s="698">
        <v>0</v>
      </c>
      <c r="DK17" s="701">
        <v>6</v>
      </c>
      <c r="DL17" s="702">
        <v>1.8014285714285716</v>
      </c>
      <c r="DM17" s="702">
        <v>0.80700000000000005</v>
      </c>
      <c r="DN17" s="703">
        <v>1.907</v>
      </c>
      <c r="DO17" s="698">
        <v>0.63</v>
      </c>
      <c r="DQ17" s="701">
        <v>6</v>
      </c>
      <c r="DR17" s="702">
        <v>11.749166666666667</v>
      </c>
      <c r="DS17" s="702">
        <v>20.581607142857145</v>
      </c>
      <c r="DT17" s="703">
        <v>9.3132738095238086</v>
      </c>
      <c r="DU17" s="698">
        <v>16.32</v>
      </c>
      <c r="DW17" s="701">
        <v>6</v>
      </c>
      <c r="DX17" s="702">
        <v>1.4576249999999999</v>
      </c>
      <c r="DY17" s="702">
        <v>0.81513095238095246</v>
      </c>
      <c r="DZ17" s="703">
        <v>1.4041130952380954</v>
      </c>
      <c r="EA17" s="698">
        <v>1.5049642857142858</v>
      </c>
      <c r="EC17" s="701">
        <v>6</v>
      </c>
      <c r="ED17" s="702">
        <v>0.37</v>
      </c>
      <c r="EE17" s="702">
        <v>0.08</v>
      </c>
      <c r="EF17" s="703">
        <v>2.3834426229508194</v>
      </c>
      <c r="EG17" s="698">
        <v>1.5550649350649353</v>
      </c>
      <c r="EI17" s="701">
        <v>6</v>
      </c>
      <c r="EJ17" s="702">
        <v>0.13</v>
      </c>
      <c r="EK17" s="702">
        <v>0.20799999999999999</v>
      </c>
      <c r="EL17" s="703">
        <v>0.24</v>
      </c>
      <c r="EM17" s="698">
        <v>0.372</v>
      </c>
      <c r="EO17" s="701">
        <v>6</v>
      </c>
      <c r="EP17" s="702">
        <v>2.2420285714285715</v>
      </c>
      <c r="EQ17" s="702">
        <v>1.5881428571428571</v>
      </c>
      <c r="ER17" s="703">
        <v>8.1685214285714292</v>
      </c>
      <c r="ES17" s="698">
        <v>10.744142857142856</v>
      </c>
      <c r="EU17" s="701">
        <v>6</v>
      </c>
      <c r="EV17" s="702">
        <v>0.25</v>
      </c>
      <c r="EW17" s="702">
        <v>0.25</v>
      </c>
      <c r="EX17" s="703">
        <v>0.25</v>
      </c>
      <c r="EY17" s="698">
        <v>0.25</v>
      </c>
    </row>
    <row r="18" spans="13:155">
      <c r="M18" s="701">
        <v>7</v>
      </c>
      <c r="N18" s="702">
        <v>138.5461845238095</v>
      </c>
      <c r="O18" s="702">
        <v>122.71896214285712</v>
      </c>
      <c r="P18" s="703">
        <v>112.47341011904761</v>
      </c>
      <c r="Q18" s="698">
        <v>143.03125386904762</v>
      </c>
      <c r="S18" s="701">
        <v>7</v>
      </c>
      <c r="T18" s="702">
        <v>1.9357142857142857</v>
      </c>
      <c r="U18" s="702">
        <v>12.574305555555554</v>
      </c>
      <c r="V18" s="703">
        <v>12.599404761904763</v>
      </c>
      <c r="W18" s="698">
        <v>6.4779761904761912</v>
      </c>
      <c r="Y18" s="701">
        <v>7</v>
      </c>
      <c r="Z18" s="702">
        <v>68.801238095238091</v>
      </c>
      <c r="AA18" s="702">
        <v>58.161496666666665</v>
      </c>
      <c r="AB18" s="703">
        <v>56.000994037267084</v>
      </c>
      <c r="AC18" s="241">
        <v>126.87994927536232</v>
      </c>
      <c r="AD18" s="241"/>
      <c r="AE18" s="701">
        <v>7</v>
      </c>
      <c r="AF18" s="702">
        <v>105.77795666666665</v>
      </c>
      <c r="AG18" s="702">
        <v>70.351523511904759</v>
      </c>
      <c r="AH18" s="703">
        <v>99.705908630952365</v>
      </c>
      <c r="AI18" s="241">
        <v>80.615868125000006</v>
      </c>
      <c r="AK18" s="701">
        <v>7</v>
      </c>
      <c r="AL18" s="702">
        <v>190.02344642857142</v>
      </c>
      <c r="AM18" s="702">
        <v>100.04470238095237</v>
      </c>
      <c r="AN18" s="703">
        <v>144.85677976190476</v>
      </c>
      <c r="AO18" s="698">
        <v>327.07780357142855</v>
      </c>
      <c r="AQ18" s="701">
        <v>7</v>
      </c>
      <c r="AR18" s="702">
        <v>100.91279166666666</v>
      </c>
      <c r="AS18" s="702">
        <v>90.138035714285706</v>
      </c>
      <c r="AT18" s="703">
        <v>70.21075595238095</v>
      </c>
      <c r="AU18" s="698">
        <v>88.797761904761899</v>
      </c>
      <c r="AW18" s="701">
        <v>7</v>
      </c>
      <c r="AX18" s="702">
        <v>2.2542142857142857</v>
      </c>
      <c r="AY18" s="702">
        <v>5.7774285714285716</v>
      </c>
      <c r="AZ18" s="703">
        <v>2.12</v>
      </c>
      <c r="BA18" s="698">
        <v>24.413857142857143</v>
      </c>
      <c r="BC18" s="701">
        <v>7</v>
      </c>
      <c r="BD18" s="702">
        <v>27.457142857142856</v>
      </c>
      <c r="BE18" s="702">
        <v>25.610714285714288</v>
      </c>
      <c r="BF18" s="703">
        <v>21.577975238095238</v>
      </c>
      <c r="BG18" s="698">
        <v>31.149305555555554</v>
      </c>
      <c r="BI18" s="701">
        <v>7</v>
      </c>
      <c r="BJ18" s="702">
        <v>266.19047619047615</v>
      </c>
      <c r="BK18" s="702">
        <v>150.71428571428569</v>
      </c>
      <c r="BL18" s="703">
        <v>147.73809523809524</v>
      </c>
      <c r="BM18" s="698">
        <v>210.54166666666669</v>
      </c>
      <c r="BO18" s="701">
        <v>7</v>
      </c>
      <c r="BP18" s="702">
        <v>54.730952380952381</v>
      </c>
      <c r="BQ18" s="702">
        <v>26.149404761904762</v>
      </c>
      <c r="BR18" s="703">
        <v>25.339285714285715</v>
      </c>
      <c r="BS18" s="698">
        <v>48.957638888888887</v>
      </c>
      <c r="BU18" s="701">
        <v>7</v>
      </c>
      <c r="BV18" s="702">
        <v>109.22261904761905</v>
      </c>
      <c r="BW18" s="702">
        <v>59.593392857142859</v>
      </c>
      <c r="BX18" s="703">
        <v>92.061428571428564</v>
      </c>
      <c r="BY18" s="698">
        <v>109.69184523809523</v>
      </c>
      <c r="CA18" s="701">
        <v>7</v>
      </c>
      <c r="CB18" s="702">
        <v>601.03512428571423</v>
      </c>
      <c r="CC18" s="702">
        <v>361.5221557142857</v>
      </c>
      <c r="CD18" s="703">
        <v>443.99369857142852</v>
      </c>
      <c r="CE18" s="698">
        <v>774.12422666666669</v>
      </c>
      <c r="CG18" s="701">
        <v>7</v>
      </c>
      <c r="CH18" s="702">
        <v>400.99607142857138</v>
      </c>
      <c r="CI18" s="702">
        <v>148.99196428571426</v>
      </c>
      <c r="CJ18" s="703">
        <v>247.14660714285714</v>
      </c>
      <c r="CK18" s="698">
        <v>477.48410714285711</v>
      </c>
      <c r="CM18" s="701">
        <v>7</v>
      </c>
      <c r="CN18" s="702">
        <v>286.16391071428569</v>
      </c>
      <c r="CO18" s="702">
        <v>157.38133416666665</v>
      </c>
      <c r="CP18" s="703">
        <v>193.91727380952381</v>
      </c>
      <c r="CQ18" s="698">
        <v>359.03563095238093</v>
      </c>
      <c r="CS18" s="701">
        <v>7</v>
      </c>
      <c r="CT18" s="702">
        <v>102.63988095238096</v>
      </c>
      <c r="CU18" s="702">
        <v>89.99761904761904</v>
      </c>
      <c r="CV18" s="703">
        <v>89.401190476190479</v>
      </c>
      <c r="CW18" s="698">
        <v>137.12261904761905</v>
      </c>
      <c r="CY18" s="701">
        <v>7</v>
      </c>
      <c r="CZ18" s="702">
        <v>0</v>
      </c>
      <c r="DA18" s="702">
        <v>0</v>
      </c>
      <c r="DB18" s="703">
        <v>0</v>
      </c>
      <c r="DC18" s="698">
        <v>0</v>
      </c>
      <c r="DD18" s="697">
        <v>0.308</v>
      </c>
      <c r="DE18" s="701"/>
      <c r="DF18" s="701">
        <v>7</v>
      </c>
      <c r="DG18" s="702">
        <v>0</v>
      </c>
      <c r="DH18" s="703">
        <v>0</v>
      </c>
      <c r="DI18" s="698">
        <v>0</v>
      </c>
      <c r="DK18" s="701">
        <v>7</v>
      </c>
      <c r="DL18" s="702">
        <v>1.87</v>
      </c>
      <c r="DM18" s="702">
        <v>0.80700000000000005</v>
      </c>
      <c r="DN18" s="703">
        <v>1.907</v>
      </c>
      <c r="DO18" s="698">
        <v>0.63</v>
      </c>
      <c r="DQ18" s="701">
        <v>7</v>
      </c>
      <c r="DR18" s="702">
        <v>11.628452380952382</v>
      </c>
      <c r="DS18" s="702">
        <v>23.861666666666668</v>
      </c>
      <c r="DT18" s="703">
        <v>8.9435119047619054</v>
      </c>
      <c r="DU18" s="698">
        <v>20.844345238095237</v>
      </c>
      <c r="DW18" s="701">
        <v>7</v>
      </c>
      <c r="DX18" s="702">
        <v>1.4410535714285715</v>
      </c>
      <c r="DY18" s="702">
        <v>0.87006547619047614</v>
      </c>
      <c r="DZ18" s="703">
        <v>1.4378630952380953</v>
      </c>
      <c r="EA18" s="698">
        <v>1.5916666666666668</v>
      </c>
      <c r="EC18" s="701">
        <v>7</v>
      </c>
      <c r="ED18" s="702">
        <v>0.38</v>
      </c>
      <c r="EE18" s="702">
        <v>0.08</v>
      </c>
      <c r="EF18" s="703">
        <v>5.1141780821917813</v>
      </c>
      <c r="EG18" s="698">
        <v>5.5266666666666664</v>
      </c>
      <c r="EI18" s="701">
        <v>7</v>
      </c>
      <c r="EJ18" s="702">
        <v>0.13</v>
      </c>
      <c r="EK18" s="702">
        <v>0.19800000000000001</v>
      </c>
      <c r="EL18" s="703">
        <v>0.25833714285714288</v>
      </c>
      <c r="EM18" s="698">
        <v>0.372</v>
      </c>
      <c r="EO18" s="701">
        <v>7</v>
      </c>
      <c r="EP18" s="702">
        <v>3.8294571428571427</v>
      </c>
      <c r="EQ18" s="702">
        <v>1.6367142857142858</v>
      </c>
      <c r="ER18" s="703">
        <v>5.9203857142857146</v>
      </c>
      <c r="ES18" s="698">
        <v>17.193857142857144</v>
      </c>
      <c r="EU18" s="701">
        <v>7</v>
      </c>
      <c r="EV18" s="702">
        <v>0.25</v>
      </c>
      <c r="EW18" s="702">
        <v>0.25</v>
      </c>
      <c r="EX18" s="703">
        <v>0.25</v>
      </c>
      <c r="EY18" s="698">
        <v>0.25</v>
      </c>
    </row>
    <row r="19" spans="13:155">
      <c r="M19" s="701">
        <v>8</v>
      </c>
      <c r="N19" s="702">
        <v>135.57879791666667</v>
      </c>
      <c r="O19" s="702">
        <v>117.08835226190476</v>
      </c>
      <c r="P19" s="703">
        <v>125.88837672619046</v>
      </c>
      <c r="Q19" s="698">
        <v>147.14297148809524</v>
      </c>
      <c r="S19" s="701">
        <v>8</v>
      </c>
      <c r="T19" s="702">
        <v>7.6785714285714288</v>
      </c>
      <c r="U19" s="702">
        <v>9.1160714285714288</v>
      </c>
      <c r="V19" s="703">
        <v>16.288690476190478</v>
      </c>
      <c r="W19" s="698">
        <v>11.725</v>
      </c>
      <c r="Y19" s="701">
        <v>8</v>
      </c>
      <c r="Z19" s="702">
        <v>69.998097142857148</v>
      </c>
      <c r="AA19" s="702">
        <v>97.257871176470587</v>
      </c>
      <c r="AB19" s="703">
        <v>49.396999029850747</v>
      </c>
      <c r="AC19" s="241">
        <v>142.40980487804879</v>
      </c>
      <c r="AD19" s="241"/>
      <c r="AE19" s="701">
        <v>8</v>
      </c>
      <c r="AF19" s="702">
        <v>88.104849940476186</v>
      </c>
      <c r="AG19" s="702">
        <v>75.145815476190478</v>
      </c>
      <c r="AH19" s="703">
        <v>88.814247321428567</v>
      </c>
      <c r="AI19" s="241">
        <v>92.14778011904761</v>
      </c>
      <c r="AK19" s="701">
        <v>8</v>
      </c>
      <c r="AL19" s="702">
        <v>143.43532142857143</v>
      </c>
      <c r="AM19" s="702">
        <v>126.84483333333333</v>
      </c>
      <c r="AN19" s="703">
        <v>119.54448214285713</v>
      </c>
      <c r="AO19" s="698">
        <v>360.37261309523802</v>
      </c>
      <c r="AQ19" s="701">
        <v>8</v>
      </c>
      <c r="AR19" s="702">
        <v>70.857619047619053</v>
      </c>
      <c r="AS19" s="702">
        <v>116.1221388888889</v>
      </c>
      <c r="AT19" s="703">
        <v>37.471678571428576</v>
      </c>
      <c r="AU19" s="698">
        <v>208.56799404761904</v>
      </c>
      <c r="AW19" s="701">
        <v>8</v>
      </c>
      <c r="AX19" s="702">
        <v>4.1637142857142857</v>
      </c>
      <c r="AY19" s="702">
        <v>2.5667499999999999</v>
      </c>
      <c r="AZ19" s="703">
        <v>6.4627142857142861</v>
      </c>
      <c r="BA19" s="698">
        <v>9.0441714285714294</v>
      </c>
      <c r="BC19" s="701">
        <v>8</v>
      </c>
      <c r="BD19" s="702">
        <v>25.341071428571428</v>
      </c>
      <c r="BE19" s="702">
        <v>37.597619047619048</v>
      </c>
      <c r="BF19" s="703">
        <v>22.176189999999998</v>
      </c>
      <c r="BG19" s="698">
        <v>36.467025238095239</v>
      </c>
      <c r="BI19" s="701">
        <v>8</v>
      </c>
      <c r="BJ19" s="702">
        <v>167.45833333333331</v>
      </c>
      <c r="BK19" s="702">
        <v>196.54166666666666</v>
      </c>
      <c r="BL19" s="703">
        <v>117.14880952380952</v>
      </c>
      <c r="BM19" s="698">
        <v>206.77976190476187</v>
      </c>
      <c r="BO19" s="701">
        <v>8</v>
      </c>
      <c r="BP19" s="702">
        <v>52.961309523809526</v>
      </c>
      <c r="BQ19" s="702">
        <v>45.887500000000003</v>
      </c>
      <c r="BR19" s="703">
        <v>22.356547619047621</v>
      </c>
      <c r="BS19" s="698">
        <v>50.75119047619048</v>
      </c>
      <c r="BU19" s="701">
        <v>8</v>
      </c>
      <c r="BV19" s="702">
        <v>69.528511904761899</v>
      </c>
      <c r="BW19" s="702">
        <v>32.824285714285715</v>
      </c>
      <c r="BX19" s="703">
        <v>79.35797619047618</v>
      </c>
      <c r="BY19" s="698">
        <v>81.494285714285709</v>
      </c>
      <c r="CA19" s="701">
        <v>8</v>
      </c>
      <c r="CB19" s="702">
        <v>541.06815857142851</v>
      </c>
      <c r="CC19" s="702">
        <v>497.81073142857139</v>
      </c>
      <c r="CD19" s="703">
        <v>455.61061000000001</v>
      </c>
      <c r="CE19" s="698">
        <v>857.9091957142856</v>
      </c>
      <c r="CG19" s="701">
        <v>8</v>
      </c>
      <c r="CH19" s="702">
        <v>295.18773809523805</v>
      </c>
      <c r="CI19" s="702">
        <v>130.17386904761904</v>
      </c>
      <c r="CJ19" s="703">
        <v>228.33754491017962</v>
      </c>
      <c r="CK19" s="698">
        <v>377.81821428571425</v>
      </c>
      <c r="CM19" s="701">
        <v>8</v>
      </c>
      <c r="CN19" s="702">
        <v>229.473375</v>
      </c>
      <c r="CO19" s="702">
        <v>243.77472023809523</v>
      </c>
      <c r="CP19" s="703">
        <v>184.560125</v>
      </c>
      <c r="CQ19" s="698">
        <v>374.64655357142857</v>
      </c>
      <c r="CS19" s="701">
        <v>8</v>
      </c>
      <c r="CT19" s="702">
        <v>106.16071428571428</v>
      </c>
      <c r="CU19" s="702">
        <v>121.35297619047618</v>
      </c>
      <c r="CV19" s="703">
        <v>101.12619047619047</v>
      </c>
      <c r="CW19" s="698">
        <v>210.72916666666666</v>
      </c>
      <c r="CY19" s="701">
        <v>8</v>
      </c>
      <c r="CZ19" s="702">
        <v>0</v>
      </c>
      <c r="DA19" s="702">
        <v>0</v>
      </c>
      <c r="DB19" s="703">
        <v>0</v>
      </c>
      <c r="DC19" s="698">
        <v>0</v>
      </c>
      <c r="DD19" s="697">
        <v>0.308</v>
      </c>
      <c r="DE19" s="701"/>
      <c r="DF19" s="701">
        <v>8</v>
      </c>
      <c r="DG19" s="702">
        <v>0</v>
      </c>
      <c r="DH19" s="703">
        <v>0</v>
      </c>
      <c r="DI19" s="698">
        <v>0</v>
      </c>
      <c r="DK19" s="701">
        <v>8</v>
      </c>
      <c r="DL19" s="702">
        <v>1.6157142857142857</v>
      </c>
      <c r="DM19" s="702">
        <v>0.80700000000000005</v>
      </c>
      <c r="DN19" s="703">
        <v>1.907</v>
      </c>
      <c r="DO19" s="698">
        <v>0.63</v>
      </c>
      <c r="DQ19" s="701">
        <v>8</v>
      </c>
      <c r="DR19" s="702">
        <v>11.586785714285716</v>
      </c>
      <c r="DS19" s="702">
        <v>17.428035714285713</v>
      </c>
      <c r="DT19" s="703">
        <v>9.7093452380952368</v>
      </c>
      <c r="DU19" s="698">
        <v>21.203095238095237</v>
      </c>
      <c r="DW19" s="701">
        <v>8</v>
      </c>
      <c r="DX19" s="702">
        <v>1.4574166666666668</v>
      </c>
      <c r="DY19" s="702">
        <v>0.88977976190476193</v>
      </c>
      <c r="DZ19" s="703">
        <v>1.4708809523809525</v>
      </c>
      <c r="EA19" s="698">
        <v>1.5198690476190477</v>
      </c>
      <c r="EC19" s="701">
        <v>8</v>
      </c>
      <c r="ED19" s="702">
        <v>0.57999999999999996</v>
      </c>
      <c r="EE19" s="702">
        <v>0.09</v>
      </c>
      <c r="EF19" s="703">
        <v>6.6314285714285717</v>
      </c>
      <c r="EG19" s="698">
        <v>10.455265199999999</v>
      </c>
      <c r="EI19" s="701">
        <v>8</v>
      </c>
      <c r="EJ19" s="702">
        <v>0.13</v>
      </c>
      <c r="EK19" s="702">
        <v>0.19800000000000001</v>
      </c>
      <c r="EL19" s="703">
        <v>0.27209</v>
      </c>
      <c r="EM19" s="698">
        <v>0.372</v>
      </c>
      <c r="EO19" s="701">
        <v>8</v>
      </c>
      <c r="EP19" s="702">
        <v>2.6063142857142858</v>
      </c>
      <c r="EQ19" s="702">
        <v>1.9402857142857144</v>
      </c>
      <c r="ER19" s="703">
        <v>5.9961000000000002</v>
      </c>
      <c r="ES19" s="698">
        <v>23.831714285714284</v>
      </c>
      <c r="EU19" s="701">
        <v>8</v>
      </c>
      <c r="EV19" s="702">
        <v>0.25</v>
      </c>
      <c r="EW19" s="702">
        <v>0.25</v>
      </c>
      <c r="EX19" s="703">
        <v>0.25</v>
      </c>
      <c r="EY19" s="698">
        <v>0.25</v>
      </c>
    </row>
    <row r="20" spans="13:155">
      <c r="M20" s="701">
        <v>9</v>
      </c>
      <c r="N20" s="702">
        <v>123.95574035714284</v>
      </c>
      <c r="O20" s="702">
        <v>127.90294708333333</v>
      </c>
      <c r="P20" s="703">
        <v>104.55156702380951</v>
      </c>
      <c r="Q20" s="698"/>
      <c r="S20" s="701">
        <v>9</v>
      </c>
      <c r="T20" s="702">
        <v>3</v>
      </c>
      <c r="U20" s="702">
        <v>14.384523809523808</v>
      </c>
      <c r="V20" s="703">
        <v>7.1154761904761905</v>
      </c>
      <c r="W20" s="698"/>
      <c r="Y20" s="701">
        <v>9</v>
      </c>
      <c r="Z20" s="702">
        <v>89.518461500000001</v>
      </c>
      <c r="AA20" s="702">
        <v>89.914340624999994</v>
      </c>
      <c r="AB20" s="703">
        <v>63.555682469135803</v>
      </c>
      <c r="AC20" s="241"/>
      <c r="AD20" s="241"/>
      <c r="AE20" s="701">
        <v>9</v>
      </c>
      <c r="AF20" s="702">
        <v>121.77173636904762</v>
      </c>
      <c r="AG20" s="702">
        <v>67.165702916666675</v>
      </c>
      <c r="AH20" s="703">
        <v>161.7561001190476</v>
      </c>
      <c r="AI20" s="241"/>
      <c r="AK20" s="701">
        <v>9</v>
      </c>
      <c r="AL20" s="702">
        <v>201.53692261904763</v>
      </c>
      <c r="AM20" s="702">
        <v>152.06356547619046</v>
      </c>
      <c r="AN20" s="703">
        <v>115.17915476190475</v>
      </c>
      <c r="AO20" s="698"/>
      <c r="AQ20" s="701">
        <v>9</v>
      </c>
      <c r="AR20" s="702">
        <v>202.4355773809524</v>
      </c>
      <c r="AS20" s="702">
        <v>71.975642857142859</v>
      </c>
      <c r="AT20" s="703">
        <v>30.892482142857141</v>
      </c>
      <c r="AU20" s="698"/>
      <c r="AW20" s="701">
        <v>9</v>
      </c>
      <c r="AX20" s="702">
        <v>4.8723928571428576</v>
      </c>
      <c r="AY20" s="702">
        <v>1.7609999999999999</v>
      </c>
      <c r="AZ20" s="703">
        <v>12.602142857142857</v>
      </c>
      <c r="BA20" s="698"/>
      <c r="BC20" s="701">
        <v>9</v>
      </c>
      <c r="BD20" s="702">
        <v>27.784523809523808</v>
      </c>
      <c r="BE20" s="702">
        <v>27.357142857142858</v>
      </c>
      <c r="BF20" s="703">
        <v>30.277381904761906</v>
      </c>
      <c r="BG20" s="698"/>
      <c r="BI20" s="701">
        <v>9</v>
      </c>
      <c r="BJ20" s="702">
        <v>152.44642857142858</v>
      </c>
      <c r="BK20" s="702">
        <v>110.57738095238093</v>
      </c>
      <c r="BL20" s="703">
        <v>239.86309523809524</v>
      </c>
      <c r="BM20" s="698"/>
      <c r="BO20" s="701">
        <v>9</v>
      </c>
      <c r="BP20" s="702">
        <v>60.130357142857136</v>
      </c>
      <c r="BQ20" s="702">
        <v>28.721428571428572</v>
      </c>
      <c r="BR20" s="703">
        <v>65.093452380952385</v>
      </c>
      <c r="BS20" s="698"/>
      <c r="BU20" s="701">
        <v>9</v>
      </c>
      <c r="BV20" s="702">
        <v>186.18616766467065</v>
      </c>
      <c r="BW20" s="702">
        <v>24.261527777777779</v>
      </c>
      <c r="BX20" s="703">
        <v>82.086726190476185</v>
      </c>
      <c r="BY20" s="698"/>
      <c r="CA20" s="701">
        <v>9</v>
      </c>
      <c r="CB20" s="702">
        <v>502.97556999999995</v>
      </c>
      <c r="CC20" s="702">
        <v>334.24387999999999</v>
      </c>
      <c r="CD20" s="703">
        <v>610.82882428571429</v>
      </c>
      <c r="CE20" s="698"/>
      <c r="CG20" s="701">
        <v>9</v>
      </c>
      <c r="CH20" s="702">
        <v>304.37952380952379</v>
      </c>
      <c r="CI20" s="702">
        <v>96.228095238095236</v>
      </c>
      <c r="CJ20" s="703">
        <v>237.70791666666665</v>
      </c>
      <c r="CK20" s="698"/>
      <c r="CM20" s="701">
        <v>9</v>
      </c>
      <c r="CN20" s="702">
        <v>288.36045238095238</v>
      </c>
      <c r="CO20" s="702">
        <v>154.18108333333333</v>
      </c>
      <c r="CP20" s="703">
        <v>265.71529761904765</v>
      </c>
      <c r="CQ20" s="698"/>
      <c r="CS20" s="701">
        <v>9</v>
      </c>
      <c r="CT20" s="702">
        <v>126.97619047619047</v>
      </c>
      <c r="CU20" s="702">
        <v>84.268452380952382</v>
      </c>
      <c r="CV20" s="703">
        <v>161.28749999999999</v>
      </c>
      <c r="CW20" s="698"/>
      <c r="CY20" s="701">
        <v>9</v>
      </c>
      <c r="CZ20" s="702">
        <v>0</v>
      </c>
      <c r="DA20" s="702">
        <v>0</v>
      </c>
      <c r="DB20" s="703">
        <v>0</v>
      </c>
      <c r="DC20" s="698">
        <v>0</v>
      </c>
      <c r="DE20" s="701"/>
      <c r="DF20" s="701">
        <v>9</v>
      </c>
      <c r="DG20" s="702">
        <v>0</v>
      </c>
      <c r="DH20" s="703">
        <v>0</v>
      </c>
      <c r="DI20" s="698">
        <v>0</v>
      </c>
      <c r="DK20" s="701">
        <v>9</v>
      </c>
      <c r="DL20" s="702">
        <v>3.9342857142857142</v>
      </c>
      <c r="DM20" s="702">
        <v>0.80700000000000005</v>
      </c>
      <c r="DN20" s="703">
        <v>1.907</v>
      </c>
      <c r="DO20" s="698"/>
      <c r="DQ20" s="701">
        <v>9</v>
      </c>
      <c r="DR20" s="702">
        <v>15.540178571428571</v>
      </c>
      <c r="DS20" s="702">
        <v>10.229166666666666</v>
      </c>
      <c r="DT20" s="703">
        <v>11.628333333333332</v>
      </c>
      <c r="DU20" s="698"/>
      <c r="DW20" s="701">
        <v>9</v>
      </c>
      <c r="DX20" s="702">
        <v>1.4432083333333334</v>
      </c>
      <c r="DY20" s="702">
        <v>1.0744761904761904</v>
      </c>
      <c r="DZ20" s="703">
        <v>1.3981904761904762</v>
      </c>
      <c r="EA20" s="698"/>
      <c r="EC20" s="701">
        <v>9</v>
      </c>
      <c r="ED20" s="702">
        <v>0.53</v>
      </c>
      <c r="EE20" s="702">
        <v>0.28000000000000003</v>
      </c>
      <c r="EF20" s="703">
        <v>8.3497131147540973</v>
      </c>
      <c r="EG20" s="698"/>
      <c r="EI20" s="701">
        <v>9</v>
      </c>
      <c r="EJ20" s="702">
        <v>1.321</v>
      </c>
      <c r="EK20" s="702">
        <v>0.19800000000000001</v>
      </c>
      <c r="EL20" s="703">
        <v>0.60466142857142857</v>
      </c>
      <c r="EM20" s="698"/>
      <c r="EO20" s="701">
        <v>9</v>
      </c>
      <c r="EP20" s="702">
        <v>3.0052857142857143</v>
      </c>
      <c r="EQ20" s="702">
        <v>1.9924285714285714</v>
      </c>
      <c r="ER20" s="703">
        <v>6.003285714285715</v>
      </c>
      <c r="ES20" s="698"/>
      <c r="EU20" s="701">
        <v>9</v>
      </c>
      <c r="EV20" s="702">
        <v>0.25</v>
      </c>
      <c r="EW20" s="702">
        <v>0.25</v>
      </c>
      <c r="EX20" s="703">
        <v>0.25</v>
      </c>
      <c r="EY20" s="698"/>
    </row>
    <row r="21" spans="13:155">
      <c r="M21" s="701">
        <v>10</v>
      </c>
      <c r="N21" s="702">
        <v>115.72079095238094</v>
      </c>
      <c r="O21" s="702">
        <v>141.30928</v>
      </c>
      <c r="P21" s="703">
        <v>122.99312226190476</v>
      </c>
      <c r="Q21" s="698"/>
      <c r="S21" s="701">
        <v>10</v>
      </c>
      <c r="T21" s="702">
        <v>4.5476190476190474</v>
      </c>
      <c r="U21" s="702">
        <v>10.116666666666667</v>
      </c>
      <c r="V21" s="703">
        <v>6.668452380952381</v>
      </c>
      <c r="W21" s="698"/>
      <c r="Y21" s="701">
        <v>10</v>
      </c>
      <c r="Z21" s="702">
        <v>109.5652757142857</v>
      </c>
      <c r="AA21" s="702">
        <v>68.829984999999994</v>
      </c>
      <c r="AB21" s="703">
        <v>81.906282208588948</v>
      </c>
      <c r="AC21" s="241"/>
      <c r="AD21" s="241"/>
      <c r="AE21" s="701">
        <v>10</v>
      </c>
      <c r="AF21" s="702">
        <v>121.88282628742515</v>
      </c>
      <c r="AG21" s="702">
        <v>59.413575178571428</v>
      </c>
      <c r="AH21" s="703">
        <v>166.00835327380952</v>
      </c>
      <c r="AI21" s="241"/>
      <c r="AK21" s="701">
        <v>10</v>
      </c>
      <c r="AL21" s="702">
        <v>305.35840476190475</v>
      </c>
      <c r="AM21" s="702">
        <v>150.94912500000001</v>
      </c>
      <c r="AN21" s="703">
        <v>179.15565476190474</v>
      </c>
      <c r="AO21" s="698"/>
      <c r="AQ21" s="701">
        <v>10</v>
      </c>
      <c r="AR21" s="702">
        <v>141.44591666666665</v>
      </c>
      <c r="AS21" s="702">
        <v>148.17406547619046</v>
      </c>
      <c r="AT21" s="703">
        <v>81.040886904761905</v>
      </c>
      <c r="AU21" s="698"/>
      <c r="AW21" s="701">
        <v>10</v>
      </c>
      <c r="AX21" s="702">
        <v>5.4506428571428573</v>
      </c>
      <c r="AY21" s="702">
        <v>1.4684285714285714</v>
      </c>
      <c r="AZ21" s="703">
        <v>14.171428571428573</v>
      </c>
      <c r="BA21" s="698"/>
      <c r="BC21" s="701">
        <v>10</v>
      </c>
      <c r="BD21" s="702">
        <v>26.11428571428571</v>
      </c>
      <c r="BE21" s="702">
        <v>23.728571428571428</v>
      </c>
      <c r="BF21" s="703">
        <v>33.422023809523807</v>
      </c>
      <c r="BG21" s="698"/>
      <c r="BI21" s="701">
        <v>10</v>
      </c>
      <c r="BJ21" s="702">
        <v>132.36309523809521</v>
      </c>
      <c r="BK21" s="702">
        <v>94.220238095238088</v>
      </c>
      <c r="BL21" s="703">
        <v>278.61676646706587</v>
      </c>
      <c r="BM21" s="698"/>
      <c r="BO21" s="701">
        <v>10</v>
      </c>
      <c r="BP21" s="702">
        <v>48.526785714285715</v>
      </c>
      <c r="BQ21" s="702">
        <v>24.092261904761905</v>
      </c>
      <c r="BR21" s="703">
        <v>72.984523809523807</v>
      </c>
      <c r="BS21" s="698"/>
      <c r="BU21" s="701">
        <v>10</v>
      </c>
      <c r="BV21" s="702">
        <v>91.656547619047615</v>
      </c>
      <c r="BW21" s="702">
        <v>22.903988095238098</v>
      </c>
      <c r="BX21" s="703">
        <v>55.520654761904758</v>
      </c>
      <c r="BY21" s="698"/>
      <c r="CA21" s="701">
        <v>10</v>
      </c>
      <c r="CB21" s="702">
        <v>366.83817999999997</v>
      </c>
      <c r="CC21" s="702">
        <v>197.17181428571428</v>
      </c>
      <c r="CD21" s="703">
        <v>1049.9604728571428</v>
      </c>
      <c r="CE21" s="698"/>
      <c r="CG21" s="701">
        <v>10</v>
      </c>
      <c r="CH21" s="702">
        <v>322.93630952380954</v>
      </c>
      <c r="CI21" s="702">
        <v>64.479345238095235</v>
      </c>
      <c r="CJ21" s="703">
        <v>296.62309523809523</v>
      </c>
      <c r="CK21" s="698"/>
      <c r="CM21" s="701">
        <v>10</v>
      </c>
      <c r="CN21" s="702">
        <v>227.91723809523808</v>
      </c>
      <c r="CO21" s="702">
        <v>165.24186392857143</v>
      </c>
      <c r="CP21" s="703">
        <v>337.98545238095238</v>
      </c>
      <c r="CQ21" s="698"/>
      <c r="CS21" s="701">
        <v>10</v>
      </c>
      <c r="CT21" s="702">
        <v>126.46428571428571</v>
      </c>
      <c r="CU21" s="702">
        <v>69.646428571428572</v>
      </c>
      <c r="CV21" s="703">
        <v>191.19583333333333</v>
      </c>
      <c r="CW21" s="698"/>
      <c r="CY21" s="701">
        <v>10</v>
      </c>
      <c r="CZ21" s="702">
        <v>0</v>
      </c>
      <c r="DA21" s="702">
        <v>0</v>
      </c>
      <c r="DB21" s="703">
        <v>0</v>
      </c>
      <c r="DC21" s="698">
        <v>0</v>
      </c>
      <c r="DE21" s="701"/>
      <c r="DF21" s="701">
        <v>10</v>
      </c>
      <c r="DG21" s="702">
        <v>0</v>
      </c>
      <c r="DH21" s="703">
        <v>0</v>
      </c>
      <c r="DI21" s="698">
        <v>0</v>
      </c>
      <c r="DK21" s="701">
        <v>10</v>
      </c>
      <c r="DL21" s="702">
        <v>5.7</v>
      </c>
      <c r="DM21" s="702">
        <v>0.80700000000000005</v>
      </c>
      <c r="DN21" s="703">
        <v>1.907</v>
      </c>
      <c r="DO21" s="698"/>
      <c r="DQ21" s="701">
        <v>10</v>
      </c>
      <c r="DR21" s="702">
        <v>15.892142857142856</v>
      </c>
      <c r="DS21" s="702">
        <v>9.9522023809523805</v>
      </c>
      <c r="DT21" s="703">
        <v>23.922142857142855</v>
      </c>
      <c r="DU21" s="698"/>
      <c r="DW21" s="701">
        <v>10</v>
      </c>
      <c r="DX21" s="702">
        <v>1.4477500000000001</v>
      </c>
      <c r="DY21" s="702">
        <v>1.1383392857142858</v>
      </c>
      <c r="DZ21" s="703">
        <v>1.404797619047619</v>
      </c>
      <c r="EA21" s="698"/>
      <c r="EC21" s="701">
        <v>10</v>
      </c>
      <c r="ED21" s="702">
        <v>0.65</v>
      </c>
      <c r="EE21" s="702">
        <v>0.28000000000000003</v>
      </c>
      <c r="EF21" s="703">
        <v>14.1118497949419</v>
      </c>
      <c r="EG21" s="698"/>
      <c r="EI21" s="701">
        <v>10</v>
      </c>
      <c r="EJ21" s="702">
        <v>2.1040000000000001</v>
      </c>
      <c r="EK21" s="702">
        <v>0.19800000000000001</v>
      </c>
      <c r="EL21" s="703">
        <v>1.3763757142857143</v>
      </c>
      <c r="EM21" s="698"/>
      <c r="EO21" s="701">
        <v>10</v>
      </c>
      <c r="EP21" s="702">
        <v>4.6364985714285716</v>
      </c>
      <c r="EQ21" s="702">
        <v>2.0834571428571431</v>
      </c>
      <c r="ER21" s="703">
        <v>8.4034285714285719</v>
      </c>
      <c r="ES21" s="698"/>
      <c r="EU21" s="701">
        <v>10</v>
      </c>
      <c r="EV21" s="702">
        <v>0.36714285714285716</v>
      </c>
      <c r="EW21" s="702">
        <v>0.25</v>
      </c>
      <c r="EX21" s="703">
        <v>0.25</v>
      </c>
      <c r="EY21" s="698"/>
    </row>
    <row r="22" spans="13:155">
      <c r="M22" s="701">
        <v>11</v>
      </c>
      <c r="N22" s="702">
        <v>118.00327583333332</v>
      </c>
      <c r="O22" s="702">
        <v>145.71029375000001</v>
      </c>
      <c r="P22" s="703">
        <v>116.34380178571429</v>
      </c>
      <c r="Q22" s="704"/>
      <c r="S22" s="701">
        <v>11</v>
      </c>
      <c r="T22" s="702">
        <v>12.021428571428572</v>
      </c>
      <c r="U22" s="702">
        <v>10.293452380952381</v>
      </c>
      <c r="V22" s="703">
        <v>8.9684523809523817</v>
      </c>
      <c r="W22" s="704"/>
      <c r="Y22" s="701">
        <v>11</v>
      </c>
      <c r="Z22" s="702">
        <v>119.25398523809524</v>
      </c>
      <c r="AA22" s="702">
        <v>102.01439137931033</v>
      </c>
      <c r="AB22" s="703">
        <v>60.191685961538461</v>
      </c>
      <c r="AC22" s="240"/>
      <c r="AD22" s="241"/>
      <c r="AE22" s="701">
        <v>11</v>
      </c>
      <c r="AF22" s="702">
        <v>115.71211904761905</v>
      </c>
      <c r="AG22" s="702">
        <v>70.294060119047614</v>
      </c>
      <c r="AH22" s="703">
        <v>115.41716886904761</v>
      </c>
      <c r="AI22" s="240"/>
      <c r="AK22" s="701">
        <v>11</v>
      </c>
      <c r="AL22" s="702">
        <v>322.04860714285712</v>
      </c>
      <c r="AM22" s="702">
        <v>380.20494047619047</v>
      </c>
      <c r="AN22" s="703">
        <v>116.94872023809522</v>
      </c>
      <c r="AO22" s="704"/>
      <c r="AQ22" s="701">
        <v>11</v>
      </c>
      <c r="AR22" s="702">
        <v>75.359380952380945</v>
      </c>
      <c r="AS22" s="702">
        <v>181.67506547619047</v>
      </c>
      <c r="AT22" s="703">
        <v>41.238374999999998</v>
      </c>
      <c r="AU22" s="704"/>
      <c r="AW22" s="701">
        <v>11</v>
      </c>
      <c r="AX22" s="702">
        <v>3.3848571428571432</v>
      </c>
      <c r="AY22" s="702">
        <v>1.6931428571428571</v>
      </c>
      <c r="AZ22" s="703">
        <v>13.100428571428571</v>
      </c>
      <c r="BA22" s="704"/>
      <c r="BC22" s="701">
        <v>11</v>
      </c>
      <c r="BD22" s="702">
        <v>33.420833333333334</v>
      </c>
      <c r="BE22" s="702">
        <v>34.043452380952381</v>
      </c>
      <c r="BF22" s="703">
        <v>22.218760952380951</v>
      </c>
      <c r="BG22" s="704"/>
      <c r="BI22" s="701">
        <v>11</v>
      </c>
      <c r="BJ22" s="702">
        <v>223.70833333333334</v>
      </c>
      <c r="BK22" s="702">
        <v>119.81547619047618</v>
      </c>
      <c r="BL22" s="703">
        <v>140.14285714285714</v>
      </c>
      <c r="BM22" s="704"/>
      <c r="BO22" s="701">
        <v>11</v>
      </c>
      <c r="BP22" s="702">
        <v>65.082142857142856</v>
      </c>
      <c r="BQ22" s="702">
        <v>36.970833333333331</v>
      </c>
      <c r="BR22" s="703">
        <v>33.427976190476187</v>
      </c>
      <c r="BS22" s="704"/>
      <c r="BU22" s="701">
        <v>11</v>
      </c>
      <c r="BV22" s="702">
        <v>112.27541666666667</v>
      </c>
      <c r="BW22" s="702">
        <v>34.473928571428573</v>
      </c>
      <c r="BX22" s="703">
        <v>40.315892857142856</v>
      </c>
      <c r="BY22" s="704"/>
      <c r="CA22" s="701">
        <v>11</v>
      </c>
      <c r="CB22" s="702">
        <v>471.87288428571429</v>
      </c>
      <c r="CC22" s="702">
        <v>366.16232714285712</v>
      </c>
      <c r="CD22" s="703">
        <v>714.62588428571416</v>
      </c>
      <c r="CE22" s="704"/>
      <c r="CG22" s="701">
        <v>11</v>
      </c>
      <c r="CH22" s="702">
        <v>413.0866666666667</v>
      </c>
      <c r="CI22" s="702">
        <v>90.926309523809522</v>
      </c>
      <c r="CJ22" s="703">
        <v>243.711369047619</v>
      </c>
      <c r="CK22" s="704"/>
      <c r="CM22" s="701">
        <v>11</v>
      </c>
      <c r="CN22" s="702">
        <v>292.15018452380951</v>
      </c>
      <c r="CO22" s="702">
        <v>234.02109999999999</v>
      </c>
      <c r="CP22" s="703">
        <v>237.38300595238093</v>
      </c>
      <c r="CQ22" s="704"/>
      <c r="CS22" s="701">
        <v>11</v>
      </c>
      <c r="CT22" s="702">
        <v>130.65714285714284</v>
      </c>
      <c r="CU22" s="702">
        <v>127.81011904761904</v>
      </c>
      <c r="CV22" s="703">
        <v>122.56547619047619</v>
      </c>
      <c r="CW22" s="704"/>
      <c r="CY22" s="701">
        <v>11</v>
      </c>
      <c r="CZ22" s="702">
        <v>0</v>
      </c>
      <c r="DA22" s="702">
        <v>0</v>
      </c>
      <c r="DB22" s="703">
        <v>0</v>
      </c>
      <c r="DC22" s="704">
        <v>0</v>
      </c>
      <c r="DE22" s="701"/>
      <c r="DF22" s="701">
        <v>11</v>
      </c>
      <c r="DG22" s="702">
        <v>0</v>
      </c>
      <c r="DH22" s="703">
        <v>0</v>
      </c>
      <c r="DI22" s="704">
        <v>0</v>
      </c>
      <c r="DK22" s="701">
        <v>11</v>
      </c>
      <c r="DL22" s="702">
        <v>5.7</v>
      </c>
      <c r="DM22" s="702">
        <v>0.80700000000000005</v>
      </c>
      <c r="DN22" s="703">
        <v>1.907</v>
      </c>
      <c r="DO22" s="704"/>
      <c r="DQ22" s="701">
        <v>11</v>
      </c>
      <c r="DR22" s="702">
        <v>15.861726190476189</v>
      </c>
      <c r="DS22" s="702">
        <v>10.030357142857143</v>
      </c>
      <c r="DT22" s="703">
        <v>23.400238095238095</v>
      </c>
      <c r="DU22" s="704"/>
      <c r="DW22" s="701">
        <v>11</v>
      </c>
      <c r="DX22" s="702">
        <v>1.4441845238095239</v>
      </c>
      <c r="DY22" s="702">
        <v>1.2335833333333335</v>
      </c>
      <c r="DZ22" s="703">
        <v>1.4614583333333335</v>
      </c>
      <c r="EA22" s="704"/>
      <c r="EC22" s="701">
        <v>11</v>
      </c>
      <c r="ED22" s="702">
        <v>1.03</v>
      </c>
      <c r="EE22" s="702">
        <v>0.28000000000000003</v>
      </c>
      <c r="EF22" s="703">
        <v>12.584526060606059</v>
      </c>
      <c r="EG22" s="704"/>
      <c r="EI22" s="701">
        <v>11</v>
      </c>
      <c r="EJ22" s="702">
        <v>2.1040000000000001</v>
      </c>
      <c r="EK22" s="702">
        <v>0.19800000000000001</v>
      </c>
      <c r="EL22" s="703">
        <v>0.88157142857142856</v>
      </c>
      <c r="EM22" s="704"/>
      <c r="EO22" s="701">
        <v>11</v>
      </c>
      <c r="EP22" s="702">
        <v>7.1928542857142865</v>
      </c>
      <c r="EQ22" s="702">
        <v>2.1363142857142856</v>
      </c>
      <c r="ER22" s="703">
        <v>8.375571428571428</v>
      </c>
      <c r="ES22" s="704"/>
      <c r="EU22" s="701">
        <v>11</v>
      </c>
      <c r="EV22" s="702">
        <v>0.25</v>
      </c>
      <c r="EW22" s="702">
        <v>0.25</v>
      </c>
      <c r="EX22" s="703">
        <v>0.25</v>
      </c>
      <c r="EY22" s="704"/>
    </row>
    <row r="23" spans="13:155">
      <c r="M23" s="701">
        <v>12</v>
      </c>
      <c r="N23" s="702">
        <v>123.53101535714285</v>
      </c>
      <c r="O23" s="702">
        <v>142.04656315476188</v>
      </c>
      <c r="P23" s="703">
        <v>113.31166232142856</v>
      </c>
      <c r="Q23" s="704"/>
      <c r="S23" s="701">
        <v>12</v>
      </c>
      <c r="T23" s="702">
        <v>6.9511904761904759</v>
      </c>
      <c r="U23" s="702">
        <v>10.195833333333333</v>
      </c>
      <c r="V23" s="703">
        <v>4.2172619047619051</v>
      </c>
      <c r="W23" s="704"/>
      <c r="Y23" s="701">
        <v>12</v>
      </c>
      <c r="Z23" s="702">
        <v>86.8437555</v>
      </c>
      <c r="AA23" s="702">
        <v>97.595699230769227</v>
      </c>
      <c r="AB23" s="703">
        <v>79.227227266187043</v>
      </c>
      <c r="AC23" s="240"/>
      <c r="AD23" s="241"/>
      <c r="AE23" s="701">
        <v>12</v>
      </c>
      <c r="AF23" s="702">
        <v>85.227260892857146</v>
      </c>
      <c r="AG23" s="702">
        <v>75.268540595238093</v>
      </c>
      <c r="AH23" s="703">
        <v>98.379097916666666</v>
      </c>
      <c r="AI23" s="240"/>
      <c r="AK23" s="701">
        <v>12</v>
      </c>
      <c r="AL23" s="702">
        <v>192.14585714285715</v>
      </c>
      <c r="AM23" s="702">
        <v>218.21585714285712</v>
      </c>
      <c r="AN23" s="703">
        <v>151.26183333333333</v>
      </c>
      <c r="AO23" s="704"/>
      <c r="AQ23" s="701">
        <v>12</v>
      </c>
      <c r="AR23" s="702">
        <v>126.76622023809523</v>
      </c>
      <c r="AS23" s="702">
        <v>71.607255952380953</v>
      </c>
      <c r="AT23" s="703">
        <v>23.355202380952381</v>
      </c>
      <c r="AU23" s="704"/>
      <c r="AW23" s="701">
        <v>12</v>
      </c>
      <c r="AX23" s="702">
        <v>2.6403928571428574</v>
      </c>
      <c r="AY23" s="702">
        <v>3.4074285714285719</v>
      </c>
      <c r="AZ23" s="703">
        <v>10.327</v>
      </c>
      <c r="BA23" s="704"/>
      <c r="BC23" s="701">
        <v>12</v>
      </c>
      <c r="BD23" s="702">
        <v>23.80595238095238</v>
      </c>
      <c r="BE23" s="702">
        <v>30.341666666666665</v>
      </c>
      <c r="BF23" s="703">
        <v>26.69753857142857</v>
      </c>
      <c r="BG23" s="704"/>
      <c r="BI23" s="701">
        <v>12</v>
      </c>
      <c r="BJ23" s="702">
        <v>151.51785714285714</v>
      </c>
      <c r="BK23" s="702">
        <v>120.23214285714285</v>
      </c>
      <c r="BL23" s="703">
        <v>143.42261904761904</v>
      </c>
      <c r="BM23" s="704"/>
      <c r="BO23" s="701">
        <v>12</v>
      </c>
      <c r="BP23" s="702">
        <v>38.394047619047619</v>
      </c>
      <c r="BQ23" s="702">
        <v>35.331547619047619</v>
      </c>
      <c r="BR23" s="703">
        <v>31.274999999999999</v>
      </c>
      <c r="BS23" s="704"/>
      <c r="BU23" s="701">
        <v>12</v>
      </c>
      <c r="BV23" s="702">
        <v>82.19779761904762</v>
      </c>
      <c r="BW23" s="702">
        <v>76.775628742514968</v>
      </c>
      <c r="BX23" s="703">
        <v>52.448571428571427</v>
      </c>
      <c r="BY23" s="704"/>
      <c r="CA23" s="701">
        <v>12</v>
      </c>
      <c r="CB23" s="702">
        <v>352.38915285714285</v>
      </c>
      <c r="CC23" s="702">
        <v>401.03404999999998</v>
      </c>
      <c r="CD23" s="703">
        <v>424.53822857142853</v>
      </c>
      <c r="CE23" s="704"/>
      <c r="CG23" s="701">
        <v>12</v>
      </c>
      <c r="CH23" s="702">
        <v>291.84785714285715</v>
      </c>
      <c r="CI23" s="702">
        <v>274.24023809523806</v>
      </c>
      <c r="CJ23" s="703">
        <v>280.53547619047617</v>
      </c>
      <c r="CK23" s="704"/>
      <c r="CM23" s="701">
        <v>12</v>
      </c>
      <c r="CN23" s="702">
        <v>183.14323214285713</v>
      </c>
      <c r="CO23" s="702">
        <v>242.04084523809524</v>
      </c>
      <c r="CP23" s="703">
        <v>182.08883928571427</v>
      </c>
      <c r="CQ23" s="704"/>
      <c r="CS23" s="701">
        <v>12</v>
      </c>
      <c r="CT23" s="702">
        <v>89.708333333333329</v>
      </c>
      <c r="CU23" s="702">
        <v>107.56845238095238</v>
      </c>
      <c r="CV23" s="703">
        <v>106.5797619047619</v>
      </c>
      <c r="CW23" s="704"/>
      <c r="CY23" s="701">
        <v>12</v>
      </c>
      <c r="CZ23" s="702">
        <v>0</v>
      </c>
      <c r="DA23" s="702">
        <v>0</v>
      </c>
      <c r="DB23" s="703">
        <v>0</v>
      </c>
      <c r="DC23" s="704">
        <v>0</v>
      </c>
      <c r="DE23" s="701"/>
      <c r="DF23" s="701">
        <v>12</v>
      </c>
      <c r="DG23" s="702">
        <v>0</v>
      </c>
      <c r="DH23" s="703">
        <v>0</v>
      </c>
      <c r="DI23" s="704">
        <v>0</v>
      </c>
      <c r="DK23" s="701">
        <v>12</v>
      </c>
      <c r="DL23" s="702">
        <v>5.7</v>
      </c>
      <c r="DM23" s="702">
        <v>0.80700000000000005</v>
      </c>
      <c r="DN23" s="703">
        <v>1.907</v>
      </c>
      <c r="DO23" s="704"/>
      <c r="DQ23" s="701">
        <v>12</v>
      </c>
      <c r="DR23" s="702">
        <v>15.601666666666667</v>
      </c>
      <c r="DS23" s="702">
        <v>9.9896428571428579</v>
      </c>
      <c r="DT23" s="703">
        <v>23.540892857142858</v>
      </c>
      <c r="DU23" s="704"/>
      <c r="DW23" s="701">
        <v>12</v>
      </c>
      <c r="DX23" s="702">
        <v>1.3740952380952383</v>
      </c>
      <c r="DY23" s="702">
        <v>1.2689702380952383</v>
      </c>
      <c r="DZ23" s="703">
        <v>1.3700178571428572</v>
      </c>
      <c r="EA23" s="704"/>
      <c r="EC23" s="701">
        <v>12</v>
      </c>
      <c r="ED23" s="702">
        <v>1.39</v>
      </c>
      <c r="EE23" s="702">
        <v>0.28000000000000003</v>
      </c>
      <c r="EF23" s="703">
        <v>3.7479373214285716</v>
      </c>
      <c r="EG23" s="704"/>
      <c r="EI23" s="701">
        <v>12</v>
      </c>
      <c r="EJ23" s="702">
        <v>2.1339999999999999</v>
      </c>
      <c r="EK23" s="702">
        <v>0.19800000000000001</v>
      </c>
      <c r="EL23" s="703">
        <v>0.72885714285714287</v>
      </c>
      <c r="EM23" s="704"/>
      <c r="EO23" s="701">
        <v>12</v>
      </c>
      <c r="EP23" s="702">
        <v>6.6765500000000007</v>
      </c>
      <c r="EQ23" s="702">
        <v>2.2081428571428572</v>
      </c>
      <c r="ER23" s="703">
        <v>7.2121428571428572</v>
      </c>
      <c r="ES23" s="704"/>
      <c r="EU23" s="701">
        <v>12</v>
      </c>
      <c r="EV23" s="702">
        <v>0.25</v>
      </c>
      <c r="EW23" s="702">
        <v>0.25</v>
      </c>
      <c r="EX23" s="703">
        <v>0.25</v>
      </c>
      <c r="EY23" s="704"/>
    </row>
    <row r="24" spans="13:155">
      <c r="M24" s="701">
        <v>13</v>
      </c>
      <c r="N24" s="702">
        <v>118.55330744047617</v>
      </c>
      <c r="O24" s="702">
        <v>132.91985452380951</v>
      </c>
      <c r="P24" s="703">
        <v>113.62462315476189</v>
      </c>
      <c r="Q24" s="704"/>
      <c r="S24" s="701">
        <v>13</v>
      </c>
      <c r="T24" s="702">
        <v>5.8571428571428577</v>
      </c>
      <c r="U24" s="702">
        <v>6.5464285714285717</v>
      </c>
      <c r="V24" s="703">
        <v>12.745833333333334</v>
      </c>
      <c r="W24" s="704"/>
      <c r="Y24" s="701">
        <v>13</v>
      </c>
      <c r="Z24" s="702">
        <v>94.784509523809518</v>
      </c>
      <c r="AA24" s="702">
        <v>81.407957037037022</v>
      </c>
      <c r="AB24" s="703">
        <v>78.404101818181815</v>
      </c>
      <c r="AC24" s="240"/>
      <c r="AD24" s="241"/>
      <c r="AE24" s="701">
        <v>13</v>
      </c>
      <c r="AF24" s="702">
        <v>78.701860297619049</v>
      </c>
      <c r="AG24" s="702">
        <v>103.75185452380953</v>
      </c>
      <c r="AH24" s="703">
        <v>150.0089782738095</v>
      </c>
      <c r="AI24" s="240"/>
      <c r="AK24" s="701">
        <v>13</v>
      </c>
      <c r="AL24" s="702">
        <v>246.19388690476188</v>
      </c>
      <c r="AM24" s="702">
        <v>153.89365476190474</v>
      </c>
      <c r="AN24" s="703">
        <v>225.50697619047617</v>
      </c>
      <c r="AO24" s="704"/>
      <c r="AQ24" s="701">
        <v>13</v>
      </c>
      <c r="AR24" s="702">
        <v>182.03190476190474</v>
      </c>
      <c r="AS24" s="702">
        <v>74.664744047619052</v>
      </c>
      <c r="AT24" s="703">
        <v>19.802994047619048</v>
      </c>
      <c r="AU24" s="704"/>
      <c r="AW24" s="701">
        <v>13</v>
      </c>
      <c r="AX24" s="702">
        <v>2.0653214285714285</v>
      </c>
      <c r="AY24" s="702">
        <v>8.769285714285715</v>
      </c>
      <c r="AZ24" s="703">
        <v>6.8137142857142861</v>
      </c>
      <c r="BA24" s="704"/>
      <c r="BC24" s="701">
        <v>13</v>
      </c>
      <c r="BD24" s="702">
        <v>28.491666666666667</v>
      </c>
      <c r="BE24" s="702">
        <v>22.344047619047618</v>
      </c>
      <c r="BF24" s="703">
        <v>35.581682857142859</v>
      </c>
      <c r="BG24" s="704"/>
      <c r="BI24" s="701">
        <v>13</v>
      </c>
      <c r="BJ24" s="702">
        <v>178.99404761904762</v>
      </c>
      <c r="BK24" s="702">
        <v>181.9345238095238</v>
      </c>
      <c r="BL24" s="703">
        <v>204.07738095238093</v>
      </c>
      <c r="BM24" s="704"/>
      <c r="BO24" s="701">
        <v>13</v>
      </c>
      <c r="BP24" s="702">
        <v>36.349404761904758</v>
      </c>
      <c r="BQ24" s="702">
        <v>43.063095238095237</v>
      </c>
      <c r="BR24" s="703">
        <v>41.92916666666666</v>
      </c>
      <c r="BS24" s="704"/>
      <c r="BU24" s="701">
        <v>13</v>
      </c>
      <c r="BV24" s="702">
        <v>62.071309523809525</v>
      </c>
      <c r="BW24" s="702">
        <v>62.271309523809521</v>
      </c>
      <c r="BX24" s="703">
        <v>48.303928571428571</v>
      </c>
      <c r="BY24" s="704"/>
      <c r="CA24" s="701">
        <v>13</v>
      </c>
      <c r="CB24" s="702">
        <v>519.54119857142859</v>
      </c>
      <c r="CC24" s="702">
        <v>407.06409857142853</v>
      </c>
      <c r="CD24" s="703">
        <v>652.67873299401197</v>
      </c>
      <c r="CE24" s="704"/>
      <c r="CG24" s="701">
        <v>13</v>
      </c>
      <c r="CH24" s="702">
        <v>267.13892857142855</v>
      </c>
      <c r="CI24" s="702">
        <v>219.05815476190475</v>
      </c>
      <c r="CJ24" s="703">
        <v>245.87571428571428</v>
      </c>
      <c r="CK24" s="704"/>
      <c r="CM24" s="701">
        <v>13</v>
      </c>
      <c r="CN24" s="702">
        <v>189.70978571428569</v>
      </c>
      <c r="CO24" s="702">
        <v>237.51745833333334</v>
      </c>
      <c r="CP24" s="703">
        <v>316.57714285714286</v>
      </c>
      <c r="CQ24" s="704"/>
      <c r="CS24" s="701">
        <v>13</v>
      </c>
      <c r="CT24" s="702">
        <v>97.625</v>
      </c>
      <c r="CU24" s="702">
        <v>88.776785714285708</v>
      </c>
      <c r="CV24" s="703">
        <v>152.14523809523808</v>
      </c>
      <c r="CW24" s="704"/>
      <c r="CY24" s="701">
        <v>13</v>
      </c>
      <c r="CZ24" s="702">
        <v>0</v>
      </c>
      <c r="DA24" s="702">
        <v>0</v>
      </c>
      <c r="DB24" s="703">
        <v>0</v>
      </c>
      <c r="DC24" s="704">
        <v>0</v>
      </c>
      <c r="DE24" s="701"/>
      <c r="DF24" s="701">
        <v>13</v>
      </c>
      <c r="DG24" s="702">
        <v>0</v>
      </c>
      <c r="DH24" s="703">
        <v>0</v>
      </c>
      <c r="DI24" s="704">
        <v>0</v>
      </c>
      <c r="DK24" s="701">
        <v>13</v>
      </c>
      <c r="DL24" s="702">
        <v>5.7</v>
      </c>
      <c r="DM24" s="702">
        <v>0.80700000000000005</v>
      </c>
      <c r="DN24" s="703">
        <v>1.907</v>
      </c>
      <c r="DO24" s="704"/>
      <c r="DQ24" s="701">
        <v>13</v>
      </c>
      <c r="DR24" s="702">
        <v>14.271309523809524</v>
      </c>
      <c r="DS24" s="702">
        <v>16.947619047619046</v>
      </c>
      <c r="DT24" s="703">
        <v>23.859523809523807</v>
      </c>
      <c r="DU24" s="704"/>
      <c r="DW24" s="701">
        <v>13</v>
      </c>
      <c r="DX24" s="702">
        <v>1.3876904761904763</v>
      </c>
      <c r="DY24" s="702">
        <v>1.2905714285714287</v>
      </c>
      <c r="DZ24" s="703">
        <v>1.4206428571428573</v>
      </c>
      <c r="EA24" s="704"/>
      <c r="EC24" s="701">
        <v>13</v>
      </c>
      <c r="ED24" s="702">
        <v>0.56000000000000005</v>
      </c>
      <c r="EE24" s="702">
        <v>0.28000000000000003</v>
      </c>
      <c r="EF24" s="703">
        <v>14.385755324675323</v>
      </c>
      <c r="EG24" s="704"/>
      <c r="EI24" s="701">
        <v>13</v>
      </c>
      <c r="EJ24" s="702">
        <v>2.1339999999999999</v>
      </c>
      <c r="EK24" s="702">
        <v>0.19800000000000001</v>
      </c>
      <c r="EL24" s="703">
        <v>1.04809</v>
      </c>
      <c r="EM24" s="704"/>
      <c r="EO24" s="701">
        <v>13</v>
      </c>
      <c r="EP24" s="702">
        <v>8.555714285714286</v>
      </c>
      <c r="EQ24" s="702">
        <v>2.2695714285714286</v>
      </c>
      <c r="ER24" s="703">
        <v>7.7802857142857151</v>
      </c>
      <c r="ES24" s="704"/>
      <c r="EU24" s="701">
        <v>13</v>
      </c>
      <c r="EV24" s="702">
        <v>0.25</v>
      </c>
      <c r="EW24" s="702">
        <v>0.25</v>
      </c>
      <c r="EX24" s="703">
        <v>0.25</v>
      </c>
      <c r="EY24" s="704"/>
    </row>
    <row r="25" spans="13:155">
      <c r="M25" s="701">
        <v>14</v>
      </c>
      <c r="N25" s="702">
        <v>115.98453910714285</v>
      </c>
      <c r="O25" s="702">
        <v>131.64998053571429</v>
      </c>
      <c r="P25" s="703">
        <v>112.72916220238095</v>
      </c>
      <c r="Q25" s="704"/>
      <c r="S25" s="701">
        <v>14</v>
      </c>
      <c r="T25" s="702">
        <v>12.407142857142857</v>
      </c>
      <c r="U25" s="702">
        <v>5.225595238095238</v>
      </c>
      <c r="V25" s="703">
        <v>12.520238095238094</v>
      </c>
      <c r="W25" s="704"/>
      <c r="Y25" s="701">
        <v>14</v>
      </c>
      <c r="Z25" s="702">
        <v>107.18982857142858</v>
      </c>
      <c r="AA25" s="702">
        <v>46.887472333333335</v>
      </c>
      <c r="AB25" s="703">
        <v>69.295260490797546</v>
      </c>
      <c r="AC25" s="240"/>
      <c r="AD25" s="241"/>
      <c r="AE25" s="701">
        <v>14</v>
      </c>
      <c r="AF25" s="702">
        <v>77.889510238095241</v>
      </c>
      <c r="AG25" s="702">
        <v>91.333499940476187</v>
      </c>
      <c r="AH25" s="703">
        <v>127.79776720238095</v>
      </c>
      <c r="AI25" s="240"/>
      <c r="AK25" s="701">
        <v>14</v>
      </c>
      <c r="AL25" s="702">
        <v>299.5350357142857</v>
      </c>
      <c r="AM25" s="702">
        <v>135.64004761904761</v>
      </c>
      <c r="AN25" s="703">
        <v>136.11150000000001</v>
      </c>
      <c r="AO25" s="704"/>
      <c r="AQ25" s="701">
        <v>14</v>
      </c>
      <c r="AR25" s="702">
        <v>126.58510714285713</v>
      </c>
      <c r="AS25" s="702">
        <v>131.34695833333333</v>
      </c>
      <c r="AT25" s="703">
        <v>36.977398809523812</v>
      </c>
      <c r="AU25" s="704"/>
      <c r="AW25" s="701">
        <v>14</v>
      </c>
      <c r="AX25" s="702">
        <v>1.8045714285714287</v>
      </c>
      <c r="AY25" s="702">
        <v>4.3440000000000003</v>
      </c>
      <c r="AZ25" s="703">
        <v>4.9985714285714291</v>
      </c>
      <c r="BA25" s="704"/>
      <c r="BC25" s="701">
        <v>14</v>
      </c>
      <c r="BD25" s="702">
        <v>27.723809523809525</v>
      </c>
      <c r="BE25" s="702">
        <v>21.747619047619047</v>
      </c>
      <c r="BF25" s="703">
        <v>30.344757142857144</v>
      </c>
      <c r="BG25" s="704"/>
      <c r="BI25" s="701">
        <v>14</v>
      </c>
      <c r="BJ25" s="702">
        <v>183.63690476190476</v>
      </c>
      <c r="BK25" s="702">
        <v>126.89285714285714</v>
      </c>
      <c r="BL25" s="703">
        <v>143.21428571428569</v>
      </c>
      <c r="BM25" s="704"/>
      <c r="BO25" s="701">
        <v>14</v>
      </c>
      <c r="BP25" s="702">
        <v>45.316071428571433</v>
      </c>
      <c r="BQ25" s="702">
        <v>36.577976190476193</v>
      </c>
      <c r="BR25" s="703">
        <v>30.532142857142858</v>
      </c>
      <c r="BS25" s="704"/>
      <c r="BU25" s="701">
        <v>14</v>
      </c>
      <c r="BV25" s="702">
        <v>47.173749999999998</v>
      </c>
      <c r="BW25" s="702">
        <v>48.000833333333333</v>
      </c>
      <c r="BX25" s="703">
        <v>60.706904761904759</v>
      </c>
      <c r="BY25" s="704"/>
      <c r="CA25" s="701">
        <v>14</v>
      </c>
      <c r="CB25" s="702">
        <v>899.83257999999989</v>
      </c>
      <c r="CC25" s="702">
        <v>319.13726857142854</v>
      </c>
      <c r="CD25" s="703">
        <v>617.4352771428571</v>
      </c>
      <c r="CE25" s="704"/>
      <c r="CG25" s="701">
        <v>14</v>
      </c>
      <c r="CH25" s="702">
        <v>231.95946428571429</v>
      </c>
      <c r="CI25" s="702">
        <v>185.69089285714284</v>
      </c>
      <c r="CJ25" s="703">
        <v>281.42077380952378</v>
      </c>
      <c r="CK25" s="704"/>
      <c r="CM25" s="701">
        <v>14</v>
      </c>
      <c r="CN25" s="702">
        <v>231.89868452380952</v>
      </c>
      <c r="CO25" s="702">
        <v>190.09301785714285</v>
      </c>
      <c r="CP25" s="703">
        <v>232.79140476190474</v>
      </c>
      <c r="CQ25" s="704"/>
      <c r="CS25" s="701">
        <v>14</v>
      </c>
      <c r="CT25" s="702">
        <v>125.92857142857142</v>
      </c>
      <c r="CU25" s="702">
        <v>72.668452380952374</v>
      </c>
      <c r="CV25" s="703">
        <v>108.07202380952381</v>
      </c>
      <c r="CW25" s="704"/>
      <c r="CY25" s="701">
        <v>14</v>
      </c>
      <c r="CZ25" s="702">
        <v>0</v>
      </c>
      <c r="DA25" s="702">
        <v>0</v>
      </c>
      <c r="DB25" s="703">
        <v>0</v>
      </c>
      <c r="DC25" s="704">
        <v>0</v>
      </c>
      <c r="DE25" s="701"/>
      <c r="DF25" s="701">
        <v>14</v>
      </c>
      <c r="DG25" s="702">
        <v>0</v>
      </c>
      <c r="DH25" s="703">
        <v>0</v>
      </c>
      <c r="DI25" s="704">
        <v>0</v>
      </c>
      <c r="DK25" s="701">
        <v>14</v>
      </c>
      <c r="DL25" s="702">
        <v>5.7</v>
      </c>
      <c r="DM25" s="702">
        <v>0.80700000000000005</v>
      </c>
      <c r="DN25" s="703">
        <v>1.907</v>
      </c>
      <c r="DO25" s="704"/>
      <c r="DQ25" s="701">
        <v>14</v>
      </c>
      <c r="DR25" s="702">
        <v>12.459285714285713</v>
      </c>
      <c r="DS25" s="702">
        <v>11.487678571428571</v>
      </c>
      <c r="DT25" s="703">
        <v>22.821726190476188</v>
      </c>
      <c r="DU25" s="704"/>
      <c r="DW25" s="701">
        <v>14</v>
      </c>
      <c r="DX25" s="702">
        <v>1.4388928571428572</v>
      </c>
      <c r="DY25" s="702">
        <v>1.2704821428571429</v>
      </c>
      <c r="DZ25" s="703">
        <v>1.4046190476190477</v>
      </c>
      <c r="EA25" s="704"/>
      <c r="EC25" s="701">
        <v>14</v>
      </c>
      <c r="ED25" s="702">
        <v>3.57</v>
      </c>
      <c r="EE25" s="702">
        <v>0.28000000000000003</v>
      </c>
      <c r="EF25" s="703">
        <v>14.6935775</v>
      </c>
      <c r="EG25" s="704"/>
      <c r="EI25" s="701">
        <v>14</v>
      </c>
      <c r="EJ25" s="702">
        <v>2.2170000000000001</v>
      </c>
      <c r="EK25" s="702">
        <v>0.19800000000000001</v>
      </c>
      <c r="EL25" s="703">
        <v>1.04809</v>
      </c>
      <c r="EM25" s="704"/>
      <c r="EO25" s="701">
        <v>14</v>
      </c>
      <c r="EP25" s="702">
        <v>14.207021428571428</v>
      </c>
      <c r="EQ25" s="702">
        <v>2.5313971428571427</v>
      </c>
      <c r="ER25" s="703">
        <v>8.6662857142857135</v>
      </c>
      <c r="ES25" s="704"/>
      <c r="EU25" s="701">
        <v>14</v>
      </c>
      <c r="EV25" s="702">
        <v>0.25</v>
      </c>
      <c r="EW25" s="702">
        <v>0.25</v>
      </c>
      <c r="EX25" s="703">
        <v>0.25</v>
      </c>
      <c r="EY25" s="704"/>
    </row>
    <row r="26" spans="13:155">
      <c r="M26" s="701">
        <v>15</v>
      </c>
      <c r="N26" s="702">
        <v>126.54867458333334</v>
      </c>
      <c r="O26" s="702">
        <v>130.62114053571429</v>
      </c>
      <c r="P26" s="703">
        <v>135.74600136904763</v>
      </c>
      <c r="Q26" s="704"/>
      <c r="S26" s="701">
        <v>15</v>
      </c>
      <c r="T26" s="702">
        <v>8.5952380952380949</v>
      </c>
      <c r="U26" s="702">
        <v>5.2952380952380951</v>
      </c>
      <c r="V26" s="703">
        <v>18.895238095238096</v>
      </c>
      <c r="W26" s="704"/>
      <c r="Y26" s="701">
        <v>15</v>
      </c>
      <c r="Z26" s="702">
        <v>81.303376666666665</v>
      </c>
      <c r="AA26" s="702">
        <v>51.658918125</v>
      </c>
      <c r="AB26" s="703">
        <v>81.418286582278469</v>
      </c>
      <c r="AC26" s="240"/>
      <c r="AD26" s="241"/>
      <c r="AE26" s="701">
        <v>15</v>
      </c>
      <c r="AF26" s="702">
        <v>58.255905654761904</v>
      </c>
      <c r="AG26" s="702">
        <v>55.704789107142851</v>
      </c>
      <c r="AH26" s="703">
        <v>123.42690095238093</v>
      </c>
      <c r="AI26" s="240"/>
      <c r="AK26" s="701">
        <v>15</v>
      </c>
      <c r="AL26" s="702">
        <v>161.58610119047617</v>
      </c>
      <c r="AM26" s="702">
        <v>129.75667857142858</v>
      </c>
      <c r="AN26" s="703">
        <v>137.78995238095237</v>
      </c>
      <c r="AO26" s="704"/>
      <c r="AQ26" s="701">
        <v>15</v>
      </c>
      <c r="AR26" s="702">
        <v>108.36579761904763</v>
      </c>
      <c r="AS26" s="702">
        <v>86.614934523809524</v>
      </c>
      <c r="AT26" s="703">
        <v>44.727767857142858</v>
      </c>
      <c r="AU26" s="704"/>
      <c r="AW26" s="701">
        <v>15</v>
      </c>
      <c r="AX26" s="702">
        <v>1.5654285714285714</v>
      </c>
      <c r="AY26" s="702">
        <v>2.714</v>
      </c>
      <c r="AZ26" s="703">
        <v>3.8874285714285719</v>
      </c>
      <c r="BA26" s="704"/>
      <c r="BC26" s="701">
        <v>15</v>
      </c>
      <c r="BD26" s="702">
        <v>22.026428571428571</v>
      </c>
      <c r="BE26" s="702">
        <v>17.902976190476188</v>
      </c>
      <c r="BF26" s="703">
        <v>28.492922380952383</v>
      </c>
      <c r="BG26" s="704"/>
      <c r="BI26" s="701">
        <v>15</v>
      </c>
      <c r="BJ26" s="702">
        <v>124.73809523809523</v>
      </c>
      <c r="BK26" s="702">
        <v>95.922619047619037</v>
      </c>
      <c r="BL26" s="703">
        <v>112.08333333333331</v>
      </c>
      <c r="BM26" s="704"/>
      <c r="BO26" s="701">
        <v>15</v>
      </c>
      <c r="BP26" s="702">
        <v>26.343452380952382</v>
      </c>
      <c r="BQ26" s="702">
        <v>21.657738095238098</v>
      </c>
      <c r="BR26" s="703">
        <v>25.524999999999999</v>
      </c>
      <c r="BS26" s="704"/>
      <c r="BU26" s="701">
        <v>15</v>
      </c>
      <c r="BV26" s="702">
        <v>36.217321428571431</v>
      </c>
      <c r="BW26" s="702">
        <v>40.025119047619043</v>
      </c>
      <c r="BX26" s="703">
        <v>43.28023809523809</v>
      </c>
      <c r="BY26" s="704"/>
      <c r="CA26" s="701">
        <v>15</v>
      </c>
      <c r="CB26" s="702">
        <v>588.94089285714279</v>
      </c>
      <c r="CC26" s="702">
        <v>221.24078428571428</v>
      </c>
      <c r="CD26" s="703">
        <v>530.55076571428572</v>
      </c>
      <c r="CE26" s="704"/>
      <c r="CG26" s="701">
        <v>15</v>
      </c>
      <c r="CH26" s="702">
        <v>216.75630952380953</v>
      </c>
      <c r="CI26" s="702">
        <v>142.92273809523809</v>
      </c>
      <c r="CJ26" s="703">
        <v>218.85654761904763</v>
      </c>
      <c r="CK26" s="704"/>
      <c r="CM26" s="701">
        <v>15</v>
      </c>
      <c r="CN26" s="702">
        <v>160.00347619047616</v>
      </c>
      <c r="CO26" s="702">
        <v>150.86177976190476</v>
      </c>
      <c r="CP26" s="703">
        <v>177.40020833333332</v>
      </c>
      <c r="CQ26" s="704"/>
      <c r="CS26" s="701">
        <v>15</v>
      </c>
      <c r="CT26" s="702">
        <v>87.702380952380949</v>
      </c>
      <c r="CU26" s="702">
        <v>68.766666666666666</v>
      </c>
      <c r="CV26" s="703">
        <v>109.29166666666666</v>
      </c>
      <c r="CW26" s="704"/>
      <c r="CY26" s="701">
        <v>15</v>
      </c>
      <c r="CZ26" s="702">
        <v>0</v>
      </c>
      <c r="DA26" s="702">
        <v>0</v>
      </c>
      <c r="DB26" s="703">
        <v>0</v>
      </c>
      <c r="DC26" s="704">
        <v>0</v>
      </c>
      <c r="DE26" s="701"/>
      <c r="DF26" s="701">
        <v>15</v>
      </c>
      <c r="DG26" s="702">
        <v>0</v>
      </c>
      <c r="DH26" s="703">
        <v>0</v>
      </c>
      <c r="DI26" s="704">
        <v>0</v>
      </c>
      <c r="DK26" s="701">
        <v>15</v>
      </c>
      <c r="DL26" s="702">
        <v>5.7214285714285715</v>
      </c>
      <c r="DM26" s="702">
        <v>0.80700000000000005</v>
      </c>
      <c r="DN26" s="703">
        <v>1.907</v>
      </c>
      <c r="DO26" s="704"/>
      <c r="DQ26" s="701">
        <v>15</v>
      </c>
      <c r="DR26" s="702">
        <v>12.322202380952382</v>
      </c>
      <c r="DS26" s="702">
        <v>9.0023809523809515</v>
      </c>
      <c r="DT26" s="703">
        <v>23.119761904761905</v>
      </c>
      <c r="DU26" s="704"/>
      <c r="DW26" s="701">
        <v>15</v>
      </c>
      <c r="DX26" s="702">
        <v>1.3466488095238096</v>
      </c>
      <c r="DY26" s="702">
        <v>1.2867261904761906</v>
      </c>
      <c r="DZ26" s="703">
        <v>1.4808154761904762</v>
      </c>
      <c r="EA26" s="704"/>
      <c r="EC26" s="701">
        <v>15</v>
      </c>
      <c r="ED26" s="702">
        <v>4.0244444444444447</v>
      </c>
      <c r="EE26" s="702">
        <v>0.28000000000000003</v>
      </c>
      <c r="EF26" s="703">
        <v>7.9850277241379306</v>
      </c>
      <c r="EG26" s="704"/>
      <c r="EI26" s="701">
        <v>15</v>
      </c>
      <c r="EJ26" s="702">
        <v>2.2170000000000001</v>
      </c>
      <c r="EK26" s="702">
        <v>0.19800000000000001</v>
      </c>
      <c r="EL26" s="703">
        <v>1.04809</v>
      </c>
      <c r="EM26" s="704"/>
      <c r="EO26" s="701">
        <v>15</v>
      </c>
      <c r="EP26" s="702">
        <v>15.186338571428571</v>
      </c>
      <c r="EQ26" s="702">
        <v>6.1909371428571429</v>
      </c>
      <c r="ER26" s="703">
        <v>14.267714285714286</v>
      </c>
      <c r="ES26" s="704"/>
      <c r="EU26" s="701">
        <v>15</v>
      </c>
      <c r="EV26" s="702">
        <v>0.25</v>
      </c>
      <c r="EW26" s="702">
        <v>0.25</v>
      </c>
      <c r="EX26" s="703">
        <v>0.25</v>
      </c>
      <c r="EY26" s="704"/>
    </row>
    <row r="27" spans="13:155">
      <c r="M27" s="701">
        <v>16</v>
      </c>
      <c r="N27" s="702">
        <v>127.2109538095238</v>
      </c>
      <c r="O27" s="702">
        <v>141.51324946428571</v>
      </c>
      <c r="P27" s="703">
        <v>138.68091541666666</v>
      </c>
      <c r="Q27" s="704"/>
      <c r="S27" s="701">
        <v>16</v>
      </c>
      <c r="T27" s="702">
        <v>3.0750000000000002</v>
      </c>
      <c r="U27" s="702">
        <v>5.04702380952381</v>
      </c>
      <c r="V27" s="703">
        <v>18.00357142857143</v>
      </c>
      <c r="W27" s="704"/>
      <c r="Y27" s="701">
        <v>16</v>
      </c>
      <c r="Z27" s="702">
        <v>56.107022499999999</v>
      </c>
      <c r="AA27" s="702">
        <v>48.362686666666669</v>
      </c>
      <c r="AB27" s="703">
        <v>49.408082171052634</v>
      </c>
      <c r="AC27" s="240"/>
      <c r="AD27" s="241"/>
      <c r="AE27" s="701">
        <v>16</v>
      </c>
      <c r="AF27" s="702">
        <v>43.096236369047617</v>
      </c>
      <c r="AG27" s="702">
        <v>32.568072321428566</v>
      </c>
      <c r="AH27" s="703">
        <v>62.043079285714285</v>
      </c>
      <c r="AI27" s="240"/>
      <c r="AK27" s="701">
        <v>16</v>
      </c>
      <c r="AL27" s="702">
        <v>100.25120238095238</v>
      </c>
      <c r="AM27" s="702">
        <v>144.20861904761904</v>
      </c>
      <c r="AN27" s="703">
        <v>119.82991666666666</v>
      </c>
      <c r="AO27" s="704"/>
      <c r="AQ27" s="701">
        <v>16</v>
      </c>
      <c r="AR27" s="702">
        <v>80.749875000000003</v>
      </c>
      <c r="AS27" s="702">
        <v>122.8224226190476</v>
      </c>
      <c r="AT27" s="703">
        <v>23.616560297619046</v>
      </c>
      <c r="AU27" s="704"/>
      <c r="AW27" s="701">
        <v>16</v>
      </c>
      <c r="AX27" s="702">
        <v>1.6847142857142858</v>
      </c>
      <c r="AY27" s="702">
        <v>1.9338571428571429</v>
      </c>
      <c r="AZ27" s="703">
        <v>2.6228571428571428</v>
      </c>
      <c r="BA27" s="704"/>
      <c r="BC27" s="701">
        <v>16</v>
      </c>
      <c r="BD27" s="702">
        <v>15.927976190476191</v>
      </c>
      <c r="BE27" s="702">
        <v>16.516666666666666</v>
      </c>
      <c r="BF27" s="703">
        <v>24.209981904761904</v>
      </c>
      <c r="BG27" s="704"/>
      <c r="BI27" s="701">
        <v>16</v>
      </c>
      <c r="BJ27" s="702">
        <v>78.339285714285708</v>
      </c>
      <c r="BK27" s="702">
        <v>80.702380952380949</v>
      </c>
      <c r="BL27" s="703">
        <v>82.74404761904762</v>
      </c>
      <c r="BM27" s="704"/>
      <c r="BO27" s="701">
        <v>16</v>
      </c>
      <c r="BP27" s="702">
        <v>19.653571428571428</v>
      </c>
      <c r="BQ27" s="702">
        <v>17.351190476190474</v>
      </c>
      <c r="BR27" s="703">
        <v>19.833928571428569</v>
      </c>
      <c r="BS27" s="704"/>
      <c r="BU27" s="701">
        <v>16</v>
      </c>
      <c r="BV27" s="702">
        <v>27.318035714285713</v>
      </c>
      <c r="BW27" s="702">
        <v>25.149166666666666</v>
      </c>
      <c r="BX27" s="703">
        <v>35.570476190476185</v>
      </c>
      <c r="BY27" s="704"/>
      <c r="CA27" s="701">
        <v>16</v>
      </c>
      <c r="CB27" s="702">
        <v>254.20857285714285</v>
      </c>
      <c r="CC27" s="702">
        <v>165.36131142857141</v>
      </c>
      <c r="CD27" s="703">
        <v>334.52101714285715</v>
      </c>
      <c r="CE27" s="704"/>
      <c r="CG27" s="701">
        <v>16</v>
      </c>
      <c r="CH27" s="702">
        <v>130.34029761904762</v>
      </c>
      <c r="CI27" s="702">
        <v>94.682916666666671</v>
      </c>
      <c r="CJ27" s="703">
        <v>188.31619047619046</v>
      </c>
      <c r="CK27" s="704"/>
      <c r="CM27" s="701">
        <v>16</v>
      </c>
      <c r="CN27" s="702">
        <v>119.0878869047619</v>
      </c>
      <c r="CO27" s="702">
        <v>151.21558583333334</v>
      </c>
      <c r="CP27" s="703">
        <v>158.09252976190476</v>
      </c>
      <c r="CQ27" s="704"/>
      <c r="CS27" s="701">
        <v>16</v>
      </c>
      <c r="CT27" s="702">
        <v>56.357142857142854</v>
      </c>
      <c r="CU27" s="702">
        <v>55.250595238095237</v>
      </c>
      <c r="CV27" s="703">
        <v>80.110119047619037</v>
      </c>
      <c r="CW27" s="704"/>
      <c r="CY27" s="701">
        <v>16</v>
      </c>
      <c r="CZ27" s="702">
        <v>0</v>
      </c>
      <c r="DA27" s="702">
        <v>0</v>
      </c>
      <c r="DB27" s="703">
        <v>0</v>
      </c>
      <c r="DC27" s="704">
        <v>0</v>
      </c>
      <c r="DE27" s="701"/>
      <c r="DF27" s="701">
        <v>16</v>
      </c>
      <c r="DG27" s="702">
        <v>0.76466714285714299</v>
      </c>
      <c r="DH27" s="703">
        <v>0</v>
      </c>
      <c r="DI27" s="704">
        <v>0</v>
      </c>
      <c r="DK27" s="701">
        <v>16</v>
      </c>
      <c r="DL27" s="702">
        <v>3.8471428571428574</v>
      </c>
      <c r="DM27" s="702">
        <v>0.80700000000000005</v>
      </c>
      <c r="DN27" s="703">
        <v>1.907</v>
      </c>
      <c r="DO27" s="704"/>
      <c r="DQ27" s="701">
        <v>16</v>
      </c>
      <c r="DR27" s="702">
        <v>12.955416666666666</v>
      </c>
      <c r="DS27" s="702">
        <v>9.1518452380952375</v>
      </c>
      <c r="DT27" s="703">
        <v>20.361309523809524</v>
      </c>
      <c r="DU27" s="704"/>
      <c r="DW27" s="701">
        <v>16</v>
      </c>
      <c r="DX27" s="702">
        <v>0.67966071428571428</v>
      </c>
      <c r="DY27" s="702">
        <v>1.2563095238095239</v>
      </c>
      <c r="DZ27" s="703">
        <v>1.4025178571428571</v>
      </c>
      <c r="EA27" s="704"/>
      <c r="EC27" s="701">
        <v>16</v>
      </c>
      <c r="ED27" s="702">
        <v>1.94</v>
      </c>
      <c r="EE27" s="702"/>
      <c r="EF27" s="703">
        <v>10.51043515151515</v>
      </c>
      <c r="EG27" s="704"/>
      <c r="EI27" s="701">
        <v>16</v>
      </c>
      <c r="EJ27" s="702">
        <v>2.2170000000000001</v>
      </c>
      <c r="EK27" s="702">
        <v>0.19800000000000001</v>
      </c>
      <c r="EL27" s="703">
        <v>0.9868042857142858</v>
      </c>
      <c r="EM27" s="704"/>
      <c r="EO27" s="701">
        <v>16</v>
      </c>
      <c r="EP27" s="702">
        <v>10.167032857142857</v>
      </c>
      <c r="EQ27" s="702">
        <v>5.9495714285714296</v>
      </c>
      <c r="ER27" s="703">
        <v>19.662285714285712</v>
      </c>
      <c r="ES27" s="704"/>
      <c r="EU27" s="701">
        <v>16</v>
      </c>
      <c r="EV27" s="702">
        <v>3.1428571428571428</v>
      </c>
      <c r="EW27" s="702">
        <v>0.25</v>
      </c>
      <c r="EX27" s="703">
        <v>0.25</v>
      </c>
      <c r="EY27" s="704"/>
    </row>
    <row r="28" spans="13:155">
      <c r="M28" s="701">
        <v>17</v>
      </c>
      <c r="N28" s="702">
        <v>75.570596904761899</v>
      </c>
      <c r="O28" s="702">
        <v>86.893008214285715</v>
      </c>
      <c r="P28" s="703">
        <v>104.88934267857142</v>
      </c>
      <c r="Q28" s="704"/>
      <c r="S28" s="701">
        <v>17</v>
      </c>
      <c r="T28" s="702">
        <v>1.2910714285714286</v>
      </c>
      <c r="U28" s="702">
        <v>3.4351190476190476</v>
      </c>
      <c r="V28" s="703">
        <v>4.5672619047619047</v>
      </c>
      <c r="W28" s="704"/>
      <c r="Y28" s="701">
        <v>17</v>
      </c>
      <c r="Z28" s="702">
        <v>41.996172857142859</v>
      </c>
      <c r="AA28" s="702">
        <v>40.558080416666662</v>
      </c>
      <c r="AB28" s="703">
        <v>46.540500394736839</v>
      </c>
      <c r="AC28" s="240"/>
      <c r="AD28" s="241"/>
      <c r="AE28" s="701">
        <v>17</v>
      </c>
      <c r="AF28" s="702">
        <v>43.193337797619051</v>
      </c>
      <c r="AG28" s="702">
        <v>28.112008273809522</v>
      </c>
      <c r="AH28" s="703">
        <v>38.795942619047622</v>
      </c>
      <c r="AI28" s="240"/>
      <c r="AK28" s="701">
        <v>17</v>
      </c>
      <c r="AL28" s="702">
        <v>67.81218452380952</v>
      </c>
      <c r="AM28" s="702">
        <v>104.17830952380953</v>
      </c>
      <c r="AN28" s="703">
        <v>89.129458333333332</v>
      </c>
      <c r="AO28" s="704"/>
      <c r="AQ28" s="701">
        <v>17</v>
      </c>
      <c r="AR28" s="702">
        <v>68.480440476190481</v>
      </c>
      <c r="AS28" s="702">
        <v>111.59986904761905</v>
      </c>
      <c r="AT28" s="703">
        <v>45.043803571428576</v>
      </c>
      <c r="AU28" s="704"/>
      <c r="AW28" s="701">
        <v>17</v>
      </c>
      <c r="AX28" s="702">
        <v>1.6890000000000001</v>
      </c>
      <c r="AY28" s="702">
        <v>1.635</v>
      </c>
      <c r="AZ28" s="703">
        <v>2.1997142857142857</v>
      </c>
      <c r="BA28" s="704"/>
      <c r="BC28" s="701">
        <v>17</v>
      </c>
      <c r="BD28" s="702">
        <v>14.522619047619047</v>
      </c>
      <c r="BE28" s="702">
        <v>15.535714285714286</v>
      </c>
      <c r="BF28" s="703">
        <v>20.523017619047621</v>
      </c>
      <c r="BG28" s="704"/>
      <c r="BI28" s="701">
        <v>17</v>
      </c>
      <c r="BJ28" s="702">
        <v>66.11904761904762</v>
      </c>
      <c r="BK28" s="702">
        <v>55.785714285714285</v>
      </c>
      <c r="BL28" s="703">
        <v>65.61904761904762</v>
      </c>
      <c r="BM28" s="704"/>
      <c r="BO28" s="701">
        <v>17</v>
      </c>
      <c r="BP28" s="702">
        <v>19.585119047619049</v>
      </c>
      <c r="BQ28" s="702">
        <v>13.676785714285716</v>
      </c>
      <c r="BR28" s="703">
        <v>16.553571428571431</v>
      </c>
      <c r="BS28" s="704"/>
      <c r="BU28" s="701">
        <v>17</v>
      </c>
      <c r="BV28" s="702">
        <v>17.891964285714288</v>
      </c>
      <c r="BW28" s="702">
        <v>19.712261904761903</v>
      </c>
      <c r="BX28" s="703">
        <v>24.515119047619049</v>
      </c>
      <c r="BY28" s="704"/>
      <c r="CA28" s="701">
        <v>17</v>
      </c>
      <c r="CB28" s="702">
        <v>187.03745428571429</v>
      </c>
      <c r="CC28" s="702">
        <v>124.72951</v>
      </c>
      <c r="CD28" s="703">
        <v>213.51329428571427</v>
      </c>
      <c r="CE28" s="704"/>
      <c r="CG28" s="701">
        <v>17</v>
      </c>
      <c r="CH28" s="702">
        <v>98.390357142857141</v>
      </c>
      <c r="CI28" s="702">
        <v>65.57083333333334</v>
      </c>
      <c r="CJ28" s="703">
        <v>137.52196428571429</v>
      </c>
      <c r="CK28" s="704"/>
      <c r="CM28" s="701">
        <v>17</v>
      </c>
      <c r="CN28" s="702">
        <v>72.613279761904764</v>
      </c>
      <c r="CO28" s="702">
        <v>87.714916666666653</v>
      </c>
      <c r="CP28" s="703">
        <v>109.92815833333333</v>
      </c>
      <c r="CQ28" s="704"/>
      <c r="CS28" s="701">
        <v>17</v>
      </c>
      <c r="CT28" s="702">
        <v>39.56547619047619</v>
      </c>
      <c r="CU28" s="702">
        <v>36.413095238095238</v>
      </c>
      <c r="CV28" s="703">
        <v>58.227380952380955</v>
      </c>
      <c r="CW28" s="704"/>
      <c r="CY28" s="701">
        <v>17</v>
      </c>
      <c r="CZ28" s="702">
        <v>0</v>
      </c>
      <c r="DA28" s="702">
        <v>0</v>
      </c>
      <c r="DB28" s="703">
        <v>0</v>
      </c>
      <c r="DC28" s="704">
        <v>0</v>
      </c>
      <c r="DE28" s="701"/>
      <c r="DF28" s="701">
        <v>17</v>
      </c>
      <c r="DG28" s="702">
        <v>0</v>
      </c>
      <c r="DH28" s="703">
        <v>0</v>
      </c>
      <c r="DI28" s="704">
        <v>0</v>
      </c>
      <c r="DK28" s="701">
        <v>17</v>
      </c>
      <c r="DL28" s="702">
        <v>2.1800000000000002</v>
      </c>
      <c r="DM28" s="702">
        <v>0.80700000000000005</v>
      </c>
      <c r="DN28" s="703">
        <v>1.8355714285714286</v>
      </c>
      <c r="DO28" s="704"/>
      <c r="DQ28" s="701">
        <v>17</v>
      </c>
      <c r="DR28" s="702">
        <v>12.944107142857144</v>
      </c>
      <c r="DS28" s="702">
        <v>9.4439285714285717</v>
      </c>
      <c r="DT28" s="703">
        <v>12.997958333333333</v>
      </c>
      <c r="DU28" s="704"/>
      <c r="DW28" s="701">
        <v>17</v>
      </c>
      <c r="DX28" s="702">
        <v>1.4606011904761906</v>
      </c>
      <c r="DY28" s="702">
        <v>1.2972976190476191</v>
      </c>
      <c r="DZ28" s="703">
        <v>1.4080833333333336</v>
      </c>
      <c r="EA28" s="704"/>
      <c r="EC28" s="701">
        <v>17</v>
      </c>
      <c r="ED28" s="702">
        <v>4.6387499999999999</v>
      </c>
      <c r="EE28" s="702">
        <v>0.7</v>
      </c>
      <c r="EF28" s="703">
        <v>5.1834006896551728</v>
      </c>
      <c r="EG28" s="704"/>
      <c r="EI28" s="701">
        <v>17</v>
      </c>
      <c r="EJ28" s="702">
        <v>0.68400000000000005</v>
      </c>
      <c r="EK28" s="702">
        <v>0.19800000000000001</v>
      </c>
      <c r="EL28" s="703">
        <v>0.61909000000000003</v>
      </c>
      <c r="EM28" s="704"/>
      <c r="EO28" s="701">
        <v>17</v>
      </c>
      <c r="EP28" s="702">
        <v>4.9692857142857143</v>
      </c>
      <c r="EQ28" s="702">
        <v>3.2694285714285716</v>
      </c>
      <c r="ER28" s="703">
        <v>14.487468571428572</v>
      </c>
      <c r="ES28" s="704"/>
      <c r="EU28" s="701">
        <v>17</v>
      </c>
      <c r="EV28" s="702">
        <v>2.3571428571428572</v>
      </c>
      <c r="EW28" s="702">
        <v>0.25</v>
      </c>
      <c r="EX28" s="703">
        <v>0.25</v>
      </c>
      <c r="EY28" s="704"/>
    </row>
    <row r="29" spans="13:155">
      <c r="M29" s="701">
        <v>18</v>
      </c>
      <c r="N29" s="702">
        <v>72.999183690476187</v>
      </c>
      <c r="O29" s="702">
        <v>49.564035952380955</v>
      </c>
      <c r="P29" s="703">
        <v>79.955654642857141</v>
      </c>
      <c r="Q29" s="704"/>
      <c r="S29" s="701">
        <v>18</v>
      </c>
      <c r="T29" s="702">
        <v>2</v>
      </c>
      <c r="U29" s="702">
        <v>5.4470238095238104</v>
      </c>
      <c r="V29" s="703">
        <v>1.2428571428571429</v>
      </c>
      <c r="W29" s="704"/>
      <c r="Y29" s="701">
        <v>18</v>
      </c>
      <c r="Z29" s="702">
        <v>33.278795000000002</v>
      </c>
      <c r="AA29" s="702">
        <v>33.507360499999997</v>
      </c>
      <c r="AB29" s="703">
        <v>39.881361630434782</v>
      </c>
      <c r="AC29" s="704"/>
      <c r="AE29" s="701">
        <v>18</v>
      </c>
      <c r="AF29" s="702">
        <v>35.822160773809522</v>
      </c>
      <c r="AG29" s="702">
        <v>23.947632678571427</v>
      </c>
      <c r="AH29" s="703">
        <v>33.113037619047617</v>
      </c>
      <c r="AI29" s="704"/>
      <c r="AK29" s="701">
        <v>18</v>
      </c>
      <c r="AL29" s="702">
        <v>58.212613095238098</v>
      </c>
      <c r="AM29" s="702">
        <v>64.587315476190469</v>
      </c>
      <c r="AN29" s="703">
        <v>76.267738095238087</v>
      </c>
      <c r="AO29" s="704"/>
      <c r="AQ29" s="701">
        <v>18</v>
      </c>
      <c r="AR29" s="702">
        <v>55.016589285714282</v>
      </c>
      <c r="AS29" s="702">
        <v>80.359458333333322</v>
      </c>
      <c r="AT29" s="703">
        <v>68.592238095238088</v>
      </c>
      <c r="AU29" s="704"/>
      <c r="AW29" s="701">
        <v>18</v>
      </c>
      <c r="AX29" s="702">
        <v>1.5081547619047619</v>
      </c>
      <c r="AY29" s="702">
        <v>1.6892857142857143</v>
      </c>
      <c r="AZ29" s="703">
        <v>2.0242857142857145</v>
      </c>
      <c r="BA29" s="704"/>
      <c r="BC29" s="701">
        <v>18</v>
      </c>
      <c r="BD29" s="702">
        <v>13.780952380952382</v>
      </c>
      <c r="BE29" s="702">
        <v>14.443452380952381</v>
      </c>
      <c r="BF29" s="703">
        <v>16.404165714285714</v>
      </c>
      <c r="BG29" s="704"/>
      <c r="BI29" s="701">
        <v>18</v>
      </c>
      <c r="BJ29" s="702">
        <v>55.178571428571431</v>
      </c>
      <c r="BK29" s="702">
        <v>45.077380952380956</v>
      </c>
      <c r="BL29" s="703">
        <v>57.458333333333336</v>
      </c>
      <c r="BM29" s="704"/>
      <c r="BO29" s="701">
        <v>18</v>
      </c>
      <c r="BP29" s="702">
        <v>17.828571428571429</v>
      </c>
      <c r="BQ29" s="702">
        <v>11.102976190476191</v>
      </c>
      <c r="BR29" s="703">
        <v>14.15952380952381</v>
      </c>
      <c r="BS29" s="704"/>
      <c r="BU29" s="701">
        <v>18</v>
      </c>
      <c r="BV29" s="702">
        <v>16.581488095238097</v>
      </c>
      <c r="BW29" s="702">
        <v>14.74017857142857</v>
      </c>
      <c r="BX29" s="703">
        <v>19.511369047619048</v>
      </c>
      <c r="BY29" s="704"/>
      <c r="CA29" s="701">
        <v>18</v>
      </c>
      <c r="CB29" s="702">
        <v>152.06798428571429</v>
      </c>
      <c r="CC29" s="702">
        <v>103.07083142857144</v>
      </c>
      <c r="CD29" s="703">
        <v>179.03296428571426</v>
      </c>
      <c r="CE29" s="704"/>
      <c r="CG29" s="701">
        <v>18</v>
      </c>
      <c r="CH29" s="702">
        <v>73.368809523809517</v>
      </c>
      <c r="CI29" s="702">
        <v>54.774523809523799</v>
      </c>
      <c r="CJ29" s="703">
        <v>96.332678571428559</v>
      </c>
      <c r="CK29" s="704"/>
      <c r="CM29" s="701">
        <v>18</v>
      </c>
      <c r="CN29" s="702">
        <v>70.407375000000002</v>
      </c>
      <c r="CO29" s="702">
        <v>60.747029761904763</v>
      </c>
      <c r="CP29" s="703">
        <v>88.799696547619035</v>
      </c>
      <c r="CQ29" s="704"/>
      <c r="CS29" s="701">
        <v>18</v>
      </c>
      <c r="CT29" s="702">
        <v>33.113095238095241</v>
      </c>
      <c r="CU29" s="702">
        <v>26.639285714285712</v>
      </c>
      <c r="CV29" s="703">
        <v>46.49404761904762</v>
      </c>
      <c r="CW29" s="704"/>
      <c r="CY29" s="701">
        <v>18</v>
      </c>
      <c r="CZ29" s="702">
        <v>0</v>
      </c>
      <c r="DA29" s="702">
        <v>0</v>
      </c>
      <c r="DB29" s="703">
        <v>0</v>
      </c>
      <c r="DC29" s="704">
        <v>0</v>
      </c>
      <c r="DE29" s="701"/>
      <c r="DF29" s="701">
        <v>18</v>
      </c>
      <c r="DG29" s="702">
        <v>0</v>
      </c>
      <c r="DH29" s="703">
        <v>0</v>
      </c>
      <c r="DI29" s="704">
        <v>0</v>
      </c>
      <c r="DK29" s="701">
        <v>18</v>
      </c>
      <c r="DL29" s="702">
        <v>2.1878571428571432</v>
      </c>
      <c r="DM29" s="702">
        <v>0.80700000000000005</v>
      </c>
      <c r="DN29" s="703">
        <v>1.407</v>
      </c>
      <c r="DO29" s="704"/>
      <c r="DQ29" s="701">
        <v>18</v>
      </c>
      <c r="DR29" s="702">
        <v>12.146488095238094</v>
      </c>
      <c r="DS29" s="702">
        <v>9.9751785714285699</v>
      </c>
      <c r="DT29" s="703">
        <v>9.9180654761904758</v>
      </c>
      <c r="DU29" s="704"/>
      <c r="DW29" s="701">
        <v>18</v>
      </c>
      <c r="DX29" s="702">
        <v>1.4158571428571429</v>
      </c>
      <c r="DY29" s="702">
        <v>1.2293928571428572</v>
      </c>
      <c r="DZ29" s="703">
        <v>1.3373035714285715</v>
      </c>
      <c r="EA29" s="704"/>
      <c r="EC29" s="701">
        <v>18</v>
      </c>
      <c r="ED29" s="702">
        <v>0.66</v>
      </c>
      <c r="EE29" s="702">
        <v>0.22222222222222221</v>
      </c>
      <c r="EF29" s="703">
        <v>3.2066206896551726</v>
      </c>
      <c r="EG29" s="704"/>
      <c r="EI29" s="701">
        <v>18</v>
      </c>
      <c r="EJ29" s="702">
        <v>0.68400000000000005</v>
      </c>
      <c r="EK29" s="702">
        <v>0.19800000000000001</v>
      </c>
      <c r="EL29" s="703">
        <v>0.61909000000000003</v>
      </c>
      <c r="EM29" s="704"/>
      <c r="EO29" s="701">
        <v>18</v>
      </c>
      <c r="EP29" s="702">
        <v>6.0117128571428573</v>
      </c>
      <c r="EQ29" s="702">
        <v>5.1349728571428574</v>
      </c>
      <c r="ER29" s="703">
        <v>10.036137142857143</v>
      </c>
      <c r="ES29" s="704"/>
      <c r="EU29" s="701">
        <v>18</v>
      </c>
      <c r="EV29" s="702">
        <v>0.25</v>
      </c>
      <c r="EW29" s="702">
        <v>0.25</v>
      </c>
      <c r="EX29" s="703">
        <v>0.25</v>
      </c>
      <c r="EY29" s="704"/>
    </row>
    <row r="30" spans="13:155">
      <c r="M30" s="701">
        <v>19</v>
      </c>
      <c r="N30" s="702">
        <v>53.890170952380949</v>
      </c>
      <c r="O30" s="702">
        <v>114.63503857142857</v>
      </c>
      <c r="P30" s="703">
        <v>104.76913678571428</v>
      </c>
      <c r="Q30" s="704"/>
      <c r="S30" s="701">
        <v>19</v>
      </c>
      <c r="T30" s="702">
        <v>2</v>
      </c>
      <c r="U30" s="702">
        <v>2.5779761904761904</v>
      </c>
      <c r="V30" s="703">
        <v>0.92678571428571432</v>
      </c>
      <c r="W30" s="704"/>
      <c r="Y30" s="701">
        <v>19</v>
      </c>
      <c r="Z30" s="702">
        <v>28.357924000000001</v>
      </c>
      <c r="AA30" s="702">
        <v>32.68122588235294</v>
      </c>
      <c r="AB30" s="703">
        <v>37.760945842696628</v>
      </c>
      <c r="AC30" s="704"/>
      <c r="AE30" s="701">
        <v>19</v>
      </c>
      <c r="AF30" s="702">
        <v>36.694171726190476</v>
      </c>
      <c r="AG30" s="702">
        <v>84.507175892857148</v>
      </c>
      <c r="AH30" s="703">
        <v>32.575099166666668</v>
      </c>
      <c r="AI30" s="704"/>
      <c r="AK30" s="701">
        <v>19</v>
      </c>
      <c r="AL30" s="702">
        <v>54.88247619047619</v>
      </c>
      <c r="AM30" s="702">
        <v>69.162404761904753</v>
      </c>
      <c r="AN30" s="703">
        <v>71.59408928571429</v>
      </c>
      <c r="AO30" s="704"/>
      <c r="AQ30" s="701">
        <v>19</v>
      </c>
      <c r="AR30" s="702">
        <v>63.114898809523808</v>
      </c>
      <c r="AS30" s="702">
        <v>45.066910714285719</v>
      </c>
      <c r="AT30" s="703">
        <v>44.320083333333336</v>
      </c>
      <c r="AU30" s="704"/>
      <c r="AW30" s="701">
        <v>19</v>
      </c>
      <c r="AX30" s="702">
        <v>1.5408571428571429</v>
      </c>
      <c r="AY30" s="702">
        <v>1.6611428571428573</v>
      </c>
      <c r="AZ30" s="703">
        <v>1.9041428571428574</v>
      </c>
      <c r="BA30" s="704"/>
      <c r="BC30" s="701">
        <v>19</v>
      </c>
      <c r="BD30" s="702">
        <v>12.896428571428572</v>
      </c>
      <c r="BE30" s="702">
        <v>14.310714285714285</v>
      </c>
      <c r="BF30" s="703">
        <v>15.681549047619047</v>
      </c>
      <c r="BG30" s="704"/>
      <c r="BI30" s="701">
        <v>19</v>
      </c>
      <c r="BJ30" s="702">
        <v>59.773809523809526</v>
      </c>
      <c r="BK30" s="702">
        <v>143.95238095238093</v>
      </c>
      <c r="BL30" s="703">
        <v>56.827380952380949</v>
      </c>
      <c r="BM30" s="704"/>
      <c r="BO30" s="701">
        <v>19</v>
      </c>
      <c r="BP30" s="702">
        <v>15.455357142857144</v>
      </c>
      <c r="BQ30" s="702">
        <v>28.217261904761902</v>
      </c>
      <c r="BR30" s="703">
        <v>13.892857142857144</v>
      </c>
      <c r="BS30" s="704"/>
      <c r="BU30" s="701">
        <v>19</v>
      </c>
      <c r="BV30" s="702">
        <v>14.322857142857142</v>
      </c>
      <c r="BW30" s="702">
        <v>19.123690476190475</v>
      </c>
      <c r="BX30" s="703">
        <v>18.293869047619047</v>
      </c>
      <c r="BY30" s="704"/>
      <c r="CA30" s="701">
        <v>19</v>
      </c>
      <c r="CB30" s="702">
        <v>128.29431714285715</v>
      </c>
      <c r="CC30" s="702">
        <v>116.87831</v>
      </c>
      <c r="CD30" s="703">
        <v>175.37490142857143</v>
      </c>
      <c r="CE30" s="704"/>
      <c r="CG30" s="701">
        <v>19</v>
      </c>
      <c r="CH30" s="702">
        <v>69.379761904761907</v>
      </c>
      <c r="CI30" s="702">
        <v>99.050357142857123</v>
      </c>
      <c r="CJ30" s="703">
        <v>96.053988095238097</v>
      </c>
      <c r="CK30" s="704"/>
      <c r="CM30" s="701">
        <v>19</v>
      </c>
      <c r="CN30" s="702">
        <v>64.457660714285709</v>
      </c>
      <c r="CO30" s="702">
        <v>125.13584011904761</v>
      </c>
      <c r="CP30" s="703">
        <v>117.70054428571427</v>
      </c>
      <c r="CQ30" s="704"/>
      <c r="CS30" s="701">
        <v>19</v>
      </c>
      <c r="CT30" s="702">
        <v>28.604166666666668</v>
      </c>
      <c r="CU30" s="702">
        <v>24.462499999999999</v>
      </c>
      <c r="CV30" s="703">
        <v>36.888095238095239</v>
      </c>
      <c r="CW30" s="704"/>
      <c r="CY30" s="701">
        <v>19</v>
      </c>
      <c r="CZ30" s="702">
        <v>0</v>
      </c>
      <c r="DA30" s="702">
        <v>0</v>
      </c>
      <c r="DB30" s="703">
        <v>0</v>
      </c>
      <c r="DC30" s="704">
        <v>0</v>
      </c>
      <c r="DE30" s="701"/>
      <c r="DF30" s="701">
        <v>19</v>
      </c>
      <c r="DG30" s="702">
        <v>0</v>
      </c>
      <c r="DH30" s="703">
        <v>0</v>
      </c>
      <c r="DI30" s="704">
        <v>0</v>
      </c>
      <c r="DK30" s="701">
        <v>19</v>
      </c>
      <c r="DL30" s="702">
        <v>2.5449999999999999</v>
      </c>
      <c r="DM30" s="702">
        <v>0.80700000000000005</v>
      </c>
      <c r="DN30" s="703">
        <v>0.89271428571428568</v>
      </c>
      <c r="DO30" s="704"/>
      <c r="DQ30" s="701">
        <v>19</v>
      </c>
      <c r="DR30" s="702">
        <v>11.972083333333332</v>
      </c>
      <c r="DS30" s="702">
        <v>10.429345238095237</v>
      </c>
      <c r="DT30" s="703">
        <v>11.172154761904762</v>
      </c>
      <c r="DU30" s="704"/>
      <c r="DW30" s="701">
        <v>19</v>
      </c>
      <c r="DX30" s="702">
        <v>1.5395297619047619</v>
      </c>
      <c r="DY30" s="702">
        <v>1.2996726190476189</v>
      </c>
      <c r="DZ30" s="703">
        <v>1.2195952380952382</v>
      </c>
      <c r="EA30" s="704"/>
      <c r="EC30" s="701">
        <v>19</v>
      </c>
      <c r="ED30" s="702">
        <v>1.0375000000000001</v>
      </c>
      <c r="EE30" s="702">
        <v>3.1160000000000001</v>
      </c>
      <c r="EF30" s="703">
        <v>2.9658409570724844</v>
      </c>
      <c r="EG30" s="704"/>
      <c r="EI30" s="701">
        <v>19</v>
      </c>
      <c r="EJ30" s="702">
        <v>0.4582857142857143</v>
      </c>
      <c r="EK30" s="702">
        <v>0.19800000000000001</v>
      </c>
      <c r="EL30" s="703">
        <v>0.61909000000000003</v>
      </c>
      <c r="EM30" s="704"/>
      <c r="EO30" s="701">
        <v>19</v>
      </c>
      <c r="EP30" s="702">
        <v>5.3956485714285725</v>
      </c>
      <c r="EQ30" s="702">
        <v>3.4321971428571429</v>
      </c>
      <c r="ER30" s="703">
        <v>11.370142857142858</v>
      </c>
      <c r="ES30" s="704"/>
      <c r="EU30" s="701">
        <v>19</v>
      </c>
      <c r="EV30" s="702">
        <v>0.25</v>
      </c>
      <c r="EW30" s="702">
        <v>0.25</v>
      </c>
      <c r="EX30" s="703">
        <v>0.25</v>
      </c>
      <c r="EY30" s="704"/>
    </row>
    <row r="31" spans="13:155">
      <c r="M31" s="701">
        <v>20</v>
      </c>
      <c r="N31" s="702">
        <v>86.558922142857142</v>
      </c>
      <c r="O31" s="702">
        <v>112.78697410714285</v>
      </c>
      <c r="P31" s="703">
        <v>72.762879464285717</v>
      </c>
      <c r="Q31" s="704"/>
      <c r="S31" s="701">
        <v>20</v>
      </c>
      <c r="T31" s="702">
        <v>2.0285714285714285</v>
      </c>
      <c r="U31" s="702">
        <v>0.9</v>
      </c>
      <c r="V31" s="703">
        <v>0.97142857142857153</v>
      </c>
      <c r="W31" s="704"/>
      <c r="Y31" s="701">
        <v>20</v>
      </c>
      <c r="Z31" s="702">
        <v>29.051598333333335</v>
      </c>
      <c r="AA31" s="702">
        <v>29.6009232</v>
      </c>
      <c r="AB31" s="703">
        <v>28.6094015942029</v>
      </c>
      <c r="AC31" s="704"/>
      <c r="AE31" s="701">
        <v>20</v>
      </c>
      <c r="AF31" s="702">
        <v>43.645573452380951</v>
      </c>
      <c r="AG31" s="702">
        <v>38.052261547619047</v>
      </c>
      <c r="AH31" s="703">
        <v>28.741733690476192</v>
      </c>
      <c r="AI31" s="704"/>
      <c r="AK31" s="701">
        <v>20</v>
      </c>
      <c r="AL31" s="702">
        <v>62.818214285714284</v>
      </c>
      <c r="AM31" s="702">
        <v>53.960279761904758</v>
      </c>
      <c r="AN31" s="703">
        <v>67.68320238095238</v>
      </c>
      <c r="AO31" s="704"/>
      <c r="AQ31" s="701">
        <v>20</v>
      </c>
      <c r="AR31" s="702">
        <v>74.948547619047616</v>
      </c>
      <c r="AS31" s="702">
        <v>32.585035714285709</v>
      </c>
      <c r="AT31" s="703">
        <v>38.860267857142858</v>
      </c>
      <c r="AU31" s="704"/>
      <c r="AW31" s="701">
        <v>20</v>
      </c>
      <c r="AX31" s="702">
        <v>1.2637857142857143</v>
      </c>
      <c r="AY31" s="702">
        <v>1.8321428571428573</v>
      </c>
      <c r="AZ31" s="703">
        <v>1.7001428571428572</v>
      </c>
      <c r="BA31" s="704"/>
      <c r="BC31" s="701">
        <v>20</v>
      </c>
      <c r="BD31" s="702">
        <v>12.223214285714285</v>
      </c>
      <c r="BE31" s="702">
        <v>13.001190476190477</v>
      </c>
      <c r="BF31" s="703">
        <v>20.557144285714287</v>
      </c>
      <c r="BG31" s="704"/>
      <c r="BI31" s="701">
        <v>20</v>
      </c>
      <c r="BJ31" s="702">
        <v>76.803571428571431</v>
      </c>
      <c r="BK31" s="702">
        <v>64.56547619047619</v>
      </c>
      <c r="BL31" s="703">
        <v>67.642857142857139</v>
      </c>
      <c r="BM31" s="704"/>
      <c r="BO31" s="701">
        <v>20</v>
      </c>
      <c r="BP31" s="702">
        <v>17.032738095238095</v>
      </c>
      <c r="BQ31" s="702">
        <v>16.260714285714286</v>
      </c>
      <c r="BR31" s="703">
        <v>16.419047619047618</v>
      </c>
      <c r="BS31" s="704"/>
      <c r="BU31" s="701">
        <v>20</v>
      </c>
      <c r="BV31" s="702">
        <v>12.91720238095238</v>
      </c>
      <c r="BW31" s="702">
        <v>15.378273809523808</v>
      </c>
      <c r="BX31" s="703">
        <v>16.110416666666666</v>
      </c>
      <c r="BY31" s="704"/>
      <c r="CA31" s="701">
        <v>20</v>
      </c>
      <c r="CB31" s="702">
        <v>131.36130285714285</v>
      </c>
      <c r="CC31" s="702">
        <v>108.38799857142857</v>
      </c>
      <c r="CD31" s="703">
        <v>138.26151142857142</v>
      </c>
      <c r="CE31" s="704"/>
      <c r="CG31" s="701">
        <v>20</v>
      </c>
      <c r="CH31" s="702">
        <v>63.204166666666659</v>
      </c>
      <c r="CI31" s="702">
        <v>79.092202380952372</v>
      </c>
      <c r="CJ31" s="703">
        <v>70.166785714285709</v>
      </c>
      <c r="CK31" s="704"/>
      <c r="CM31" s="701">
        <v>20</v>
      </c>
      <c r="CN31" s="702">
        <v>83.592386904761895</v>
      </c>
      <c r="CO31" s="702">
        <v>95.070145357142849</v>
      </c>
      <c r="CP31" s="703">
        <v>74.082229523809517</v>
      </c>
      <c r="CQ31" s="704"/>
      <c r="CS31" s="701">
        <v>20</v>
      </c>
      <c r="CT31" s="702">
        <v>25.039880952380951</v>
      </c>
      <c r="CU31" s="702">
        <v>21.894642857142856</v>
      </c>
      <c r="CV31" s="703">
        <v>30.465476190476192</v>
      </c>
      <c r="CW31" s="704"/>
      <c r="CY31" s="701">
        <v>20</v>
      </c>
      <c r="CZ31" s="702">
        <v>0</v>
      </c>
      <c r="DA31" s="702">
        <v>0</v>
      </c>
      <c r="DB31" s="703">
        <v>0</v>
      </c>
      <c r="DC31" s="704">
        <v>0</v>
      </c>
      <c r="DE31" s="701"/>
      <c r="DF31" s="701">
        <v>20</v>
      </c>
      <c r="DG31" s="702">
        <v>0</v>
      </c>
      <c r="DH31" s="703">
        <v>0</v>
      </c>
      <c r="DI31" s="704">
        <v>0</v>
      </c>
      <c r="DK31" s="701">
        <v>20</v>
      </c>
      <c r="DL31" s="702">
        <v>2.4307142857142856</v>
      </c>
      <c r="DM31" s="702">
        <v>0.80700000000000005</v>
      </c>
      <c r="DN31" s="703">
        <v>1.2070000000000001</v>
      </c>
      <c r="DO31" s="704"/>
      <c r="DQ31" s="701">
        <v>20</v>
      </c>
      <c r="DR31" s="702">
        <v>12.04452380952381</v>
      </c>
      <c r="DS31" s="702">
        <v>10.446011904761903</v>
      </c>
      <c r="DT31" s="703">
        <v>11.224565476190477</v>
      </c>
      <c r="DU31" s="704"/>
      <c r="DW31" s="701">
        <v>20</v>
      </c>
      <c r="DX31" s="702">
        <v>1.5277202380952382</v>
      </c>
      <c r="DY31" s="702">
        <v>1.2670178571428572</v>
      </c>
      <c r="DZ31" s="703">
        <v>1.2352023809523809</v>
      </c>
      <c r="EA31" s="704"/>
      <c r="EC31" s="701">
        <v>20</v>
      </c>
      <c r="ED31" s="702">
        <v>4.4355555555555561</v>
      </c>
      <c r="EE31" s="702">
        <v>2.0859999999999999</v>
      </c>
      <c r="EF31" s="703">
        <v>2.1623809523809525</v>
      </c>
      <c r="EG31" s="704"/>
      <c r="EI31" s="701">
        <v>20</v>
      </c>
      <c r="EJ31" s="702">
        <v>0.433</v>
      </c>
      <c r="EK31" s="702">
        <v>0.19800000000000001</v>
      </c>
      <c r="EL31" s="703">
        <v>0.63909000000000005</v>
      </c>
      <c r="EM31" s="704"/>
      <c r="EO31" s="701">
        <v>20</v>
      </c>
      <c r="EP31" s="702">
        <v>5.3015400000000001</v>
      </c>
      <c r="EQ31" s="702">
        <v>3.7348571428571429</v>
      </c>
      <c r="ER31" s="703">
        <v>10.698</v>
      </c>
      <c r="ES31" s="704"/>
      <c r="EU31" s="701">
        <v>20</v>
      </c>
      <c r="EV31" s="702">
        <v>0.25</v>
      </c>
      <c r="EW31" s="702">
        <v>0.25</v>
      </c>
      <c r="EX31" s="703">
        <v>0.25</v>
      </c>
      <c r="EY31" s="704"/>
    </row>
    <row r="32" spans="13:155">
      <c r="M32" s="701">
        <v>21</v>
      </c>
      <c r="N32" s="702">
        <v>57.373282261904762</v>
      </c>
      <c r="O32" s="702">
        <v>54.904978154761906</v>
      </c>
      <c r="P32" s="703">
        <v>66.251436726190477</v>
      </c>
      <c r="Q32" s="704"/>
      <c r="S32" s="701">
        <v>21</v>
      </c>
      <c r="T32" s="702">
        <v>1.6369047619047621</v>
      </c>
      <c r="U32" s="702">
        <v>1.0571428571428572</v>
      </c>
      <c r="V32" s="703">
        <v>1.5</v>
      </c>
      <c r="W32" s="704"/>
      <c r="Y32" s="701">
        <v>21</v>
      </c>
      <c r="Z32" s="702">
        <v>24.45731692307692</v>
      </c>
      <c r="AA32" s="702">
        <v>27.48045950819672</v>
      </c>
      <c r="AB32" s="703">
        <v>31.647108205128205</v>
      </c>
      <c r="AC32" s="704"/>
      <c r="AE32" s="701">
        <v>21</v>
      </c>
      <c r="AF32" s="702">
        <v>32.587767916666664</v>
      </c>
      <c r="AG32" s="702">
        <v>23.744372500000001</v>
      </c>
      <c r="AH32" s="703">
        <v>28.092592380952379</v>
      </c>
      <c r="AI32" s="704"/>
      <c r="AK32" s="701">
        <v>21</v>
      </c>
      <c r="AL32" s="702">
        <v>52.363238095238096</v>
      </c>
      <c r="AM32" s="702">
        <v>44.110886904761905</v>
      </c>
      <c r="AN32" s="703">
        <v>64.83244047619047</v>
      </c>
      <c r="AO32" s="704"/>
      <c r="AQ32" s="701">
        <v>21</v>
      </c>
      <c r="AR32" s="702">
        <v>40.693113095238097</v>
      </c>
      <c r="AS32" s="702">
        <v>35.742226190476188</v>
      </c>
      <c r="AT32" s="703">
        <v>33.582321428571426</v>
      </c>
      <c r="AU32" s="704"/>
      <c r="AW32" s="701">
        <v>21</v>
      </c>
      <c r="AX32" s="702">
        <v>1.5594285714285714</v>
      </c>
      <c r="AY32" s="702">
        <v>1.5392857142857144</v>
      </c>
      <c r="AZ32" s="703">
        <v>1.6002083333333335</v>
      </c>
      <c r="BA32" s="704"/>
      <c r="BC32" s="701">
        <v>21</v>
      </c>
      <c r="BD32" s="702">
        <v>10.884523809523809</v>
      </c>
      <c r="BE32" s="702">
        <v>11.638690476190478</v>
      </c>
      <c r="BF32" s="703">
        <v>14.432738095238095</v>
      </c>
      <c r="BG32" s="704"/>
      <c r="BI32" s="701">
        <v>21</v>
      </c>
      <c r="BJ32" s="702">
        <v>50.738095238095234</v>
      </c>
      <c r="BK32" s="702">
        <v>46.94047619047619</v>
      </c>
      <c r="BL32" s="703">
        <v>49.821428571428569</v>
      </c>
      <c r="BM32" s="704"/>
      <c r="BO32" s="701">
        <v>21</v>
      </c>
      <c r="BP32" s="702">
        <v>13.327976190476189</v>
      </c>
      <c r="BQ32" s="702">
        <v>12.206547619047619</v>
      </c>
      <c r="BR32" s="703">
        <v>12.235714285714286</v>
      </c>
      <c r="BS32" s="704"/>
      <c r="BU32" s="701">
        <v>21</v>
      </c>
      <c r="BV32" s="702">
        <v>11.34375</v>
      </c>
      <c r="BW32" s="702">
        <v>11.814404761904761</v>
      </c>
      <c r="BX32" s="703">
        <v>13.267202380952382</v>
      </c>
      <c r="BY32" s="704"/>
      <c r="CA32" s="701">
        <v>21</v>
      </c>
      <c r="CB32" s="702">
        <v>106.79830857142858</v>
      </c>
      <c r="CC32" s="702">
        <v>87.019814285714276</v>
      </c>
      <c r="CD32" s="703">
        <v>133.95570428571429</v>
      </c>
      <c r="CE32" s="704"/>
      <c r="CG32" s="701">
        <v>21</v>
      </c>
      <c r="CH32" s="702">
        <v>54.405000000000001</v>
      </c>
      <c r="CI32" s="702">
        <v>57.007976190476192</v>
      </c>
      <c r="CJ32" s="703">
        <v>62.821964285714287</v>
      </c>
      <c r="CK32" s="704"/>
      <c r="CM32" s="701">
        <v>21</v>
      </c>
      <c r="CN32" s="702">
        <v>58.528494047619041</v>
      </c>
      <c r="CO32" s="702">
        <v>59.180525595238095</v>
      </c>
      <c r="CP32" s="703">
        <v>66.072160714285715</v>
      </c>
      <c r="CQ32" s="704"/>
      <c r="CS32" s="701">
        <v>21</v>
      </c>
      <c r="CT32" s="702">
        <v>23.366071428571431</v>
      </c>
      <c r="CU32" s="702">
        <v>18.894047619047619</v>
      </c>
      <c r="CV32" s="703">
        <v>27.333333333333336</v>
      </c>
      <c r="CW32" s="704"/>
      <c r="CY32" s="701">
        <v>21</v>
      </c>
      <c r="CZ32" s="702">
        <v>0</v>
      </c>
      <c r="DA32" s="702">
        <v>0</v>
      </c>
      <c r="DB32" s="703">
        <v>0</v>
      </c>
      <c r="DC32" s="704">
        <v>0</v>
      </c>
      <c r="DE32" s="701"/>
      <c r="DF32" s="701">
        <v>21</v>
      </c>
      <c r="DG32" s="702">
        <v>0</v>
      </c>
      <c r="DH32" s="703">
        <v>0</v>
      </c>
      <c r="DI32" s="704">
        <v>0</v>
      </c>
      <c r="DK32" s="701">
        <v>21</v>
      </c>
      <c r="DL32" s="702">
        <v>2.3592857142857144</v>
      </c>
      <c r="DM32" s="702">
        <v>0.80700000000000005</v>
      </c>
      <c r="DN32" s="703">
        <v>1.2070000000000001</v>
      </c>
      <c r="DO32" s="704"/>
      <c r="DQ32" s="701">
        <v>21</v>
      </c>
      <c r="DR32" s="702">
        <v>12.004821428571429</v>
      </c>
      <c r="DS32" s="702">
        <v>10.39517857142857</v>
      </c>
      <c r="DT32" s="703">
        <v>11.227851190476191</v>
      </c>
      <c r="DU32" s="704"/>
      <c r="DW32" s="701">
        <v>21</v>
      </c>
      <c r="DX32" s="702">
        <v>1.6233333333333335</v>
      </c>
      <c r="DY32" s="702">
        <v>1.3178273809523808</v>
      </c>
      <c r="DZ32" s="703">
        <v>1.3164345238095239</v>
      </c>
      <c r="EA32" s="704"/>
      <c r="EC32" s="701">
        <v>21</v>
      </c>
      <c r="ED32" s="702">
        <v>2.6228571428571428</v>
      </c>
      <c r="EE32" s="702">
        <v>5.1983333333333333</v>
      </c>
      <c r="EF32" s="703">
        <v>1.9048051948051949</v>
      </c>
      <c r="EG32" s="704"/>
      <c r="EI32" s="701">
        <v>21</v>
      </c>
      <c r="EJ32" s="702">
        <v>0.433</v>
      </c>
      <c r="EK32" s="702">
        <v>0.19800000000000001</v>
      </c>
      <c r="EL32" s="703">
        <v>0.63909000000000005</v>
      </c>
      <c r="EM32" s="704"/>
      <c r="EO32" s="701">
        <v>21</v>
      </c>
      <c r="EP32" s="702">
        <v>5.6065714285714288</v>
      </c>
      <c r="EQ32" s="702">
        <v>3.8738571428571431</v>
      </c>
      <c r="ER32" s="703">
        <v>11.484142857142857</v>
      </c>
      <c r="ES32" s="704"/>
      <c r="EU32" s="701">
        <v>21</v>
      </c>
      <c r="EV32" s="702">
        <v>0.25</v>
      </c>
      <c r="EW32" s="702">
        <v>0.36714285714285716</v>
      </c>
      <c r="EX32" s="703">
        <v>0.25</v>
      </c>
      <c r="EY32" s="704"/>
    </row>
    <row r="33" spans="13:155">
      <c r="M33" s="701">
        <v>22</v>
      </c>
      <c r="N33" s="702">
        <v>50.333783035714283</v>
      </c>
      <c r="O33" s="702">
        <v>60.951383869047625</v>
      </c>
      <c r="P33" s="703">
        <v>50.043496428571423</v>
      </c>
      <c r="Q33" s="704"/>
      <c r="S33" s="701">
        <v>22</v>
      </c>
      <c r="T33" s="702">
        <v>1.3273809523809526</v>
      </c>
      <c r="U33" s="702">
        <v>0.95714285714285718</v>
      </c>
      <c r="V33" s="703">
        <v>1.5</v>
      </c>
      <c r="W33" s="704"/>
      <c r="Y33" s="701">
        <v>22</v>
      </c>
      <c r="Z33" s="702">
        <v>20.351668571428569</v>
      </c>
      <c r="AA33" s="702">
        <v>22.617248799999999</v>
      </c>
      <c r="AB33" s="703">
        <v>25.937587555555556</v>
      </c>
      <c r="AC33" s="704"/>
      <c r="AE33" s="701">
        <v>22</v>
      </c>
      <c r="AF33" s="702">
        <v>32.07160702380952</v>
      </c>
      <c r="AG33" s="702">
        <v>26.622800595238097</v>
      </c>
      <c r="AH33" s="703">
        <v>22.676180833333333</v>
      </c>
      <c r="AI33" s="704"/>
      <c r="AK33" s="701">
        <v>22</v>
      </c>
      <c r="AL33" s="702">
        <v>43.14391071428571</v>
      </c>
      <c r="AM33" s="702">
        <v>42.74580952380952</v>
      </c>
      <c r="AN33" s="703">
        <v>55.998255952380951</v>
      </c>
      <c r="AO33" s="704"/>
      <c r="AQ33" s="701">
        <v>22</v>
      </c>
      <c r="AR33" s="702">
        <v>34.155130952380951</v>
      </c>
      <c r="AS33" s="702">
        <v>73.717696428571429</v>
      </c>
      <c r="AT33" s="703">
        <v>24.432119047619047</v>
      </c>
      <c r="AU33" s="704"/>
      <c r="AW33" s="701">
        <v>22</v>
      </c>
      <c r="AX33" s="702">
        <v>1.5562857142857145</v>
      </c>
      <c r="AY33" s="702">
        <v>1.8451428571428572</v>
      </c>
      <c r="AZ33" s="703">
        <v>1.5874285714285714</v>
      </c>
      <c r="BA33" s="704"/>
      <c r="BC33" s="701">
        <v>22</v>
      </c>
      <c r="BD33" s="702">
        <v>10.348214285714286</v>
      </c>
      <c r="BE33" s="702">
        <v>11.05</v>
      </c>
      <c r="BF33" s="703">
        <v>13.030356666666668</v>
      </c>
      <c r="BG33" s="704"/>
      <c r="BI33" s="701">
        <v>22</v>
      </c>
      <c r="BJ33" s="702">
        <v>47.99404761904762</v>
      </c>
      <c r="BK33" s="702">
        <v>42.863095238095234</v>
      </c>
      <c r="BL33" s="703">
        <v>43.291666666666664</v>
      </c>
      <c r="BM33" s="704"/>
      <c r="BO33" s="701">
        <v>22</v>
      </c>
      <c r="BP33" s="702">
        <v>14.016071428571429</v>
      </c>
      <c r="BQ33" s="702">
        <v>12.157142857142857</v>
      </c>
      <c r="BR33" s="703">
        <v>10.107142857142856</v>
      </c>
      <c r="BS33" s="704"/>
      <c r="BU33" s="701">
        <v>22</v>
      </c>
      <c r="BV33" s="702">
        <v>10.972083333333332</v>
      </c>
      <c r="BW33" s="702">
        <v>10.893095238095238</v>
      </c>
      <c r="BX33" s="703">
        <v>10.872142857142856</v>
      </c>
      <c r="BY33" s="704"/>
      <c r="CA33" s="701">
        <v>22</v>
      </c>
      <c r="CB33" s="702">
        <v>83.281171428571426</v>
      </c>
      <c r="CC33" s="702">
        <v>82.077240000000003</v>
      </c>
      <c r="CD33" s="703">
        <v>109.46400714285713</v>
      </c>
      <c r="CE33" s="704"/>
      <c r="CG33" s="701">
        <v>22</v>
      </c>
      <c r="CH33" s="702">
        <v>53.436845238095238</v>
      </c>
      <c r="CI33" s="702">
        <v>50.665238095238095</v>
      </c>
      <c r="CJ33" s="703">
        <v>53.586666666666666</v>
      </c>
      <c r="CK33" s="704"/>
      <c r="CM33" s="701">
        <v>22</v>
      </c>
      <c r="CN33" s="702">
        <v>51.307488095238099</v>
      </c>
      <c r="CO33" s="702">
        <v>59.942773809523807</v>
      </c>
      <c r="CP33" s="703">
        <v>49.893666666666661</v>
      </c>
      <c r="CQ33" s="704"/>
      <c r="CS33" s="701">
        <v>22</v>
      </c>
      <c r="CT33" s="702">
        <v>20.866071428571431</v>
      </c>
      <c r="CU33" s="702">
        <v>17.904761904761905</v>
      </c>
      <c r="CV33" s="703">
        <v>23.372023809523807</v>
      </c>
      <c r="CW33" s="704"/>
      <c r="CY33" s="701">
        <v>22</v>
      </c>
      <c r="CZ33" s="702">
        <v>0</v>
      </c>
      <c r="DA33" s="702">
        <v>0</v>
      </c>
      <c r="DB33" s="703">
        <v>0</v>
      </c>
      <c r="DC33" s="704">
        <v>0</v>
      </c>
      <c r="DE33" s="701"/>
      <c r="DF33" s="701">
        <v>22</v>
      </c>
      <c r="DG33" s="702">
        <v>0</v>
      </c>
      <c r="DH33" s="703">
        <v>0</v>
      </c>
      <c r="DI33" s="704">
        <v>0</v>
      </c>
      <c r="DK33" s="701">
        <v>22</v>
      </c>
      <c r="DL33" s="702">
        <v>2.282142857142857</v>
      </c>
      <c r="DM33" s="702">
        <v>0.80700000000000005</v>
      </c>
      <c r="DN33" s="703">
        <v>1.5069999999999999</v>
      </c>
      <c r="DO33" s="704"/>
      <c r="DQ33" s="701">
        <v>22</v>
      </c>
      <c r="DR33" s="702">
        <v>12.003630952380952</v>
      </c>
      <c r="DS33" s="702">
        <v>10.565416666666668</v>
      </c>
      <c r="DT33" s="703">
        <v>8.570666666666666</v>
      </c>
      <c r="DU33" s="704"/>
      <c r="DW33" s="701">
        <v>22</v>
      </c>
      <c r="DX33" s="702">
        <v>1.4998928571428574</v>
      </c>
      <c r="DY33" s="702">
        <v>1.2106250000000001</v>
      </c>
      <c r="DZ33" s="703">
        <v>1.338654761904762</v>
      </c>
      <c r="EA33" s="704"/>
      <c r="EC33" s="701">
        <v>22</v>
      </c>
      <c r="ED33" s="702">
        <v>5.4669999999999996</v>
      </c>
      <c r="EE33" s="702">
        <v>4.5542857142857143</v>
      </c>
      <c r="EF33" s="703">
        <v>2.3578688524590166</v>
      </c>
      <c r="EG33" s="704"/>
      <c r="EI33" s="701">
        <v>22</v>
      </c>
      <c r="EJ33" s="702">
        <v>0.433</v>
      </c>
      <c r="EK33" s="702">
        <v>0.19800000000000001</v>
      </c>
      <c r="EL33" s="703">
        <v>0.63909000000000005</v>
      </c>
      <c r="EM33" s="704"/>
      <c r="EO33" s="701">
        <v>22</v>
      </c>
      <c r="EP33" s="702">
        <v>5.1967857142857143</v>
      </c>
      <c r="EQ33" s="702">
        <v>4.3920871428571431</v>
      </c>
      <c r="ER33" s="703">
        <v>9.4378571428571423</v>
      </c>
      <c r="ES33" s="704"/>
      <c r="EU33" s="701">
        <v>22</v>
      </c>
      <c r="EV33" s="702">
        <v>0.25</v>
      </c>
      <c r="EW33" s="702">
        <v>0.36714285714285716</v>
      </c>
      <c r="EX33" s="703">
        <v>0.25</v>
      </c>
      <c r="EY33" s="704"/>
    </row>
    <row r="34" spans="13:155">
      <c r="M34" s="701">
        <v>23</v>
      </c>
      <c r="N34" s="702">
        <v>58.368118095238088</v>
      </c>
      <c r="O34" s="702">
        <v>41.15626833333333</v>
      </c>
      <c r="P34" s="703">
        <v>41.506608273809526</v>
      </c>
      <c r="Q34" s="704"/>
      <c r="S34" s="701">
        <v>23</v>
      </c>
      <c r="T34" s="702">
        <v>4.2166666666666668</v>
      </c>
      <c r="U34" s="702">
        <v>1.0416666666666667</v>
      </c>
      <c r="V34" s="703">
        <v>1.3547619047619048</v>
      </c>
      <c r="W34" s="704"/>
      <c r="Y34" s="701">
        <v>23</v>
      </c>
      <c r="Z34" s="702">
        <v>18.666204615384615</v>
      </c>
      <c r="AA34" s="702">
        <v>18.992317619047618</v>
      </c>
      <c r="AB34" s="703">
        <v>23.328474794520549</v>
      </c>
      <c r="AC34" s="704"/>
      <c r="AE34" s="701">
        <v>23</v>
      </c>
      <c r="AF34" s="702">
        <v>40.110676785714283</v>
      </c>
      <c r="AG34" s="702">
        <v>21.076344404761905</v>
      </c>
      <c r="AH34" s="703">
        <v>20.411409642857141</v>
      </c>
      <c r="AI34" s="704"/>
      <c r="AK34" s="701">
        <v>23</v>
      </c>
      <c r="AL34" s="702">
        <v>39.960791666666658</v>
      </c>
      <c r="AM34" s="702">
        <v>34.040345238095242</v>
      </c>
      <c r="AN34" s="703">
        <v>49.557672619047622</v>
      </c>
      <c r="AO34" s="704"/>
      <c r="AQ34" s="701">
        <v>23</v>
      </c>
      <c r="AR34" s="702">
        <v>39.44314285714286</v>
      </c>
      <c r="AS34" s="702">
        <v>31.241916666666665</v>
      </c>
      <c r="AT34" s="703">
        <v>15.060416666666667</v>
      </c>
      <c r="AU34" s="704"/>
      <c r="AW34" s="701">
        <v>23</v>
      </c>
      <c r="AX34" s="702">
        <v>1.630857142857143</v>
      </c>
      <c r="AY34" s="702">
        <v>1.6434285714285715</v>
      </c>
      <c r="AZ34" s="703">
        <v>1.7130000000000001</v>
      </c>
      <c r="BA34" s="704"/>
      <c r="BC34" s="701">
        <v>23</v>
      </c>
      <c r="BD34" s="702">
        <v>9.2023809523809526</v>
      </c>
      <c r="BE34" s="702">
        <v>10.426785714285714</v>
      </c>
      <c r="BF34" s="703">
        <v>11.995834285714286</v>
      </c>
      <c r="BG34" s="704"/>
      <c r="BI34" s="701">
        <v>23</v>
      </c>
      <c r="BJ34" s="702">
        <v>57.958333333333336</v>
      </c>
      <c r="BK34" s="702">
        <v>37.19047619047619</v>
      </c>
      <c r="BL34" s="703">
        <v>33.958333333333336</v>
      </c>
      <c r="BM34" s="704"/>
      <c r="BO34" s="701">
        <v>23</v>
      </c>
      <c r="BP34" s="702">
        <v>15.881547619047618</v>
      </c>
      <c r="BQ34" s="702">
        <v>9.1035714285714295</v>
      </c>
      <c r="BR34" s="703">
        <v>8.757142857142858</v>
      </c>
      <c r="BS34" s="704"/>
      <c r="BU34" s="701">
        <v>23</v>
      </c>
      <c r="BV34" s="702">
        <v>10.554226190476189</v>
      </c>
      <c r="BW34" s="702">
        <v>8.5778571428571428</v>
      </c>
      <c r="BX34" s="703">
        <v>9.4705357142857149</v>
      </c>
      <c r="BY34" s="704"/>
      <c r="CA34" s="701">
        <v>23</v>
      </c>
      <c r="CB34" s="702">
        <v>106.04989857142857</v>
      </c>
      <c r="CC34" s="702">
        <v>73.253131428571422</v>
      </c>
      <c r="CD34" s="703">
        <v>91.736292857142857</v>
      </c>
      <c r="CE34" s="704"/>
      <c r="CG34" s="701">
        <v>23</v>
      </c>
      <c r="CH34" s="702">
        <v>51.73</v>
      </c>
      <c r="CI34" s="702">
        <v>42.363333333333337</v>
      </c>
      <c r="CJ34" s="703">
        <v>48.112083333333331</v>
      </c>
      <c r="CK34" s="704"/>
      <c r="CM34" s="701">
        <v>23</v>
      </c>
      <c r="CN34" s="702">
        <v>57.79205952380952</v>
      </c>
      <c r="CO34" s="702">
        <v>41.909547619047615</v>
      </c>
      <c r="CP34" s="703">
        <v>37.457125416666663</v>
      </c>
      <c r="CQ34" s="704"/>
      <c r="CS34" s="701">
        <v>23</v>
      </c>
      <c r="CT34" s="702">
        <v>20.119642857142857</v>
      </c>
      <c r="CU34" s="702">
        <v>15.995833333333332</v>
      </c>
      <c r="CV34" s="703">
        <v>21.279761904761905</v>
      </c>
      <c r="CW34" s="704"/>
      <c r="CY34" s="701">
        <v>23</v>
      </c>
      <c r="CZ34" s="702">
        <v>0</v>
      </c>
      <c r="DA34" s="702">
        <v>0</v>
      </c>
      <c r="DB34" s="703">
        <v>0</v>
      </c>
      <c r="DC34" s="704">
        <v>0</v>
      </c>
      <c r="DE34" s="701"/>
      <c r="DF34" s="701">
        <v>23</v>
      </c>
      <c r="DG34" s="702">
        <v>0</v>
      </c>
      <c r="DH34" s="703">
        <v>0</v>
      </c>
      <c r="DI34" s="704">
        <v>0</v>
      </c>
      <c r="DK34" s="701">
        <v>23</v>
      </c>
      <c r="DL34" s="702">
        <v>2.3221428571428571</v>
      </c>
      <c r="DM34" s="702">
        <v>1.1827142857142858</v>
      </c>
      <c r="DN34" s="703">
        <v>1.5812857142857144</v>
      </c>
      <c r="DO34" s="704"/>
      <c r="DQ34" s="701">
        <v>23</v>
      </c>
      <c r="DR34" s="702">
        <v>11.987857142857141</v>
      </c>
      <c r="DS34" s="702">
        <v>10.358035714285714</v>
      </c>
      <c r="DT34" s="703">
        <v>11.434077380952381</v>
      </c>
      <c r="DU34" s="704"/>
      <c r="DW34" s="701">
        <v>23</v>
      </c>
      <c r="DX34" s="702">
        <v>1.6558988095238096</v>
      </c>
      <c r="DY34" s="702">
        <v>1.2774761904761907</v>
      </c>
      <c r="DZ34" s="703">
        <v>1.3465416666666667</v>
      </c>
      <c r="EA34" s="704"/>
      <c r="EC34" s="701">
        <v>23</v>
      </c>
      <c r="ED34" s="702">
        <v>4.3777777777777782</v>
      </c>
      <c r="EE34" s="702">
        <v>6.5049999999999999</v>
      </c>
      <c r="EF34" s="703">
        <v>5.4625203252032524</v>
      </c>
      <c r="EG34" s="704"/>
      <c r="EI34" s="701">
        <v>23</v>
      </c>
      <c r="EJ34" s="702">
        <v>0.4761428571428572</v>
      </c>
      <c r="EK34" s="702">
        <v>0.19800000000000001</v>
      </c>
      <c r="EL34" s="703">
        <v>0.63909000000000005</v>
      </c>
      <c r="EM34" s="704"/>
      <c r="EO34" s="701">
        <v>23</v>
      </c>
      <c r="EP34" s="702">
        <v>5.5347871428571427</v>
      </c>
      <c r="EQ34" s="702">
        <v>5.289142857142858</v>
      </c>
      <c r="ER34" s="703">
        <v>8.4704285714285703</v>
      </c>
      <c r="ES34" s="704"/>
      <c r="EU34" s="701">
        <v>23</v>
      </c>
      <c r="EV34" s="702">
        <v>0.25</v>
      </c>
      <c r="EW34" s="702">
        <v>0.25</v>
      </c>
      <c r="EX34" s="703">
        <v>0.25</v>
      </c>
      <c r="EY34" s="704"/>
    </row>
    <row r="35" spans="13:155">
      <c r="M35" s="701">
        <v>24</v>
      </c>
      <c r="N35" s="702">
        <v>45.218088988095239</v>
      </c>
      <c r="O35" s="702">
        <v>24.961901130952381</v>
      </c>
      <c r="P35" s="703">
        <v>26.063374166666669</v>
      </c>
      <c r="Q35" s="704"/>
      <c r="S35" s="701">
        <v>24</v>
      </c>
      <c r="T35" s="702">
        <v>1</v>
      </c>
      <c r="U35" s="702">
        <v>1.0428571428571429</v>
      </c>
      <c r="V35" s="703">
        <v>1.1000000000000001</v>
      </c>
      <c r="W35" s="704"/>
      <c r="Y35" s="701">
        <v>24</v>
      </c>
      <c r="Z35" s="702">
        <v>17.224783333333331</v>
      </c>
      <c r="AA35" s="702">
        <v>17.197874800000001</v>
      </c>
      <c r="AB35" s="703">
        <v>18.040598484848484</v>
      </c>
      <c r="AC35" s="704"/>
      <c r="AE35" s="701">
        <v>24</v>
      </c>
      <c r="AF35" s="702">
        <v>32.08824119047619</v>
      </c>
      <c r="AG35" s="702">
        <v>20.85043136904762</v>
      </c>
      <c r="AH35" s="703">
        <v>18.885009464285712</v>
      </c>
      <c r="AI35" s="704"/>
      <c r="AK35" s="701">
        <v>24</v>
      </c>
      <c r="AL35" s="702">
        <v>36.415017857142857</v>
      </c>
      <c r="AM35" s="702">
        <v>32.458374999999997</v>
      </c>
      <c r="AN35" s="703">
        <v>42.50163095238095</v>
      </c>
      <c r="AO35" s="704"/>
      <c r="AQ35" s="701">
        <v>24</v>
      </c>
      <c r="AR35" s="702">
        <v>43.344464285714288</v>
      </c>
      <c r="AS35" s="702">
        <v>25.26872619047619</v>
      </c>
      <c r="AT35" s="703">
        <v>14.912339285714285</v>
      </c>
      <c r="AU35" s="704"/>
      <c r="AW35" s="701">
        <v>24</v>
      </c>
      <c r="AX35" s="702">
        <v>1.5964285714285715</v>
      </c>
      <c r="AY35" s="702">
        <v>1.6730476190476191</v>
      </c>
      <c r="AZ35" s="703">
        <v>1.6924285714285716</v>
      </c>
      <c r="BA35" s="704"/>
      <c r="BC35" s="701">
        <v>24</v>
      </c>
      <c r="BD35" s="702">
        <v>9.7553571428571431</v>
      </c>
      <c r="BE35" s="702">
        <v>9.9279761904761905</v>
      </c>
      <c r="BF35" s="703">
        <v>11.467262857142858</v>
      </c>
      <c r="BG35" s="704"/>
      <c r="BI35" s="701">
        <v>24</v>
      </c>
      <c r="BJ35" s="702">
        <v>44.832335329341312</v>
      </c>
      <c r="BK35" s="702">
        <v>34.446428571428569</v>
      </c>
      <c r="BL35" s="703">
        <v>29.410714285714288</v>
      </c>
      <c r="BM35" s="704"/>
      <c r="BO35" s="701">
        <v>24</v>
      </c>
      <c r="BP35" s="702">
        <v>11.955952380952382</v>
      </c>
      <c r="BQ35" s="702">
        <v>8.6148809523809522</v>
      </c>
      <c r="BR35" s="703">
        <v>8.2988095238095241</v>
      </c>
      <c r="BS35" s="704"/>
      <c r="BU35" s="701">
        <v>24</v>
      </c>
      <c r="BV35" s="702">
        <v>8.7095238095238088</v>
      </c>
      <c r="BW35" s="702">
        <v>7.8305357142857153</v>
      </c>
      <c r="BX35" s="703">
        <v>8.5735119047619044</v>
      </c>
      <c r="BY35" s="704"/>
      <c r="CA35" s="701">
        <v>24</v>
      </c>
      <c r="CB35" s="702">
        <v>83.17436428571429</v>
      </c>
      <c r="CC35" s="702">
        <v>71.312271428571421</v>
      </c>
      <c r="CD35" s="703">
        <v>91.934255714285712</v>
      </c>
      <c r="CE35" s="704"/>
      <c r="CG35" s="701">
        <v>24</v>
      </c>
      <c r="CH35" s="702">
        <v>52.417440476190471</v>
      </c>
      <c r="CI35" s="702">
        <v>37.628095238095234</v>
      </c>
      <c r="CJ35" s="703">
        <v>44.224523809523809</v>
      </c>
      <c r="CK35" s="704"/>
      <c r="CM35" s="701">
        <v>24</v>
      </c>
      <c r="CN35" s="702">
        <v>43.64447619047619</v>
      </c>
      <c r="CO35" s="702">
        <v>35.916541666666667</v>
      </c>
      <c r="CP35" s="703">
        <v>33.522238333333334</v>
      </c>
      <c r="CQ35" s="704"/>
      <c r="CS35" s="701">
        <v>24</v>
      </c>
      <c r="CT35" s="702">
        <v>18.955357142857142</v>
      </c>
      <c r="CU35" s="702">
        <v>14.636904761904761</v>
      </c>
      <c r="CV35" s="703">
        <v>21.310714285714287</v>
      </c>
      <c r="CW35" s="704"/>
      <c r="CY35" s="701">
        <v>24</v>
      </c>
      <c r="CZ35" s="702">
        <v>0</v>
      </c>
      <c r="DA35" s="702">
        <v>0</v>
      </c>
      <c r="DB35" s="703">
        <v>0</v>
      </c>
      <c r="DC35" s="704">
        <v>0</v>
      </c>
      <c r="DE35" s="701"/>
      <c r="DF35" s="701">
        <v>24</v>
      </c>
      <c r="DG35" s="702">
        <v>3.7874371428571427</v>
      </c>
      <c r="DH35" s="703">
        <v>0</v>
      </c>
      <c r="DI35" s="704">
        <v>0</v>
      </c>
      <c r="DK35" s="701">
        <v>24</v>
      </c>
      <c r="DL35" s="702">
        <v>1.9848571428571429</v>
      </c>
      <c r="DM35" s="702">
        <v>1.897</v>
      </c>
      <c r="DN35" s="703">
        <v>1.5269999999999999</v>
      </c>
      <c r="DO35" s="704"/>
      <c r="DQ35" s="701">
        <v>24</v>
      </c>
      <c r="DR35" s="702">
        <v>11.99595238095238</v>
      </c>
      <c r="DS35" s="702">
        <v>10.618988095238095</v>
      </c>
      <c r="DT35" s="703">
        <v>11.436136904761906</v>
      </c>
      <c r="DU35" s="704"/>
      <c r="DW35" s="701">
        <v>24</v>
      </c>
      <c r="DX35" s="702">
        <v>1.2661964285714287</v>
      </c>
      <c r="DY35" s="702">
        <v>1.2649583333333334</v>
      </c>
      <c r="DZ35" s="703">
        <v>1.3271904761904763</v>
      </c>
      <c r="EA35" s="704"/>
      <c r="EC35" s="701">
        <v>24</v>
      </c>
      <c r="ED35" s="702">
        <v>8.0477777777777781</v>
      </c>
      <c r="EE35" s="702">
        <v>7.2725</v>
      </c>
      <c r="EF35" s="703">
        <v>6.3252459016393443</v>
      </c>
      <c r="EG35" s="704"/>
      <c r="EI35" s="701">
        <v>24</v>
      </c>
      <c r="EJ35" s="702">
        <v>2.2555714285714288</v>
      </c>
      <c r="EK35" s="702">
        <v>0.19800000000000001</v>
      </c>
      <c r="EL35" s="703">
        <v>0.63909000000000005</v>
      </c>
      <c r="EM35" s="704"/>
      <c r="EO35" s="701">
        <v>24</v>
      </c>
      <c r="EP35" s="702">
        <v>5.5642685714285722</v>
      </c>
      <c r="EQ35" s="702">
        <v>5.5301428571428568</v>
      </c>
      <c r="ER35" s="703">
        <v>7.7430000000000003</v>
      </c>
      <c r="ES35" s="704"/>
      <c r="EU35" s="701">
        <v>24</v>
      </c>
      <c r="EV35" s="702">
        <v>8.7142857142857153</v>
      </c>
      <c r="EW35" s="702">
        <v>0.25</v>
      </c>
      <c r="EX35" s="703">
        <v>0.25</v>
      </c>
      <c r="EY35" s="704"/>
    </row>
    <row r="36" spans="13:155">
      <c r="M36" s="701">
        <v>25</v>
      </c>
      <c r="N36" s="702">
        <v>42.564933333333336</v>
      </c>
      <c r="O36" s="702">
        <v>33.791625357142856</v>
      </c>
      <c r="P36" s="703">
        <v>46.240318869047613</v>
      </c>
      <c r="Q36" s="704"/>
      <c r="S36" s="701">
        <v>25</v>
      </c>
      <c r="T36" s="702">
        <v>1</v>
      </c>
      <c r="U36" s="702">
        <v>1.1000000000000001</v>
      </c>
      <c r="V36" s="703">
        <v>0.94940476190476197</v>
      </c>
      <c r="W36" s="704"/>
      <c r="Y36" s="701">
        <v>25</v>
      </c>
      <c r="Z36" s="702">
        <v>15.868286666666666</v>
      </c>
      <c r="AA36" s="702">
        <v>16.155604814814815</v>
      </c>
      <c r="AB36" s="703">
        <v>17.41148505882353</v>
      </c>
      <c r="AC36" s="704"/>
      <c r="AE36" s="701">
        <v>25</v>
      </c>
      <c r="AF36" s="702">
        <v>32.862318000427713</v>
      </c>
      <c r="AG36" s="702">
        <v>19.800846666666665</v>
      </c>
      <c r="AH36" s="703">
        <v>20.146178402777778</v>
      </c>
      <c r="AI36" s="704"/>
      <c r="AK36" s="701">
        <v>25</v>
      </c>
      <c r="AL36" s="702">
        <v>31.642565476190477</v>
      </c>
      <c r="AM36" s="702">
        <v>30.932136904761904</v>
      </c>
      <c r="AN36" s="703">
        <v>37.010511904761906</v>
      </c>
      <c r="AO36" s="704"/>
      <c r="AQ36" s="701">
        <v>25</v>
      </c>
      <c r="AR36" s="702">
        <v>27.371333333333332</v>
      </c>
      <c r="AS36" s="702">
        <v>18.584386904761907</v>
      </c>
      <c r="AT36" s="703">
        <v>14.522339285714285</v>
      </c>
      <c r="AU36" s="704"/>
      <c r="AW36" s="701">
        <v>25</v>
      </c>
      <c r="AX36" s="702">
        <v>1.5865714285714287</v>
      </c>
      <c r="AY36" s="702">
        <v>1.6924285714285716</v>
      </c>
      <c r="AZ36" s="703">
        <v>1.6082857142857143</v>
      </c>
      <c r="BA36" s="704"/>
      <c r="BC36" s="701">
        <v>25</v>
      </c>
      <c r="BD36" s="702">
        <v>9.0029761904761898</v>
      </c>
      <c r="BE36" s="702">
        <v>9.4315476190476186</v>
      </c>
      <c r="BF36" s="703">
        <v>11.09881</v>
      </c>
      <c r="BG36" s="704"/>
      <c r="BI36" s="701">
        <v>25</v>
      </c>
      <c r="BJ36" s="702">
        <v>37.470238095238095</v>
      </c>
      <c r="BK36" s="702">
        <v>30.25</v>
      </c>
      <c r="BL36" s="703">
        <v>42.142857142857146</v>
      </c>
      <c r="BM36" s="704"/>
      <c r="BO36" s="701">
        <v>25</v>
      </c>
      <c r="BP36" s="702">
        <v>10.698214285714284</v>
      </c>
      <c r="BQ36" s="702">
        <v>7.9434523809523805</v>
      </c>
      <c r="BR36" s="703">
        <v>9.2886904761904763</v>
      </c>
      <c r="BS36" s="704"/>
      <c r="BU36" s="701">
        <v>25</v>
      </c>
      <c r="BV36" s="702">
        <v>7.428869047619048</v>
      </c>
      <c r="BW36" s="702">
        <v>6.9378571428571432</v>
      </c>
      <c r="BX36" s="703">
        <v>9.3866071428571427</v>
      </c>
      <c r="BY36" s="704"/>
      <c r="CA36" s="701">
        <v>25</v>
      </c>
      <c r="CB36" s="702">
        <v>89.068576904761898</v>
      </c>
      <c r="CC36" s="702">
        <v>66.526564285714286</v>
      </c>
      <c r="CD36" s="703">
        <v>64.642825714285721</v>
      </c>
      <c r="CE36" s="704"/>
      <c r="CG36" s="701">
        <v>25</v>
      </c>
      <c r="CH36" s="702">
        <v>52.903690476190476</v>
      </c>
      <c r="CI36" s="702">
        <v>34.552321428571425</v>
      </c>
      <c r="CJ36" s="703">
        <v>44.783214285714287</v>
      </c>
      <c r="CK36" s="704"/>
      <c r="CM36" s="701">
        <v>25</v>
      </c>
      <c r="CN36" s="702">
        <v>35.20731547619048</v>
      </c>
      <c r="CO36" s="702">
        <v>34.149940476190473</v>
      </c>
      <c r="CP36" s="703">
        <v>48.468107142857143</v>
      </c>
      <c r="CQ36" s="704"/>
      <c r="CS36" s="701">
        <v>25</v>
      </c>
      <c r="CT36" s="702">
        <v>17.383928571428569</v>
      </c>
      <c r="CU36" s="702">
        <v>13.798809523809522</v>
      </c>
      <c r="CV36" s="703">
        <v>18.274999999999999</v>
      </c>
      <c r="CW36" s="704"/>
      <c r="CY36" s="701">
        <v>25</v>
      </c>
      <c r="CZ36" s="702">
        <v>0</v>
      </c>
      <c r="DA36" s="702">
        <v>0</v>
      </c>
      <c r="DB36" s="703">
        <v>0</v>
      </c>
      <c r="DC36" s="704">
        <v>0</v>
      </c>
      <c r="DE36" s="701"/>
      <c r="DF36" s="701">
        <v>25</v>
      </c>
      <c r="DG36" s="702">
        <v>11.756285714285713</v>
      </c>
      <c r="DH36" s="703">
        <v>0</v>
      </c>
      <c r="DI36" s="704">
        <v>0</v>
      </c>
      <c r="DK36" s="701">
        <v>25</v>
      </c>
      <c r="DL36" s="702">
        <v>0.90500000000000003</v>
      </c>
      <c r="DM36" s="702">
        <v>1.2741428571428572</v>
      </c>
      <c r="DN36" s="703">
        <v>1.5269999999999999</v>
      </c>
      <c r="DO36" s="704"/>
      <c r="DQ36" s="701">
        <v>25</v>
      </c>
      <c r="DR36" s="702">
        <v>12.037142857142857</v>
      </c>
      <c r="DS36" s="702">
        <v>10.550833333333333</v>
      </c>
      <c r="DT36" s="703">
        <v>11.33986630952381</v>
      </c>
      <c r="DU36" s="704"/>
      <c r="DW36" s="701">
        <v>25</v>
      </c>
      <c r="DX36" s="702">
        <v>9.2738095238095244E-3</v>
      </c>
      <c r="DY36" s="702">
        <v>1.339922619047619</v>
      </c>
      <c r="DZ36" s="703">
        <v>1.3506488095238094</v>
      </c>
      <c r="EA36" s="704"/>
      <c r="EC36" s="701">
        <v>25</v>
      </c>
      <c r="ED36" s="702">
        <v>6.7622222222222224</v>
      </c>
      <c r="EE36" s="702">
        <v>6.33</v>
      </c>
      <c r="EF36" s="703">
        <v>8.2071034482758609</v>
      </c>
      <c r="EG36" s="704"/>
      <c r="EI36" s="701">
        <v>25</v>
      </c>
      <c r="EJ36" s="702">
        <v>2.874714285714286</v>
      </c>
      <c r="EK36" s="702">
        <v>0.19800000000000001</v>
      </c>
      <c r="EL36" s="703">
        <v>0.63909000000000005</v>
      </c>
      <c r="EM36" s="704"/>
      <c r="EO36" s="701">
        <v>25</v>
      </c>
      <c r="EP36" s="702">
        <v>5.822857142857143</v>
      </c>
      <c r="EQ36" s="702">
        <v>6.8265714285714285</v>
      </c>
      <c r="ER36" s="703">
        <v>7.0715800000000009</v>
      </c>
      <c r="ES36" s="704"/>
      <c r="EU36" s="701">
        <v>25</v>
      </c>
      <c r="EV36" s="702">
        <v>9.8671428571428574</v>
      </c>
      <c r="EW36" s="702">
        <v>0.25</v>
      </c>
      <c r="EX36" s="703">
        <v>0.25</v>
      </c>
      <c r="EY36" s="704"/>
    </row>
    <row r="37" spans="13:155">
      <c r="M37" s="701">
        <v>26</v>
      </c>
      <c r="N37" s="702">
        <v>28.370016964285714</v>
      </c>
      <c r="O37" s="702">
        <v>44.399247202380955</v>
      </c>
      <c r="P37" s="703">
        <v>49.037235119047615</v>
      </c>
      <c r="Q37" s="704"/>
      <c r="S37" s="701">
        <v>26</v>
      </c>
      <c r="T37" s="702">
        <v>1</v>
      </c>
      <c r="U37" s="702">
        <v>1.1000000000000001</v>
      </c>
      <c r="V37" s="703">
        <v>1.1000000000000001</v>
      </c>
      <c r="W37" s="704"/>
      <c r="Y37" s="701">
        <v>26</v>
      </c>
      <c r="Z37" s="702">
        <v>14.389435714285714</v>
      </c>
      <c r="AA37" s="702">
        <v>14.266682857142856</v>
      </c>
      <c r="AB37" s="703">
        <v>17.678906250000001</v>
      </c>
      <c r="AC37" s="704"/>
      <c r="AE37" s="701">
        <v>26</v>
      </c>
      <c r="AF37" s="702">
        <v>33.724214642857142</v>
      </c>
      <c r="AG37" s="702">
        <v>17.568706845238093</v>
      </c>
      <c r="AH37" s="703">
        <v>19.700927976190478</v>
      </c>
      <c r="AI37" s="704"/>
      <c r="AK37" s="701">
        <v>26</v>
      </c>
      <c r="AL37" s="702">
        <v>29.57261904761905</v>
      </c>
      <c r="AM37" s="702">
        <v>29.171488095238093</v>
      </c>
      <c r="AN37" s="703">
        <v>33.249863095238098</v>
      </c>
      <c r="AO37" s="704"/>
      <c r="AQ37" s="701">
        <v>26</v>
      </c>
      <c r="AR37" s="702">
        <v>25.336815476190473</v>
      </c>
      <c r="AS37" s="702">
        <v>13.885309523809525</v>
      </c>
      <c r="AT37" s="703">
        <v>15.591636904761904</v>
      </c>
      <c r="AU37" s="704"/>
      <c r="AW37" s="701">
        <v>26</v>
      </c>
      <c r="AX37" s="702">
        <v>2.0531428571428574</v>
      </c>
      <c r="AY37" s="702">
        <v>1.6492857142857142</v>
      </c>
      <c r="AZ37" s="703">
        <v>1.7034285714285715</v>
      </c>
      <c r="BA37" s="704"/>
      <c r="BC37" s="701">
        <v>26</v>
      </c>
      <c r="BD37" s="702">
        <v>8.8088809523809513</v>
      </c>
      <c r="BE37" s="702">
        <v>8.8333333333333339</v>
      </c>
      <c r="BF37" s="703">
        <v>10.388605238095238</v>
      </c>
      <c r="BG37" s="704"/>
      <c r="BI37" s="701">
        <v>26</v>
      </c>
      <c r="BJ37" s="702">
        <v>32.05952380952381</v>
      </c>
      <c r="BK37" s="702">
        <v>27.273809523809522</v>
      </c>
      <c r="BL37" s="703">
        <v>32.178571428571431</v>
      </c>
      <c r="BM37" s="704"/>
      <c r="BO37" s="701">
        <v>26</v>
      </c>
      <c r="BP37" s="702">
        <v>11.25297619047619</v>
      </c>
      <c r="BQ37" s="702">
        <v>7.2755952380952387</v>
      </c>
      <c r="BR37" s="703">
        <v>8.4994047619047617</v>
      </c>
      <c r="BS37" s="704"/>
      <c r="BU37" s="701">
        <v>26</v>
      </c>
      <c r="BV37" s="702">
        <v>7.1079166666666671</v>
      </c>
      <c r="BW37" s="702">
        <v>6.8344444444444452</v>
      </c>
      <c r="BX37" s="703">
        <v>8.7592261904761894</v>
      </c>
      <c r="BY37" s="704"/>
      <c r="CA37" s="701">
        <v>26</v>
      </c>
      <c r="CB37" s="702">
        <v>81.462440000000001</v>
      </c>
      <c r="CC37" s="702">
        <v>63.492872857142856</v>
      </c>
      <c r="CD37" s="703">
        <v>74.122495714285719</v>
      </c>
      <c r="CE37" s="704"/>
      <c r="CG37" s="701">
        <v>26</v>
      </c>
      <c r="CH37" s="702">
        <v>50.937261904761904</v>
      </c>
      <c r="CI37" s="702">
        <v>33.420714285714283</v>
      </c>
      <c r="CJ37" s="703">
        <v>42.46125</v>
      </c>
      <c r="CK37" s="704"/>
      <c r="CM37" s="701">
        <v>26</v>
      </c>
      <c r="CN37" s="702">
        <v>34.336886904761904</v>
      </c>
      <c r="CO37" s="702">
        <v>40.695404166666663</v>
      </c>
      <c r="CP37" s="703">
        <v>42.224130952380953</v>
      </c>
      <c r="CQ37" s="704"/>
      <c r="CS37" s="701">
        <v>26</v>
      </c>
      <c r="CT37" s="702">
        <v>16.547619047619047</v>
      </c>
      <c r="CU37" s="702">
        <v>12.9625</v>
      </c>
      <c r="CV37" s="703">
        <v>17.899999999999999</v>
      </c>
      <c r="CW37" s="704"/>
      <c r="CY37" s="701">
        <v>26</v>
      </c>
      <c r="CZ37" s="702">
        <v>0</v>
      </c>
      <c r="DA37" s="702">
        <v>0</v>
      </c>
      <c r="DB37" s="703">
        <v>0</v>
      </c>
      <c r="DC37" s="704">
        <v>0</v>
      </c>
      <c r="DE37" s="701"/>
      <c r="DF37" s="701">
        <v>26</v>
      </c>
      <c r="DG37" s="702">
        <v>8.8546942857142863</v>
      </c>
      <c r="DH37" s="703">
        <v>0</v>
      </c>
      <c r="DI37" s="704">
        <v>0</v>
      </c>
      <c r="DK37" s="701">
        <v>26</v>
      </c>
      <c r="DL37" s="702">
        <v>0.81499999999999995</v>
      </c>
      <c r="DM37" s="702">
        <v>0.80700000000000005</v>
      </c>
      <c r="DN37" s="703">
        <v>1.5269999999999999</v>
      </c>
      <c r="DO37" s="704"/>
      <c r="DQ37" s="701">
        <v>26</v>
      </c>
      <c r="DR37" s="702">
        <v>12.019523809523809</v>
      </c>
      <c r="DS37" s="702">
        <v>10.577083333333334</v>
      </c>
      <c r="DT37" s="703">
        <v>11.335363095238096</v>
      </c>
      <c r="DU37" s="704"/>
      <c r="DW37" s="701">
        <v>26</v>
      </c>
      <c r="DX37" s="702">
        <v>1.731625</v>
      </c>
      <c r="DY37" s="702">
        <v>1.2915714285714288</v>
      </c>
      <c r="DZ37" s="703">
        <v>1.2718095238095239</v>
      </c>
      <c r="EA37" s="704"/>
      <c r="EC37" s="701">
        <v>26</v>
      </c>
      <c r="ED37" s="702">
        <v>8.68611111111111</v>
      </c>
      <c r="EE37" s="702">
        <v>8.374545454545455</v>
      </c>
      <c r="EF37" s="703">
        <v>8.4202709655172416</v>
      </c>
      <c r="EG37" s="704"/>
      <c r="EI37" s="701">
        <v>26</v>
      </c>
      <c r="EJ37" s="702">
        <v>3.2385714285714289</v>
      </c>
      <c r="EK37" s="702">
        <v>0.19800000000000001</v>
      </c>
      <c r="EL37" s="703">
        <v>0.83008999999999999</v>
      </c>
      <c r="EM37" s="704"/>
      <c r="EO37" s="701">
        <v>26</v>
      </c>
      <c r="EP37" s="702">
        <v>6.9641757142857141</v>
      </c>
      <c r="EQ37" s="702">
        <v>9.4847142857142845</v>
      </c>
      <c r="ER37" s="703">
        <v>7.6355714285714287</v>
      </c>
      <c r="ES37" s="704"/>
      <c r="EU37" s="701">
        <v>26</v>
      </c>
      <c r="EV37" s="702">
        <v>4.9564285714285718</v>
      </c>
      <c r="EW37" s="702">
        <v>0.25</v>
      </c>
      <c r="EX37" s="703">
        <v>0.25</v>
      </c>
      <c r="EY37" s="704"/>
    </row>
    <row r="38" spans="13:155">
      <c r="M38" s="701">
        <v>27</v>
      </c>
      <c r="N38" s="702">
        <v>37.734770833333336</v>
      </c>
      <c r="O38" s="702">
        <v>26.563863035714284</v>
      </c>
      <c r="P38" s="703">
        <v>27.267017261904758</v>
      </c>
      <c r="Q38" s="704"/>
      <c r="S38" s="701">
        <v>27</v>
      </c>
      <c r="T38" s="702">
        <v>1</v>
      </c>
      <c r="U38" s="702">
        <v>1.1000000000000001</v>
      </c>
      <c r="V38" s="703">
        <v>0.9285714285714286</v>
      </c>
      <c r="W38" s="704"/>
      <c r="Y38" s="701">
        <v>27</v>
      </c>
      <c r="Z38" s="702">
        <v>12.591235714285713</v>
      </c>
      <c r="AA38" s="702">
        <v>13.596768846153847</v>
      </c>
      <c r="AB38" s="703">
        <v>15.310067200000001</v>
      </c>
      <c r="AC38" s="704"/>
      <c r="AE38" s="701">
        <v>27</v>
      </c>
      <c r="AF38" s="702">
        <v>31.035441904761903</v>
      </c>
      <c r="AG38" s="702">
        <v>16.646447499999997</v>
      </c>
      <c r="AH38" s="703">
        <v>18.107968988095237</v>
      </c>
      <c r="AI38" s="704"/>
      <c r="AK38" s="701">
        <v>27</v>
      </c>
      <c r="AL38" s="702">
        <v>26.614494047619047</v>
      </c>
      <c r="AM38" s="702">
        <v>30.794431137724548</v>
      </c>
      <c r="AN38" s="703">
        <v>33.726291666666668</v>
      </c>
      <c r="AO38" s="704"/>
      <c r="AQ38" s="701">
        <v>27</v>
      </c>
      <c r="AR38" s="702">
        <v>17.01195238095238</v>
      </c>
      <c r="AS38" s="702">
        <v>11.152215568862275</v>
      </c>
      <c r="AT38" s="703">
        <v>10.821607142857143</v>
      </c>
      <c r="AU38" s="704"/>
      <c r="AW38" s="701">
        <v>27</v>
      </c>
      <c r="AX38" s="702">
        <v>1.7931428571428574</v>
      </c>
      <c r="AY38" s="702">
        <v>1.6811428571428573</v>
      </c>
      <c r="AZ38" s="703">
        <v>1.8148571428571429</v>
      </c>
      <c r="BA38" s="704"/>
      <c r="BC38" s="701">
        <v>27</v>
      </c>
      <c r="BD38" s="702">
        <v>8.6750000000000007</v>
      </c>
      <c r="BE38" s="702">
        <v>8.4654761904761902</v>
      </c>
      <c r="BF38" s="703">
        <v>9.1612352380952373</v>
      </c>
      <c r="BG38" s="704"/>
      <c r="BI38" s="701">
        <v>27</v>
      </c>
      <c r="BJ38" s="702">
        <v>28.196428571428569</v>
      </c>
      <c r="BK38" s="702">
        <v>24.982035928143713</v>
      </c>
      <c r="BL38" s="703">
        <v>31.577380952380953</v>
      </c>
      <c r="BM38" s="704"/>
      <c r="BO38" s="701">
        <v>27</v>
      </c>
      <c r="BP38" s="702">
        <v>8.8946428571428573</v>
      </c>
      <c r="BQ38" s="702">
        <v>6.8059523809523812</v>
      </c>
      <c r="BR38" s="703">
        <v>7.7017857142857142</v>
      </c>
      <c r="BS38" s="704"/>
      <c r="BU38" s="701">
        <v>27</v>
      </c>
      <c r="BV38" s="702">
        <v>7.2442261904761915</v>
      </c>
      <c r="BW38" s="702">
        <v>6.4039285714285716</v>
      </c>
      <c r="BX38" s="703">
        <v>7.6669642857142861</v>
      </c>
      <c r="BY38" s="704"/>
      <c r="CA38" s="701">
        <v>27</v>
      </c>
      <c r="CB38" s="702">
        <v>77.578795714285718</v>
      </c>
      <c r="CC38" s="702">
        <v>62.99473714285714</v>
      </c>
      <c r="CD38" s="703">
        <v>81.176827142857135</v>
      </c>
      <c r="CE38" s="704"/>
      <c r="CG38" s="701">
        <v>27</v>
      </c>
      <c r="CH38" s="702">
        <v>39.716488095238091</v>
      </c>
      <c r="CI38" s="702">
        <v>30.019583333333333</v>
      </c>
      <c r="CJ38" s="703">
        <v>37.349226190476188</v>
      </c>
      <c r="CK38" s="704"/>
      <c r="CM38" s="701">
        <v>27</v>
      </c>
      <c r="CN38" s="702">
        <v>31.494160714285716</v>
      </c>
      <c r="CO38" s="702">
        <v>29.380196428571431</v>
      </c>
      <c r="CP38" s="703">
        <v>30.766324285714283</v>
      </c>
      <c r="CQ38" s="704"/>
      <c r="CS38" s="701">
        <v>27</v>
      </c>
      <c r="CT38" s="702">
        <v>15.426190476190476</v>
      </c>
      <c r="CU38" s="702">
        <v>12.46845238095238</v>
      </c>
      <c r="CV38" s="703">
        <v>16.703571428571429</v>
      </c>
      <c r="CW38" s="704"/>
      <c r="CY38" s="701">
        <v>27</v>
      </c>
      <c r="CZ38" s="702">
        <v>0</v>
      </c>
      <c r="DA38" s="702">
        <v>0</v>
      </c>
      <c r="DB38" s="703">
        <v>0</v>
      </c>
      <c r="DC38" s="704">
        <v>0</v>
      </c>
      <c r="DE38" s="701"/>
      <c r="DF38" s="701">
        <v>27</v>
      </c>
      <c r="DG38" s="702">
        <v>12.023528571428571</v>
      </c>
      <c r="DH38" s="703">
        <v>0</v>
      </c>
      <c r="DI38" s="704">
        <v>0</v>
      </c>
      <c r="DK38" s="701">
        <v>27</v>
      </c>
      <c r="DL38" s="702">
        <v>2.077142857142857</v>
      </c>
      <c r="DM38" s="702">
        <v>1.4927142857142857</v>
      </c>
      <c r="DN38" s="703">
        <v>1.739857142857143</v>
      </c>
      <c r="DO38" s="704"/>
      <c r="DQ38" s="701">
        <v>27</v>
      </c>
      <c r="DR38" s="702">
        <v>12.048988095238094</v>
      </c>
      <c r="DS38" s="702">
        <v>10.403571428571428</v>
      </c>
      <c r="DT38" s="703">
        <v>10.120803571428572</v>
      </c>
      <c r="DU38" s="704"/>
      <c r="DW38" s="701">
        <v>27</v>
      </c>
      <c r="DX38" s="702">
        <v>1.5204642857142858</v>
      </c>
      <c r="DY38" s="702">
        <v>1.3327380952380952</v>
      </c>
      <c r="DZ38" s="703">
        <v>1.2286964285714286</v>
      </c>
      <c r="EA38" s="704"/>
      <c r="EC38" s="701">
        <v>27</v>
      </c>
      <c r="ED38" s="702">
        <v>8.069285714285714</v>
      </c>
      <c r="EE38" s="702">
        <v>7.9440909090909093</v>
      </c>
      <c r="EF38" s="703">
        <v>10.658776689655172</v>
      </c>
      <c r="EG38" s="704"/>
      <c r="EI38" s="701">
        <v>27</v>
      </c>
      <c r="EJ38" s="702">
        <v>3.2307142857142859</v>
      </c>
      <c r="EK38" s="702">
        <v>0.19800000000000001</v>
      </c>
      <c r="EL38" s="703">
        <v>0.94923285714285721</v>
      </c>
      <c r="EM38" s="704"/>
      <c r="EO38" s="701">
        <v>27</v>
      </c>
      <c r="EP38" s="702">
        <v>6.4963228571428573</v>
      </c>
      <c r="EQ38" s="702">
        <v>15.778461428571427</v>
      </c>
      <c r="ER38" s="703">
        <v>6.3555714285714293</v>
      </c>
      <c r="ES38" s="704"/>
      <c r="EU38" s="701">
        <v>27</v>
      </c>
      <c r="EV38" s="702">
        <v>0.28571428571428575</v>
      </c>
      <c r="EW38" s="702">
        <v>0.25</v>
      </c>
      <c r="EX38" s="703">
        <v>0.25</v>
      </c>
      <c r="EY38" s="704"/>
    </row>
    <row r="39" spans="13:155">
      <c r="M39" s="701">
        <v>28</v>
      </c>
      <c r="N39" s="702">
        <v>23.776031964285714</v>
      </c>
      <c r="O39" s="702">
        <v>12.093855119047619</v>
      </c>
      <c r="P39" s="703">
        <v>24.125512916666668</v>
      </c>
      <c r="Q39" s="704"/>
      <c r="S39" s="701">
        <v>28</v>
      </c>
      <c r="T39" s="702">
        <v>1.1547619047619049</v>
      </c>
      <c r="U39" s="702">
        <v>1.8482142857142858</v>
      </c>
      <c r="V39" s="703">
        <v>0.9</v>
      </c>
      <c r="W39" s="704"/>
      <c r="Y39" s="701">
        <v>28</v>
      </c>
      <c r="Z39" s="702">
        <v>12.568361428571428</v>
      </c>
      <c r="AA39" s="702">
        <v>15.990279577464788</v>
      </c>
      <c r="AB39" s="703">
        <v>14.667742268041236</v>
      </c>
      <c r="AC39" s="704"/>
      <c r="AE39" s="701">
        <v>28</v>
      </c>
      <c r="AF39" s="702">
        <v>30.797865952380953</v>
      </c>
      <c r="AG39" s="702">
        <v>15.94831238095238</v>
      </c>
      <c r="AH39" s="703">
        <v>16.083940119047618</v>
      </c>
      <c r="AI39" s="704"/>
      <c r="AK39" s="701">
        <v>28</v>
      </c>
      <c r="AL39" s="702">
        <v>27.318559523809522</v>
      </c>
      <c r="AM39" s="702">
        <v>31.845238095238095</v>
      </c>
      <c r="AN39" s="703">
        <v>34.499404761904763</v>
      </c>
      <c r="AO39" s="704"/>
      <c r="AQ39" s="701">
        <v>28</v>
      </c>
      <c r="AR39" s="702">
        <v>15.483333333333333</v>
      </c>
      <c r="AS39" s="702">
        <v>11.612023809523809</v>
      </c>
      <c r="AT39" s="703">
        <v>8.0586607142857147</v>
      </c>
      <c r="AU39" s="704"/>
      <c r="AW39" s="701">
        <v>28</v>
      </c>
      <c r="AX39" s="702">
        <v>1.5484285714285715</v>
      </c>
      <c r="AY39" s="702">
        <v>1.8932857142857145</v>
      </c>
      <c r="AZ39" s="703">
        <v>1.9684285714285716</v>
      </c>
      <c r="BA39" s="704"/>
      <c r="BC39" s="701">
        <v>28</v>
      </c>
      <c r="BD39" s="702">
        <v>8.5321428571428566</v>
      </c>
      <c r="BE39" s="702">
        <v>8.1529761904761902</v>
      </c>
      <c r="BF39" s="703">
        <v>8.2569042857142847</v>
      </c>
      <c r="BG39" s="704"/>
      <c r="BI39" s="701">
        <v>28</v>
      </c>
      <c r="BJ39" s="702">
        <v>29.315476190476186</v>
      </c>
      <c r="BK39" s="702">
        <v>23.232142857142858</v>
      </c>
      <c r="BL39" s="703">
        <v>26.208333333333336</v>
      </c>
      <c r="BM39" s="704"/>
      <c r="BO39" s="701">
        <v>28</v>
      </c>
      <c r="BP39" s="702">
        <v>8.574404761904761</v>
      </c>
      <c r="BQ39" s="702">
        <v>6.35952380952381</v>
      </c>
      <c r="BR39" s="703">
        <v>7.0767857142857151</v>
      </c>
      <c r="BS39" s="704"/>
      <c r="BU39" s="701">
        <v>28</v>
      </c>
      <c r="BV39" s="702">
        <v>7.899404761904762</v>
      </c>
      <c r="BW39" s="702">
        <v>6.1117261904761904</v>
      </c>
      <c r="BX39" s="703">
        <v>6.6844047619047622</v>
      </c>
      <c r="BY39" s="704"/>
      <c r="CA39" s="701">
        <v>28</v>
      </c>
      <c r="CB39" s="702">
        <v>81.823952857142856</v>
      </c>
      <c r="CC39" s="702">
        <v>60.06044</v>
      </c>
      <c r="CD39" s="703">
        <v>75.709137142857145</v>
      </c>
      <c r="CE39" s="704"/>
      <c r="CG39" s="701">
        <v>28</v>
      </c>
      <c r="CH39" s="702">
        <v>37.481666666666662</v>
      </c>
      <c r="CI39" s="702">
        <v>29.288214285714286</v>
      </c>
      <c r="CJ39" s="703">
        <v>34.485476190476192</v>
      </c>
      <c r="CK39" s="704"/>
      <c r="CM39" s="701">
        <v>28</v>
      </c>
      <c r="CN39" s="702">
        <v>28.960976190476192</v>
      </c>
      <c r="CO39" s="702">
        <v>17.772216488095236</v>
      </c>
      <c r="CP39" s="703">
        <v>28.104065476190474</v>
      </c>
      <c r="CQ39" s="704"/>
      <c r="CS39" s="701">
        <v>28</v>
      </c>
      <c r="CT39" s="702">
        <v>14.096428571428572</v>
      </c>
      <c r="CU39" s="702">
        <v>11.882142857142856</v>
      </c>
      <c r="CV39" s="703">
        <v>15.838095238095239</v>
      </c>
      <c r="CW39" s="704"/>
      <c r="CY39" s="701">
        <v>28</v>
      </c>
      <c r="CZ39" s="702">
        <v>0</v>
      </c>
      <c r="DA39" s="702">
        <v>0</v>
      </c>
      <c r="DB39" s="703">
        <v>3.363</v>
      </c>
      <c r="DC39" s="704">
        <v>0</v>
      </c>
      <c r="DE39" s="701"/>
      <c r="DF39" s="701">
        <v>28</v>
      </c>
      <c r="DG39" s="702">
        <v>12.333142857142857</v>
      </c>
      <c r="DH39" s="703">
        <v>0.16728571428571429</v>
      </c>
      <c r="DI39" s="704">
        <v>0</v>
      </c>
      <c r="DK39" s="701">
        <v>28</v>
      </c>
      <c r="DL39" s="702">
        <v>2.33</v>
      </c>
      <c r="DM39" s="702">
        <v>2.0070000000000001</v>
      </c>
      <c r="DN39" s="703">
        <v>2.9437142857142859</v>
      </c>
      <c r="DO39" s="704"/>
      <c r="DQ39" s="701">
        <v>28</v>
      </c>
      <c r="DR39" s="702">
        <v>13.016607142857142</v>
      </c>
      <c r="DS39" s="702">
        <v>10.362797619047621</v>
      </c>
      <c r="DT39" s="703">
        <v>11.860982142857143</v>
      </c>
      <c r="DU39" s="704"/>
      <c r="DW39" s="701">
        <v>28</v>
      </c>
      <c r="DX39" s="702">
        <v>1.6309345238095239</v>
      </c>
      <c r="DY39" s="702">
        <v>1.3374285714285714</v>
      </c>
      <c r="DZ39" s="703">
        <v>0.96036904761904762</v>
      </c>
      <c r="EA39" s="704"/>
      <c r="EC39" s="701">
        <v>28</v>
      </c>
      <c r="ED39" s="702">
        <v>8.8493055555555546</v>
      </c>
      <c r="EE39" s="702">
        <v>7.6883333333333335</v>
      </c>
      <c r="EF39" s="703">
        <v>11.019931379310345</v>
      </c>
      <c r="EG39" s="704"/>
      <c r="EI39" s="701">
        <v>28</v>
      </c>
      <c r="EJ39" s="702">
        <v>9.8769999999999989</v>
      </c>
      <c r="EK39" s="702">
        <v>0.19800000000000001</v>
      </c>
      <c r="EL39" s="703">
        <v>1.5122328571428572</v>
      </c>
      <c r="EM39" s="704"/>
      <c r="EO39" s="701">
        <v>28</v>
      </c>
      <c r="EP39" s="702">
        <v>6.6385714285714288</v>
      </c>
      <c r="EQ39" s="702">
        <v>16.920285714285715</v>
      </c>
      <c r="ER39" s="703">
        <v>6.0922357142857146</v>
      </c>
      <c r="ES39" s="704"/>
      <c r="EU39" s="701">
        <v>28</v>
      </c>
      <c r="EV39" s="702">
        <v>0.4642857142857143</v>
      </c>
      <c r="EW39" s="702">
        <v>1.0535714285714286</v>
      </c>
      <c r="EX39" s="703">
        <v>0.25</v>
      </c>
      <c r="EY39" s="704"/>
    </row>
    <row r="40" spans="13:155">
      <c r="M40" s="701">
        <v>29</v>
      </c>
      <c r="N40" s="702">
        <v>33.912352261904765</v>
      </c>
      <c r="O40" s="702">
        <v>4.1016611309523814</v>
      </c>
      <c r="P40" s="703">
        <v>22.77833</v>
      </c>
      <c r="Q40" s="704"/>
      <c r="S40" s="701">
        <v>29</v>
      </c>
      <c r="T40" s="702">
        <v>3.9047619047619047</v>
      </c>
      <c r="U40" s="702">
        <v>11.038095238095238</v>
      </c>
      <c r="V40" s="703">
        <v>3.0904761904761906</v>
      </c>
      <c r="W40" s="704"/>
      <c r="Y40" s="701">
        <v>29</v>
      </c>
      <c r="Z40" s="702">
        <v>12.436332142857141</v>
      </c>
      <c r="AA40" s="702">
        <v>18.531068484848486</v>
      </c>
      <c r="AB40" s="703">
        <v>13.964347826086957</v>
      </c>
      <c r="AC40" s="704"/>
      <c r="AE40" s="701">
        <v>29</v>
      </c>
      <c r="AF40" s="702">
        <v>31.162650476190475</v>
      </c>
      <c r="AG40" s="702">
        <v>20.872736369047619</v>
      </c>
      <c r="AH40" s="703">
        <v>15.50995488095238</v>
      </c>
      <c r="AI40" s="704"/>
      <c r="AK40" s="701">
        <v>29</v>
      </c>
      <c r="AL40" s="702">
        <v>27.958148809523806</v>
      </c>
      <c r="AM40" s="702">
        <v>31.09672619047619</v>
      </c>
      <c r="AN40" s="703">
        <v>32.912452380952381</v>
      </c>
      <c r="AO40" s="704"/>
      <c r="AQ40" s="701">
        <v>29</v>
      </c>
      <c r="AR40" s="702">
        <v>12.983220238095237</v>
      </c>
      <c r="AS40" s="702">
        <v>8.8954166666666659</v>
      </c>
      <c r="AT40" s="703">
        <v>6.3626369047619056</v>
      </c>
      <c r="AU40" s="704"/>
      <c r="AW40" s="701">
        <v>29</v>
      </c>
      <c r="AX40" s="702">
        <v>1.8301428571428571</v>
      </c>
      <c r="AY40" s="702">
        <v>1.7762857142857145</v>
      </c>
      <c r="AZ40" s="703">
        <v>1.7184285714285714</v>
      </c>
      <c r="BA40" s="704"/>
      <c r="BC40" s="701">
        <v>29</v>
      </c>
      <c r="BD40" s="702">
        <v>7.5017857142857149</v>
      </c>
      <c r="BE40" s="702">
        <v>7.5476190476190483</v>
      </c>
      <c r="BF40" s="703">
        <v>8.7904014285714283</v>
      </c>
      <c r="BG40" s="704"/>
      <c r="BI40" s="701">
        <v>29</v>
      </c>
      <c r="BJ40" s="702">
        <v>28.86904761904762</v>
      </c>
      <c r="BK40" s="702">
        <v>22.916666666666664</v>
      </c>
      <c r="BL40" s="703">
        <v>24.571428571428569</v>
      </c>
      <c r="BM40" s="704"/>
      <c r="BO40" s="701">
        <v>29</v>
      </c>
      <c r="BP40" s="702">
        <v>8.3952380952380956</v>
      </c>
      <c r="BQ40" s="702">
        <v>6.3720238095238093</v>
      </c>
      <c r="BR40" s="703">
        <v>6.7535714285714281</v>
      </c>
      <c r="BS40" s="704"/>
      <c r="BU40" s="701">
        <v>29</v>
      </c>
      <c r="BV40" s="702">
        <v>8.4869642857142846</v>
      </c>
      <c r="BW40" s="702">
        <v>6.1680357142857147</v>
      </c>
      <c r="BX40" s="703">
        <v>6.7116071428571429</v>
      </c>
      <c r="BY40" s="704"/>
      <c r="CA40" s="701">
        <v>29</v>
      </c>
      <c r="CB40" s="702">
        <v>74.101937142857139</v>
      </c>
      <c r="CC40" s="702">
        <v>57.661344285714286</v>
      </c>
      <c r="CD40" s="703">
        <v>73.105181428571427</v>
      </c>
      <c r="CE40" s="704"/>
      <c r="CG40" s="701">
        <v>29</v>
      </c>
      <c r="CH40" s="702">
        <v>34.327857142857141</v>
      </c>
      <c r="CI40" s="702">
        <v>30.493630952380951</v>
      </c>
      <c r="CJ40" s="703">
        <v>32.750059523809526</v>
      </c>
      <c r="CK40" s="704"/>
      <c r="CM40" s="701">
        <v>29</v>
      </c>
      <c r="CN40" s="702">
        <v>31.389595238095236</v>
      </c>
      <c r="CO40" s="702">
        <v>15.372422857142857</v>
      </c>
      <c r="CP40" s="703">
        <v>28.935377380952382</v>
      </c>
      <c r="CQ40" s="704"/>
      <c r="CS40" s="701">
        <v>29</v>
      </c>
      <c r="CT40" s="702">
        <v>12.374251497005988</v>
      </c>
      <c r="CU40" s="702">
        <v>10.112500000000001</v>
      </c>
      <c r="CV40" s="703">
        <v>14.707738095238096</v>
      </c>
      <c r="CW40" s="704"/>
      <c r="CY40" s="701">
        <v>29</v>
      </c>
      <c r="CZ40" s="702">
        <v>0</v>
      </c>
      <c r="DA40" s="702">
        <v>0</v>
      </c>
      <c r="DB40" s="703">
        <v>6.1790000000000003</v>
      </c>
      <c r="DC40" s="704">
        <v>0</v>
      </c>
      <c r="DE40" s="701"/>
      <c r="DF40" s="701">
        <v>29</v>
      </c>
      <c r="DG40" s="702">
        <v>12.227564285714285</v>
      </c>
      <c r="DH40" s="703">
        <v>12.309285714285714</v>
      </c>
      <c r="DI40" s="704">
        <v>0.72828571428571431</v>
      </c>
      <c r="DK40" s="701">
        <v>29</v>
      </c>
      <c r="DL40" s="702">
        <v>2.33</v>
      </c>
      <c r="DM40" s="702">
        <v>2.0070000000000001</v>
      </c>
      <c r="DN40" s="703">
        <v>2.2970000000000002</v>
      </c>
      <c r="DO40" s="704"/>
      <c r="DQ40" s="701">
        <v>29</v>
      </c>
      <c r="DR40" s="702">
        <v>11.55875</v>
      </c>
      <c r="DS40" s="702">
        <v>10.495357142857143</v>
      </c>
      <c r="DT40" s="703">
        <v>11.704023809523809</v>
      </c>
      <c r="DU40" s="704"/>
      <c r="DW40" s="701">
        <v>29</v>
      </c>
      <c r="DX40" s="702">
        <v>1.6555833333333334</v>
      </c>
      <c r="DY40" s="702">
        <v>1.2996309523809524</v>
      </c>
      <c r="DZ40" s="703">
        <v>1.352702380952381</v>
      </c>
      <c r="EA40" s="704"/>
      <c r="EC40" s="701">
        <v>29</v>
      </c>
      <c r="ED40" s="702">
        <v>9.4621428571428563</v>
      </c>
      <c r="EE40" s="702">
        <v>8.7912499999999998</v>
      </c>
      <c r="EF40" s="703">
        <v>11.609396551724137</v>
      </c>
      <c r="EG40" s="704"/>
      <c r="EI40" s="701">
        <v>29</v>
      </c>
      <c r="EJ40" s="702">
        <v>4.4467142857142852</v>
      </c>
      <c r="EK40" s="702">
        <v>1.725857142857143</v>
      </c>
      <c r="EL40" s="703">
        <v>1.73509</v>
      </c>
      <c r="EM40" s="704"/>
      <c r="EO40" s="701">
        <v>29</v>
      </c>
      <c r="EP40" s="702">
        <v>6.5670328571428573</v>
      </c>
      <c r="EQ40" s="702">
        <v>13.245142857142858</v>
      </c>
      <c r="ER40" s="703">
        <v>6.0472857142857146</v>
      </c>
      <c r="ES40" s="704"/>
      <c r="EU40" s="701">
        <v>29</v>
      </c>
      <c r="EV40" s="702">
        <v>0.4642857142857143</v>
      </c>
      <c r="EW40" s="702">
        <v>3</v>
      </c>
      <c r="EX40" s="703">
        <v>0.41071428571428575</v>
      </c>
      <c r="EY40" s="704"/>
    </row>
    <row r="41" spans="13:155">
      <c r="M41" s="701">
        <v>30</v>
      </c>
      <c r="N41" s="702">
        <v>25.496939642857143</v>
      </c>
      <c r="O41" s="702">
        <v>7.4833327380952381</v>
      </c>
      <c r="P41" s="703">
        <v>16.179146071428573</v>
      </c>
      <c r="Q41" s="704"/>
      <c r="S41" s="701">
        <v>30</v>
      </c>
      <c r="T41" s="702">
        <v>5.0464285714285717</v>
      </c>
      <c r="U41" s="702">
        <v>13.645833333333334</v>
      </c>
      <c r="V41" s="703">
        <v>6.9190476190476184</v>
      </c>
      <c r="W41" s="704"/>
      <c r="Y41" s="701">
        <v>30</v>
      </c>
      <c r="Z41" s="702">
        <v>12.081107857142856</v>
      </c>
      <c r="AA41" s="702">
        <v>17.796981904761903</v>
      </c>
      <c r="AB41" s="703">
        <v>12.23078947368421</v>
      </c>
      <c r="AC41" s="704"/>
      <c r="AE41" s="701">
        <v>30</v>
      </c>
      <c r="AF41" s="702">
        <v>28.910140654761907</v>
      </c>
      <c r="AG41" s="702">
        <v>27.085379702380951</v>
      </c>
      <c r="AH41" s="703">
        <v>20.434952797619047</v>
      </c>
      <c r="AI41" s="704"/>
      <c r="AK41" s="701">
        <v>30</v>
      </c>
      <c r="AL41" s="702">
        <v>25.713708333333333</v>
      </c>
      <c r="AM41" s="702">
        <v>30.788440476190473</v>
      </c>
      <c r="AN41" s="703">
        <v>31.374017857142857</v>
      </c>
      <c r="AO41" s="704"/>
      <c r="AQ41" s="701">
        <v>30</v>
      </c>
      <c r="AR41" s="702">
        <v>13.575940476190475</v>
      </c>
      <c r="AS41" s="702">
        <v>7.939886904761905</v>
      </c>
      <c r="AT41" s="703">
        <v>5.3993214285714286</v>
      </c>
      <c r="AU41" s="704"/>
      <c r="AW41" s="701">
        <v>30</v>
      </c>
      <c r="AX41" s="702">
        <v>1.7351428571428571</v>
      </c>
      <c r="AY41" s="702">
        <v>1.943857142857143</v>
      </c>
      <c r="AZ41" s="703">
        <v>1.8231428571428572</v>
      </c>
      <c r="BA41" s="704"/>
      <c r="BC41" s="701">
        <v>30</v>
      </c>
      <c r="BD41" s="702">
        <v>6.9630952380952387</v>
      </c>
      <c r="BE41" s="702">
        <v>7.066071428571429</v>
      </c>
      <c r="BF41" s="703">
        <v>8.0647571428571432</v>
      </c>
      <c r="BG41" s="704"/>
      <c r="BI41" s="701">
        <v>30</v>
      </c>
      <c r="BJ41" s="702">
        <v>27.43809523809524</v>
      </c>
      <c r="BK41" s="702">
        <v>22</v>
      </c>
      <c r="BL41" s="703">
        <v>23.083333333333332</v>
      </c>
      <c r="BM41" s="704"/>
      <c r="BO41" s="701">
        <v>30</v>
      </c>
      <c r="BP41" s="702">
        <v>8.4327380952380953</v>
      </c>
      <c r="BQ41" s="702">
        <v>5.9559523809523816</v>
      </c>
      <c r="BR41" s="703">
        <v>6.3571428571428577</v>
      </c>
      <c r="BS41" s="704"/>
      <c r="BU41" s="701">
        <v>30</v>
      </c>
      <c r="BV41" s="702">
        <v>10.691666666666666</v>
      </c>
      <c r="BW41" s="702">
        <v>5.892321428571428</v>
      </c>
      <c r="BX41" s="703">
        <v>6.6091666666666669</v>
      </c>
      <c r="BY41" s="704"/>
      <c r="CA41" s="701">
        <v>30</v>
      </c>
      <c r="CB41" s="702">
        <v>75.140692857142852</v>
      </c>
      <c r="CC41" s="702">
        <v>56.385294285714288</v>
      </c>
      <c r="CD41" s="703">
        <v>61.398307142857142</v>
      </c>
      <c r="CE41" s="704"/>
      <c r="CG41" s="701">
        <v>30</v>
      </c>
      <c r="CH41" s="702">
        <v>33.136607142857144</v>
      </c>
      <c r="CI41" s="702">
        <v>33.387321428571425</v>
      </c>
      <c r="CJ41" s="703">
        <v>32.42422619047619</v>
      </c>
      <c r="CK41" s="704"/>
      <c r="CM41" s="701">
        <v>30</v>
      </c>
      <c r="CN41" s="702">
        <v>29.175041666666669</v>
      </c>
      <c r="CO41" s="702">
        <v>16.5215225</v>
      </c>
      <c r="CP41" s="703">
        <v>22.767410714285713</v>
      </c>
      <c r="CQ41" s="704"/>
      <c r="CS41" s="701">
        <v>30</v>
      </c>
      <c r="CT41" s="702">
        <v>11.25</v>
      </c>
      <c r="CU41" s="702">
        <v>5.9077380952380949</v>
      </c>
      <c r="CV41" s="703">
        <v>11.958333333333332</v>
      </c>
      <c r="CW41" s="704"/>
      <c r="CY41" s="701">
        <v>30</v>
      </c>
      <c r="CZ41" s="702">
        <v>0</v>
      </c>
      <c r="DA41" s="702">
        <v>0</v>
      </c>
      <c r="DB41" s="703">
        <v>6.1790000000000003</v>
      </c>
      <c r="DC41" s="704">
        <v>0</v>
      </c>
      <c r="DE41" s="701"/>
      <c r="DF41" s="701">
        <v>30</v>
      </c>
      <c r="DG41" s="702">
        <v>15.966918571428572</v>
      </c>
      <c r="DH41" s="703">
        <v>20.304285714285712</v>
      </c>
      <c r="DI41" s="704">
        <v>10.045190000000002</v>
      </c>
      <c r="DK41" s="701">
        <v>30</v>
      </c>
      <c r="DL41" s="702">
        <v>2.33</v>
      </c>
      <c r="DM41" s="702">
        <v>3.7212857142857145</v>
      </c>
      <c r="DN41" s="703">
        <v>2.2970000000000002</v>
      </c>
      <c r="DO41" s="704"/>
      <c r="DQ41" s="701">
        <v>30</v>
      </c>
      <c r="DR41" s="702">
        <v>11.530535714285714</v>
      </c>
      <c r="DS41" s="702">
        <v>10.428928571428573</v>
      </c>
      <c r="DT41" s="703">
        <v>11.761565476190476</v>
      </c>
      <c r="DU41" s="704"/>
      <c r="DW41" s="701">
        <v>30</v>
      </c>
      <c r="DX41" s="702">
        <v>1.6710714285714288</v>
      </c>
      <c r="DY41" s="702">
        <v>1.2653333333333334</v>
      </c>
      <c r="DZ41" s="703">
        <v>1.3571547619047619</v>
      </c>
      <c r="EA41" s="704"/>
      <c r="EC41" s="701">
        <v>30</v>
      </c>
      <c r="ED41" s="702">
        <v>9.3812499999999996</v>
      </c>
      <c r="EE41" s="702">
        <v>9.6266666666666669</v>
      </c>
      <c r="EF41" s="703">
        <v>11.845003749999998</v>
      </c>
      <c r="EG41" s="704"/>
      <c r="EI41" s="701">
        <v>30</v>
      </c>
      <c r="EJ41" s="702">
        <v>8.0122857142857136</v>
      </c>
      <c r="EK41" s="702">
        <v>2.8039999999999998</v>
      </c>
      <c r="EL41" s="703">
        <v>2.0265185714285714</v>
      </c>
      <c r="EM41" s="704"/>
      <c r="EO41" s="701">
        <v>30</v>
      </c>
      <c r="EP41" s="702">
        <v>7.2998899999999995</v>
      </c>
      <c r="EQ41" s="702">
        <v>16.250285714285713</v>
      </c>
      <c r="ER41" s="703">
        <v>10.758494285714285</v>
      </c>
      <c r="ES41" s="704"/>
      <c r="EU41" s="701">
        <v>30</v>
      </c>
      <c r="EV41" s="702">
        <v>0.5</v>
      </c>
      <c r="EW41" s="702">
        <v>9.2857142857142865</v>
      </c>
      <c r="EX41" s="703">
        <v>1.4285714285714286</v>
      </c>
      <c r="EY41" s="704"/>
    </row>
    <row r="42" spans="13:155">
      <c r="M42" s="701">
        <v>31</v>
      </c>
      <c r="N42" s="702">
        <v>20.899549464285712</v>
      </c>
      <c r="O42" s="702">
        <v>3.7210082142857144</v>
      </c>
      <c r="P42" s="703">
        <v>34.373332261904764</v>
      </c>
      <c r="Q42" s="704"/>
      <c r="S42" s="701">
        <v>31</v>
      </c>
      <c r="T42" s="702">
        <v>6.5392857142857146</v>
      </c>
      <c r="U42" s="702">
        <v>13.122023809523808</v>
      </c>
      <c r="V42" s="703">
        <v>6.8130952380952383</v>
      </c>
      <c r="W42" s="704"/>
      <c r="Y42" s="701">
        <v>31</v>
      </c>
      <c r="Z42" s="702">
        <v>11.596254285714286</v>
      </c>
      <c r="AA42" s="702">
        <v>15.804717999999999</v>
      </c>
      <c r="AB42" s="703">
        <v>12.497343750000001</v>
      </c>
      <c r="AC42" s="704"/>
      <c r="AE42" s="701">
        <v>31</v>
      </c>
      <c r="AF42" s="702">
        <v>27.139766369047621</v>
      </c>
      <c r="AG42" s="702">
        <v>28.367976071428568</v>
      </c>
      <c r="AH42" s="703">
        <v>20.430120119047618</v>
      </c>
      <c r="AI42" s="704"/>
      <c r="AK42" s="701">
        <v>31</v>
      </c>
      <c r="AL42" s="702">
        <v>24.763547619047618</v>
      </c>
      <c r="AM42" s="702">
        <v>31.946880952380951</v>
      </c>
      <c r="AN42" s="703">
        <v>35.059249999999999</v>
      </c>
      <c r="AO42" s="704"/>
      <c r="AQ42" s="701">
        <v>31</v>
      </c>
      <c r="AR42" s="702">
        <v>11.669809523809523</v>
      </c>
      <c r="AS42" s="702">
        <v>6.6846785714285719</v>
      </c>
      <c r="AT42" s="703">
        <v>4.6639583333333334</v>
      </c>
      <c r="AU42" s="704"/>
      <c r="AW42" s="701">
        <v>31</v>
      </c>
      <c r="AX42" s="702">
        <v>1.6478571428571429</v>
      </c>
      <c r="AY42" s="702">
        <v>1.6775714285714287</v>
      </c>
      <c r="AZ42" s="703">
        <v>1.642857142857143</v>
      </c>
      <c r="BA42" s="704"/>
      <c r="BC42" s="701">
        <v>31</v>
      </c>
      <c r="BD42" s="702">
        <v>6.8166666666666673</v>
      </c>
      <c r="BE42" s="702">
        <v>7.2053571428571432</v>
      </c>
      <c r="BF42" s="703">
        <v>7.7652299999999999</v>
      </c>
      <c r="BG42" s="704"/>
      <c r="BI42" s="701">
        <v>31</v>
      </c>
      <c r="BJ42" s="702">
        <v>26.440476190476193</v>
      </c>
      <c r="BK42" s="702">
        <v>24.678571428571431</v>
      </c>
      <c r="BL42" s="703">
        <v>22.5</v>
      </c>
      <c r="BM42" s="704"/>
      <c r="BO42" s="701">
        <v>31</v>
      </c>
      <c r="BP42" s="702">
        <v>7.6333333333333337</v>
      </c>
      <c r="BQ42" s="702">
        <v>6.043452380952381</v>
      </c>
      <c r="BR42" s="703">
        <v>6.2720238095238097</v>
      </c>
      <c r="BS42" s="704"/>
      <c r="BU42" s="701">
        <v>31</v>
      </c>
      <c r="BV42" s="702">
        <v>7.5748809523809522</v>
      </c>
      <c r="BW42" s="702">
        <v>5.4251190476190478</v>
      </c>
      <c r="BX42" s="703">
        <v>6.8306547619047615</v>
      </c>
      <c r="BY42" s="704"/>
      <c r="CA42" s="701">
        <v>31</v>
      </c>
      <c r="CB42" s="702">
        <v>70.276420000000002</v>
      </c>
      <c r="CC42" s="702">
        <v>53.272820000000003</v>
      </c>
      <c r="CD42" s="703">
        <v>65.886551428571423</v>
      </c>
      <c r="CE42" s="704"/>
      <c r="CG42" s="701">
        <v>31</v>
      </c>
      <c r="CH42" s="702">
        <v>31.936428571428571</v>
      </c>
      <c r="CI42" s="702">
        <v>33.588392857142857</v>
      </c>
      <c r="CJ42" s="703">
        <v>32.558511904761907</v>
      </c>
      <c r="CK42" s="704"/>
      <c r="CM42" s="701">
        <v>31</v>
      </c>
      <c r="CN42" s="702">
        <v>22.397854166666669</v>
      </c>
      <c r="CO42" s="702">
        <v>14.077602083333334</v>
      </c>
      <c r="CP42" s="703">
        <v>23.766559523809526</v>
      </c>
      <c r="CQ42" s="704"/>
      <c r="CS42" s="701">
        <v>31</v>
      </c>
      <c r="CT42" s="702">
        <v>10.386904761904763</v>
      </c>
      <c r="CU42" s="702">
        <v>7.6083333333333334</v>
      </c>
      <c r="CV42" s="703">
        <v>12.108928571428571</v>
      </c>
      <c r="CW42" s="704"/>
      <c r="CY42" s="701">
        <v>31</v>
      </c>
      <c r="CZ42" s="702">
        <v>0</v>
      </c>
      <c r="DA42" s="702">
        <v>0</v>
      </c>
      <c r="DB42" s="703">
        <v>2.0542857142857143</v>
      </c>
      <c r="DC42" s="704">
        <v>0</v>
      </c>
      <c r="DE42" s="701"/>
      <c r="DF42" s="701">
        <v>31</v>
      </c>
      <c r="DG42" s="702">
        <v>19.5946</v>
      </c>
      <c r="DH42" s="703">
        <v>19.900591428571428</v>
      </c>
      <c r="DI42" s="704">
        <v>10.712957142857142</v>
      </c>
      <c r="DK42" s="701">
        <v>31</v>
      </c>
      <c r="DL42" s="702">
        <v>1.5128571428571429</v>
      </c>
      <c r="DM42" s="702">
        <v>5.0069999999999997</v>
      </c>
      <c r="DN42" s="703">
        <v>2.1869999999999998</v>
      </c>
      <c r="DO42" s="704"/>
      <c r="DQ42" s="701">
        <v>31</v>
      </c>
      <c r="DR42" s="702">
        <v>13.242678571428572</v>
      </c>
      <c r="DS42" s="702">
        <v>10.613214285714285</v>
      </c>
      <c r="DT42" s="703">
        <v>12.165416666666665</v>
      </c>
      <c r="DU42" s="704"/>
      <c r="DW42" s="701">
        <v>31</v>
      </c>
      <c r="DX42" s="702">
        <v>1.695845238095238</v>
      </c>
      <c r="DY42" s="702">
        <v>1.3022440476190476</v>
      </c>
      <c r="DZ42" s="703">
        <v>1.3893869047619047</v>
      </c>
      <c r="EA42" s="704"/>
      <c r="EC42" s="701">
        <v>31</v>
      </c>
      <c r="ED42" s="702">
        <v>10.680555555555555</v>
      </c>
      <c r="EE42" s="702">
        <v>8.2949999999999999</v>
      </c>
      <c r="EF42" s="703">
        <v>11.221735059523809</v>
      </c>
      <c r="EG42" s="704"/>
      <c r="EI42" s="701">
        <v>31</v>
      </c>
      <c r="EJ42" s="702">
        <v>7.9480000000000004</v>
      </c>
      <c r="EK42" s="702">
        <v>3.374714285714286</v>
      </c>
      <c r="EL42" s="703">
        <v>2.2833628571428575</v>
      </c>
      <c r="EM42" s="704"/>
      <c r="EO42" s="701">
        <v>31</v>
      </c>
      <c r="EP42" s="702">
        <v>11.466117142857144</v>
      </c>
      <c r="EQ42" s="702">
        <v>16.700321428571428</v>
      </c>
      <c r="ER42" s="703">
        <v>16.307811428571426</v>
      </c>
      <c r="ES42" s="704"/>
      <c r="EU42" s="701">
        <v>31</v>
      </c>
      <c r="EV42" s="702">
        <v>0.5</v>
      </c>
      <c r="EW42" s="702">
        <v>6.0714285714285712</v>
      </c>
      <c r="EX42" s="703">
        <v>2.8571428571428572</v>
      </c>
      <c r="EY42" s="704"/>
    </row>
    <row r="43" spans="13:155">
      <c r="M43" s="701">
        <v>32</v>
      </c>
      <c r="N43" s="702">
        <v>39.382662440476189</v>
      </c>
      <c r="O43" s="702">
        <v>3.6848163095238098</v>
      </c>
      <c r="P43" s="703">
        <v>20.772976130952379</v>
      </c>
      <c r="Q43" s="704"/>
      <c r="S43" s="701">
        <v>32</v>
      </c>
      <c r="T43" s="702">
        <v>7.0517857142857148</v>
      </c>
      <c r="U43" s="702">
        <v>11.525595238095237</v>
      </c>
      <c r="V43" s="703">
        <v>6.7928571428571427</v>
      </c>
      <c r="W43" s="704"/>
      <c r="Y43" s="701">
        <v>32</v>
      </c>
      <c r="Z43" s="702">
        <v>11.716150666666666</v>
      </c>
      <c r="AA43" s="702">
        <v>11.248804745762712</v>
      </c>
      <c r="AB43" s="703">
        <v>15.472283972602737</v>
      </c>
      <c r="AC43" s="704"/>
      <c r="AE43" s="701">
        <v>32</v>
      </c>
      <c r="AF43" s="702">
        <v>28.593414285714285</v>
      </c>
      <c r="AG43" s="702">
        <v>27.099876547619044</v>
      </c>
      <c r="AH43" s="703">
        <v>20.985496249999997</v>
      </c>
      <c r="AI43" s="704"/>
      <c r="AK43" s="701">
        <v>32</v>
      </c>
      <c r="AL43" s="702">
        <v>24.089791666666667</v>
      </c>
      <c r="AM43" s="702">
        <v>30.209166666666665</v>
      </c>
      <c r="AN43" s="703">
        <v>34.601154761904759</v>
      </c>
      <c r="AO43" s="704"/>
      <c r="AQ43" s="701">
        <v>32</v>
      </c>
      <c r="AR43" s="702">
        <v>19.260142857142856</v>
      </c>
      <c r="AS43" s="702">
        <v>6.1822023809523809</v>
      </c>
      <c r="AT43" s="703">
        <v>4.6392202380952385</v>
      </c>
      <c r="AU43" s="704"/>
      <c r="AW43" s="701">
        <v>32</v>
      </c>
      <c r="AX43" s="702">
        <v>1.7564285714285715</v>
      </c>
      <c r="AY43" s="702">
        <v>2.3351428571428574</v>
      </c>
      <c r="AZ43" s="703">
        <v>1.5297142857142858</v>
      </c>
      <c r="BA43" s="704"/>
      <c r="BC43" s="701">
        <v>32</v>
      </c>
      <c r="BD43" s="702">
        <v>6.7767857142857144</v>
      </c>
      <c r="BE43" s="702">
        <v>8.3952380952380956</v>
      </c>
      <c r="BF43" s="703">
        <v>7.5767857142857142</v>
      </c>
      <c r="BG43" s="704"/>
      <c r="BI43" s="701">
        <v>32</v>
      </c>
      <c r="BJ43" s="702">
        <v>46.172619047619051</v>
      </c>
      <c r="BK43" s="702">
        <v>23.392857142857142</v>
      </c>
      <c r="BL43" s="703">
        <v>22.535714285714285</v>
      </c>
      <c r="BM43" s="704"/>
      <c r="BO43" s="701">
        <v>32</v>
      </c>
      <c r="BP43" s="702">
        <v>10.47202380952381</v>
      </c>
      <c r="BQ43" s="702">
        <v>5.9089285714285715</v>
      </c>
      <c r="BR43" s="703">
        <v>6.2238095238095239</v>
      </c>
      <c r="BS43" s="704"/>
      <c r="BU43" s="701">
        <v>32</v>
      </c>
      <c r="BV43" s="702">
        <v>7.3609523809523809</v>
      </c>
      <c r="BW43" s="702">
        <v>4.7474404761904765</v>
      </c>
      <c r="BX43" s="703">
        <v>6.2484523809523811</v>
      </c>
      <c r="BY43" s="704"/>
      <c r="CA43" s="701">
        <v>32</v>
      </c>
      <c r="CB43" s="702">
        <v>70.941308571428564</v>
      </c>
      <c r="CC43" s="702">
        <v>57.199350000000003</v>
      </c>
      <c r="CD43" s="703">
        <v>64.339405714285718</v>
      </c>
      <c r="CE43" s="704"/>
      <c r="CG43" s="701">
        <v>32</v>
      </c>
      <c r="CH43" s="702">
        <v>35.95547619047619</v>
      </c>
      <c r="CI43" s="702">
        <v>31.456904761904759</v>
      </c>
      <c r="CJ43" s="703">
        <v>34.400476190476191</v>
      </c>
      <c r="CK43" s="704"/>
      <c r="CM43" s="701">
        <v>32</v>
      </c>
      <c r="CN43" s="702">
        <v>36.792434523809526</v>
      </c>
      <c r="CO43" s="702">
        <v>14.058005654761905</v>
      </c>
      <c r="CP43" s="703">
        <v>22.940440476190474</v>
      </c>
      <c r="CQ43" s="704"/>
      <c r="CS43" s="701">
        <v>32</v>
      </c>
      <c r="CT43" s="702">
        <v>10.446428571428571</v>
      </c>
      <c r="CU43" s="702">
        <v>8.1136904761904756</v>
      </c>
      <c r="CV43" s="703">
        <v>11.605357142857143</v>
      </c>
      <c r="CW43" s="704"/>
      <c r="CY43" s="701">
        <v>32</v>
      </c>
      <c r="CZ43" s="702">
        <v>0</v>
      </c>
      <c r="DA43" s="702">
        <v>0</v>
      </c>
      <c r="DB43" s="703">
        <v>0</v>
      </c>
      <c r="DC43" s="704">
        <v>3.0192857142857146</v>
      </c>
      <c r="DE43" s="701"/>
      <c r="DF43" s="701">
        <v>32</v>
      </c>
      <c r="DG43" s="702">
        <v>11.057115714285715</v>
      </c>
      <c r="DH43" s="703">
        <v>16.578571428571429</v>
      </c>
      <c r="DI43" s="704">
        <v>16.907714285714285</v>
      </c>
      <c r="DK43" s="701">
        <v>32</v>
      </c>
      <c r="DL43" s="702">
        <v>0.88</v>
      </c>
      <c r="DM43" s="702">
        <v>4.0641428571428575</v>
      </c>
      <c r="DN43" s="703">
        <v>0.80700000000000005</v>
      </c>
      <c r="DO43" s="704"/>
      <c r="DQ43" s="701">
        <v>32</v>
      </c>
      <c r="DR43" s="702">
        <v>14.178214285714287</v>
      </c>
      <c r="DS43" s="702">
        <v>10.808095238095238</v>
      </c>
      <c r="DT43" s="703">
        <v>12.709880952380953</v>
      </c>
      <c r="DU43" s="704"/>
      <c r="DW43" s="701">
        <v>32</v>
      </c>
      <c r="DX43" s="702">
        <v>1.5084880952380952</v>
      </c>
      <c r="DY43" s="702">
        <v>1.3299047619047619</v>
      </c>
      <c r="DZ43" s="703">
        <v>1.3845000000000001</v>
      </c>
      <c r="EA43" s="704"/>
      <c r="EC43" s="701">
        <v>32</v>
      </c>
      <c r="ED43" s="702">
        <v>11.1305</v>
      </c>
      <c r="EE43" s="702">
        <v>9.5821367521367531</v>
      </c>
      <c r="EF43" s="703">
        <v>10.654285714285715</v>
      </c>
      <c r="EG43" s="704"/>
      <c r="EI43" s="701">
        <v>32</v>
      </c>
      <c r="EJ43" s="702">
        <v>7.7560000000000002</v>
      </c>
      <c r="EK43" s="702">
        <v>3.3822857142857141</v>
      </c>
      <c r="EL43" s="703">
        <v>2.5129999999999999</v>
      </c>
      <c r="EM43" s="704"/>
      <c r="EO43" s="701">
        <v>32</v>
      </c>
      <c r="EP43" s="702">
        <v>15.055007142857143</v>
      </c>
      <c r="EQ43" s="702">
        <v>18.00657142857143</v>
      </c>
      <c r="ER43" s="703">
        <v>19.10257142857143</v>
      </c>
      <c r="ES43" s="704"/>
      <c r="EU43" s="701">
        <v>32</v>
      </c>
      <c r="EV43" s="702">
        <v>4.3857142857142861</v>
      </c>
      <c r="EW43" s="702">
        <v>4.5714285714285721</v>
      </c>
      <c r="EX43" s="703">
        <v>4</v>
      </c>
      <c r="EY43" s="704"/>
    </row>
    <row r="44" spans="13:155">
      <c r="M44" s="701">
        <v>33</v>
      </c>
      <c r="N44" s="702">
        <v>28.184737023809525</v>
      </c>
      <c r="O44" s="702">
        <v>3.7201983333333337</v>
      </c>
      <c r="P44" s="703">
        <v>15.332976666666667</v>
      </c>
      <c r="Q44" s="704"/>
      <c r="S44" s="701">
        <v>33</v>
      </c>
      <c r="T44" s="702">
        <v>8.5</v>
      </c>
      <c r="U44" s="702">
        <v>3.5750000000000002</v>
      </c>
      <c r="V44" s="703">
        <v>6.8267857142857151</v>
      </c>
      <c r="W44" s="704"/>
      <c r="Y44" s="701">
        <v>33</v>
      </c>
      <c r="Z44" s="702">
        <v>12.527402857142857</v>
      </c>
      <c r="AA44" s="702">
        <v>11.060119268292683</v>
      </c>
      <c r="AB44" s="703">
        <v>19.1374481</v>
      </c>
      <c r="AC44" s="704"/>
      <c r="AE44" s="701">
        <v>33</v>
      </c>
      <c r="AF44" s="702">
        <v>29.544705892857145</v>
      </c>
      <c r="AG44" s="702">
        <v>25.174950714285714</v>
      </c>
      <c r="AH44" s="703">
        <v>20.312671845238093</v>
      </c>
      <c r="AI44" s="704"/>
      <c r="AK44" s="701">
        <v>33</v>
      </c>
      <c r="AL44" s="702">
        <v>22.496214285714288</v>
      </c>
      <c r="AM44" s="702">
        <v>29.829404761904762</v>
      </c>
      <c r="AN44" s="703">
        <v>35.992422619047616</v>
      </c>
      <c r="AO44" s="704"/>
      <c r="AQ44" s="701">
        <v>33</v>
      </c>
      <c r="AR44" s="702">
        <v>11.777142857142856</v>
      </c>
      <c r="AS44" s="702">
        <v>8.6734464285714292</v>
      </c>
      <c r="AT44" s="703">
        <v>3.9761369047619048</v>
      </c>
      <c r="AU44" s="704"/>
      <c r="AW44" s="701">
        <v>33</v>
      </c>
      <c r="AX44" s="702">
        <v>1.7424285714285714</v>
      </c>
      <c r="AY44" s="702">
        <v>1.7321428571428572</v>
      </c>
      <c r="AZ44" s="703">
        <v>1.643142857142857</v>
      </c>
      <c r="BA44" s="704"/>
      <c r="BC44" s="701">
        <v>33</v>
      </c>
      <c r="BD44" s="702">
        <v>6.6273809523809524</v>
      </c>
      <c r="BE44" s="702">
        <v>8.0577380952380953</v>
      </c>
      <c r="BF44" s="703">
        <v>7.3572285714285712</v>
      </c>
      <c r="BG44" s="704"/>
      <c r="BI44" s="701">
        <v>33</v>
      </c>
      <c r="BJ44" s="702">
        <v>27.946428571428569</v>
      </c>
      <c r="BK44" s="702">
        <v>24.422619047619047</v>
      </c>
      <c r="BL44" s="703">
        <v>21.898809523809526</v>
      </c>
      <c r="BM44" s="704"/>
      <c r="BO44" s="701">
        <v>33</v>
      </c>
      <c r="BP44" s="702">
        <v>7.9559523809523807</v>
      </c>
      <c r="BQ44" s="702">
        <v>5.9785714285714286</v>
      </c>
      <c r="BR44" s="703">
        <v>6.0309523809523808</v>
      </c>
      <c r="BS44" s="704"/>
      <c r="BU44" s="701">
        <v>33</v>
      </c>
      <c r="BV44" s="702">
        <v>6.3004761904761901</v>
      </c>
      <c r="BW44" s="702">
        <v>4.4223809523809523</v>
      </c>
      <c r="BX44" s="703">
        <v>5.4127976190476188</v>
      </c>
      <c r="BY44" s="704"/>
      <c r="CA44" s="701">
        <v>33</v>
      </c>
      <c r="CB44" s="702">
        <v>69.015711428571436</v>
      </c>
      <c r="CC44" s="702">
        <v>56.146367142857137</v>
      </c>
      <c r="CD44" s="703">
        <v>63.791538571428575</v>
      </c>
      <c r="CE44" s="704"/>
      <c r="CG44" s="701">
        <v>33</v>
      </c>
      <c r="CH44" s="702">
        <v>36.009642857142858</v>
      </c>
      <c r="CI44" s="702">
        <v>31.279404761904761</v>
      </c>
      <c r="CJ44" s="703">
        <v>34.474285714285713</v>
      </c>
      <c r="CK44" s="704"/>
      <c r="CM44" s="701">
        <v>33</v>
      </c>
      <c r="CN44" s="702">
        <v>25.97325</v>
      </c>
      <c r="CO44" s="702">
        <v>14.037869047619047</v>
      </c>
      <c r="CP44" s="703">
        <v>22.11786</v>
      </c>
      <c r="CQ44" s="704"/>
      <c r="CS44" s="701">
        <v>33</v>
      </c>
      <c r="CT44" s="702">
        <v>9.1428571428571423</v>
      </c>
      <c r="CU44" s="702">
        <v>10.798809523809524</v>
      </c>
      <c r="CV44" s="703">
        <v>10.806547619047619</v>
      </c>
      <c r="CW44" s="704"/>
      <c r="CY44" s="701">
        <v>33</v>
      </c>
      <c r="CZ44" s="702">
        <v>0</v>
      </c>
      <c r="DA44" s="702">
        <v>1.6607142857142858</v>
      </c>
      <c r="DB44" s="703">
        <v>0</v>
      </c>
      <c r="DC44" s="704">
        <v>7.0385714285714291</v>
      </c>
      <c r="DE44" s="701"/>
      <c r="DF44" s="701">
        <v>33</v>
      </c>
      <c r="DG44" s="702">
        <v>16.374714285714287</v>
      </c>
      <c r="DH44" s="703">
        <v>12.592714285714287</v>
      </c>
      <c r="DI44" s="704">
        <v>16.679142857142857</v>
      </c>
      <c r="DK44" s="701">
        <v>33</v>
      </c>
      <c r="DL44" s="702">
        <v>0.89357142857142868</v>
      </c>
      <c r="DM44" s="702">
        <v>0.80700000000000005</v>
      </c>
      <c r="DN44" s="703">
        <v>0.6805714285714286</v>
      </c>
      <c r="DO44" s="704"/>
      <c r="DQ44" s="701">
        <v>33</v>
      </c>
      <c r="DR44" s="702">
        <v>14.038035714285714</v>
      </c>
      <c r="DS44" s="702">
        <v>10.50327380952381</v>
      </c>
      <c r="DT44" s="703">
        <v>12.740571428571428</v>
      </c>
      <c r="DU44" s="704"/>
      <c r="DW44" s="701">
        <v>33</v>
      </c>
      <c r="DX44" s="702">
        <v>1.5888869047619048</v>
      </c>
      <c r="DY44" s="702">
        <v>1.3639761904761905</v>
      </c>
      <c r="DZ44" s="703">
        <v>1.3844880952380951</v>
      </c>
      <c r="EA44" s="704"/>
      <c r="EC44" s="701">
        <v>33</v>
      </c>
      <c r="ED44" s="702">
        <v>12.098571428571429</v>
      </c>
      <c r="EE44" s="702">
        <v>11.082539682539682</v>
      </c>
      <c r="EF44" s="703">
        <v>10.794200714285713</v>
      </c>
      <c r="EG44" s="704"/>
      <c r="EI44" s="701">
        <v>33</v>
      </c>
      <c r="EJ44" s="702">
        <v>7.7560000000000002</v>
      </c>
      <c r="EK44" s="702">
        <v>3.1828571428571428</v>
      </c>
      <c r="EL44" s="703">
        <v>2.6647142857142856</v>
      </c>
      <c r="EM44" s="704"/>
      <c r="EO44" s="701">
        <v>33</v>
      </c>
      <c r="EP44" s="702">
        <v>20.758999999999997</v>
      </c>
      <c r="EQ44" s="702">
        <v>19.049999999999997</v>
      </c>
      <c r="ER44" s="703">
        <v>19.119714285714284</v>
      </c>
      <c r="ES44" s="704"/>
      <c r="EU44" s="701">
        <v>33</v>
      </c>
      <c r="EV44" s="702">
        <v>7.0714285714285721</v>
      </c>
      <c r="EW44" s="702">
        <v>4</v>
      </c>
      <c r="EX44" s="703">
        <v>4.8571428571428568</v>
      </c>
      <c r="EY44" s="704"/>
    </row>
    <row r="45" spans="13:155">
      <c r="M45" s="701">
        <v>34</v>
      </c>
      <c r="N45" s="702">
        <v>17.814669404761904</v>
      </c>
      <c r="O45" s="702">
        <v>3.7221894642857145</v>
      </c>
      <c r="P45" s="703">
        <v>19.52066125</v>
      </c>
      <c r="Q45" s="704"/>
      <c r="S45" s="701">
        <v>34</v>
      </c>
      <c r="T45" s="702">
        <v>8.5</v>
      </c>
      <c r="U45" s="702">
        <v>3.3392857142857144</v>
      </c>
      <c r="V45" s="703">
        <v>6.397619047619048</v>
      </c>
      <c r="W45" s="704"/>
      <c r="Y45" s="701">
        <v>34</v>
      </c>
      <c r="Z45" s="702">
        <v>16.217902307692306</v>
      </c>
      <c r="AA45" s="702">
        <v>11.790654838709676</v>
      </c>
      <c r="AB45" s="703">
        <v>14.735789473684211</v>
      </c>
      <c r="AC45" s="704"/>
      <c r="AE45" s="701">
        <v>34</v>
      </c>
      <c r="AF45" s="702">
        <v>26.738878474576271</v>
      </c>
      <c r="AG45" s="702">
        <v>24.429476785714286</v>
      </c>
      <c r="AH45" s="703">
        <v>18.977465833333333</v>
      </c>
      <c r="AI45" s="704"/>
      <c r="AK45" s="701">
        <v>34</v>
      </c>
      <c r="AL45" s="702">
        <v>25.360142857142858</v>
      </c>
      <c r="AM45" s="702">
        <v>28.740690476190476</v>
      </c>
      <c r="AN45" s="703">
        <v>35.974220238095235</v>
      </c>
      <c r="AO45" s="704"/>
      <c r="AQ45" s="701">
        <v>34</v>
      </c>
      <c r="AR45" s="702">
        <v>9.6848095238095233</v>
      </c>
      <c r="AS45" s="702">
        <v>5.9792440476190478</v>
      </c>
      <c r="AT45" s="703">
        <v>3.2134047619047621</v>
      </c>
      <c r="AU45" s="704"/>
      <c r="AW45" s="701">
        <v>34</v>
      </c>
      <c r="AX45" s="702">
        <v>1.7314285714285715</v>
      </c>
      <c r="AY45" s="702">
        <v>1.8168571428571429</v>
      </c>
      <c r="AZ45" s="703">
        <v>1.5192857142857144</v>
      </c>
      <c r="BA45" s="704"/>
      <c r="BC45" s="701">
        <v>34</v>
      </c>
      <c r="BD45" s="702">
        <v>6.5702380952380954</v>
      </c>
      <c r="BE45" s="702">
        <v>7.1738095238095241</v>
      </c>
      <c r="BF45" s="703">
        <v>7.4188328571428572</v>
      </c>
      <c r="BG45" s="704"/>
      <c r="BI45" s="701">
        <v>34</v>
      </c>
      <c r="BJ45" s="702">
        <v>25.892857142857142</v>
      </c>
      <c r="BK45" s="702">
        <v>21.785714285714285</v>
      </c>
      <c r="BL45" s="703">
        <v>21</v>
      </c>
      <c r="BM45" s="704"/>
      <c r="BO45" s="701">
        <v>34</v>
      </c>
      <c r="BP45" s="702">
        <v>7.6577380952380958</v>
      </c>
      <c r="BQ45" s="702">
        <v>5.2142857142857144</v>
      </c>
      <c r="BR45" s="703">
        <v>5.3327380952380956</v>
      </c>
      <c r="BS45" s="704"/>
      <c r="BU45" s="701">
        <v>34</v>
      </c>
      <c r="BV45" s="702">
        <v>5.8734523809523811</v>
      </c>
      <c r="BW45" s="702">
        <v>4.7784523809523805</v>
      </c>
      <c r="BX45" s="703">
        <v>5.4408928571428579</v>
      </c>
      <c r="BY45" s="704"/>
      <c r="CA45" s="701">
        <v>34</v>
      </c>
      <c r="CB45" s="702">
        <v>67.186000000000007</v>
      </c>
      <c r="CC45" s="702">
        <v>55.957977142857139</v>
      </c>
      <c r="CD45" s="703">
        <v>59.935607142857144</v>
      </c>
      <c r="CE45" s="704"/>
      <c r="CG45" s="701">
        <v>34</v>
      </c>
      <c r="CH45" s="702">
        <v>38.306428571428576</v>
      </c>
      <c r="CI45" s="702">
        <v>28.472321428571426</v>
      </c>
      <c r="CJ45" s="703">
        <v>35.478392857142858</v>
      </c>
      <c r="CK45" s="704"/>
      <c r="CM45" s="701">
        <v>34</v>
      </c>
      <c r="CN45" s="702">
        <v>22.838303571428572</v>
      </c>
      <c r="CO45" s="702">
        <v>13.971279761904762</v>
      </c>
      <c r="CP45" s="703">
        <v>20.003574583333332</v>
      </c>
      <c r="CQ45" s="704"/>
      <c r="CS45" s="701">
        <v>34</v>
      </c>
      <c r="CT45" s="702">
        <v>9.0178571428571423</v>
      </c>
      <c r="CU45" s="702">
        <v>11.307142857142857</v>
      </c>
      <c r="CV45" s="703">
        <v>10.333333333333332</v>
      </c>
      <c r="CW45" s="704"/>
      <c r="CY45" s="701">
        <v>34</v>
      </c>
      <c r="CZ45" s="702">
        <v>2.4732142857142856</v>
      </c>
      <c r="DA45" s="702">
        <v>4.2857142857142865</v>
      </c>
      <c r="DB45" s="703">
        <v>0</v>
      </c>
      <c r="DC45" s="704">
        <v>7.0449999999999999</v>
      </c>
      <c r="DE45" s="701"/>
      <c r="DF45" s="701">
        <v>34</v>
      </c>
      <c r="DG45" s="702">
        <v>16.086648571428569</v>
      </c>
      <c r="DH45" s="703">
        <v>12.626857142857142</v>
      </c>
      <c r="DI45" s="704">
        <v>17.414857142857141</v>
      </c>
      <c r="DK45" s="701">
        <v>34</v>
      </c>
      <c r="DL45" s="702">
        <v>0.97499999999999998</v>
      </c>
      <c r="DM45" s="702">
        <v>0.80700000000000005</v>
      </c>
      <c r="DN45" s="703">
        <v>0.63</v>
      </c>
      <c r="DO45" s="704"/>
      <c r="DQ45" s="701">
        <v>34</v>
      </c>
      <c r="DR45" s="702">
        <v>13.96767857142857</v>
      </c>
      <c r="DS45" s="702">
        <v>10.30267857142857</v>
      </c>
      <c r="DT45" s="703">
        <v>12.608702380952382</v>
      </c>
      <c r="DU45" s="704"/>
      <c r="DW45" s="701">
        <v>34</v>
      </c>
      <c r="DX45" s="702">
        <v>1.5062142857142857</v>
      </c>
      <c r="DY45" s="702">
        <v>1.3449166666666668</v>
      </c>
      <c r="DZ45" s="703">
        <v>1.3730416666666667</v>
      </c>
      <c r="EA45" s="704"/>
      <c r="EC45" s="701">
        <v>34</v>
      </c>
      <c r="ED45" s="702">
        <v>11.756785714285714</v>
      </c>
      <c r="EE45" s="702">
        <v>8.7592857142857135</v>
      </c>
      <c r="EF45" s="703">
        <v>11.403251130952381</v>
      </c>
      <c r="EG45" s="704"/>
      <c r="EI45" s="701">
        <v>34</v>
      </c>
      <c r="EJ45" s="702">
        <v>6.7308571428571433</v>
      </c>
      <c r="EK45" s="702">
        <v>3.1785714285714288</v>
      </c>
      <c r="EL45" s="703">
        <v>3.7325714285714287</v>
      </c>
      <c r="EM45" s="704"/>
      <c r="EO45" s="701">
        <v>34</v>
      </c>
      <c r="EP45" s="702">
        <v>25.805224285714285</v>
      </c>
      <c r="EQ45" s="702">
        <v>20.877000000000002</v>
      </c>
      <c r="ER45" s="703">
        <v>18.699714285714286</v>
      </c>
      <c r="ES45" s="704"/>
      <c r="EU45" s="701">
        <v>34</v>
      </c>
      <c r="EV45" s="702">
        <v>11.214285714285715</v>
      </c>
      <c r="EW45" s="702">
        <v>3.5814285714285714</v>
      </c>
      <c r="EX45" s="703">
        <v>7</v>
      </c>
      <c r="EY45" s="704"/>
    </row>
    <row r="46" spans="13:155">
      <c r="M46" s="701">
        <v>35</v>
      </c>
      <c r="N46" s="705">
        <v>18.440122380952381</v>
      </c>
      <c r="O46" s="702">
        <v>3.6783005952380954</v>
      </c>
      <c r="P46" s="703">
        <v>26.139146607142855</v>
      </c>
      <c r="Q46" s="704"/>
      <c r="S46" s="701">
        <v>35</v>
      </c>
      <c r="T46" s="705">
        <v>8.5</v>
      </c>
      <c r="U46" s="702">
        <v>5.085119047619048</v>
      </c>
      <c r="V46" s="703">
        <v>4.8494047619047622</v>
      </c>
      <c r="W46" s="704"/>
      <c r="Y46" s="701">
        <v>35</v>
      </c>
      <c r="Z46" s="705">
        <v>16.31579</v>
      </c>
      <c r="AA46" s="702">
        <v>11.429442</v>
      </c>
      <c r="AB46" s="703">
        <v>15.907564102564104</v>
      </c>
      <c r="AC46" s="704"/>
      <c r="AE46" s="701">
        <v>35</v>
      </c>
      <c r="AF46" s="705">
        <v>27.39990089285714</v>
      </c>
      <c r="AG46" s="702">
        <v>23.28633982142857</v>
      </c>
      <c r="AH46" s="703">
        <v>20.034989464285715</v>
      </c>
      <c r="AI46" s="704"/>
      <c r="AK46" s="701">
        <v>35</v>
      </c>
      <c r="AL46" s="705">
        <v>25.566726190476189</v>
      </c>
      <c r="AM46" s="702">
        <v>30.12517857142857</v>
      </c>
      <c r="AN46" s="703">
        <v>33.177934523809526</v>
      </c>
      <c r="AO46" s="704"/>
      <c r="AQ46" s="701">
        <v>35</v>
      </c>
      <c r="AR46" s="705">
        <v>8.348809523809523</v>
      </c>
      <c r="AS46" s="702">
        <v>4.6743452380952384</v>
      </c>
      <c r="AT46" s="703">
        <v>2.7718333333333334</v>
      </c>
      <c r="AU46" s="704"/>
      <c r="AW46" s="701">
        <v>35</v>
      </c>
      <c r="AX46" s="705">
        <v>1.703714285714286</v>
      </c>
      <c r="AY46" s="702">
        <v>1.8871428571428572</v>
      </c>
      <c r="AZ46" s="703">
        <v>1.9528571428571428</v>
      </c>
      <c r="BA46" s="704"/>
      <c r="BC46" s="701">
        <v>35</v>
      </c>
      <c r="BD46" s="705">
        <v>6.5428571428571427</v>
      </c>
      <c r="BE46" s="702">
        <v>7.6916666666666664</v>
      </c>
      <c r="BF46" s="703">
        <v>7.2504214285714292</v>
      </c>
      <c r="BG46" s="704"/>
      <c r="BI46" s="701">
        <v>35</v>
      </c>
      <c r="BJ46" s="705">
        <v>24.232142857142858</v>
      </c>
      <c r="BK46" s="702">
        <v>20.910714285714285</v>
      </c>
      <c r="BL46" s="703">
        <v>25.345238095238095</v>
      </c>
      <c r="BM46" s="704"/>
      <c r="BO46" s="701">
        <v>35</v>
      </c>
      <c r="BP46" s="705">
        <v>6.8083333333333336</v>
      </c>
      <c r="BQ46" s="702">
        <v>5.0940476190476183</v>
      </c>
      <c r="BR46" s="703">
        <v>7.0273809523809527</v>
      </c>
      <c r="BS46" s="704"/>
      <c r="BU46" s="701">
        <v>35</v>
      </c>
      <c r="BV46" s="705">
        <v>6.2333333333333334</v>
      </c>
      <c r="BW46" s="702">
        <v>4.8842857142857143</v>
      </c>
      <c r="BX46" s="703">
        <v>5.9502976190476184</v>
      </c>
      <c r="BY46" s="704"/>
      <c r="CA46" s="701">
        <v>35</v>
      </c>
      <c r="CB46" s="705">
        <v>70.909397142857145</v>
      </c>
      <c r="CC46" s="702">
        <v>53.568442857142855</v>
      </c>
      <c r="CD46" s="703">
        <v>60.937711428571433</v>
      </c>
      <c r="CE46" s="704"/>
      <c r="CG46" s="701">
        <v>35</v>
      </c>
      <c r="CH46" s="705">
        <v>40.638988095238098</v>
      </c>
      <c r="CI46" s="702">
        <v>28.715833333333332</v>
      </c>
      <c r="CJ46" s="703">
        <v>35.879940476190477</v>
      </c>
      <c r="CK46" s="704"/>
      <c r="CM46" s="701">
        <v>35</v>
      </c>
      <c r="CN46" s="705">
        <v>19.976577380952378</v>
      </c>
      <c r="CO46" s="702">
        <v>13.367744047619047</v>
      </c>
      <c r="CP46" s="703">
        <v>23.865934285714285</v>
      </c>
      <c r="CQ46" s="704"/>
      <c r="CS46" s="701">
        <v>35</v>
      </c>
      <c r="CT46" s="705">
        <v>9</v>
      </c>
      <c r="CU46" s="702">
        <v>9.3452380952380949</v>
      </c>
      <c r="CV46" s="703">
        <v>10.611904761904761</v>
      </c>
      <c r="CW46" s="704"/>
      <c r="CY46" s="701">
        <v>35</v>
      </c>
      <c r="CZ46" s="705">
        <v>2.916666666666667</v>
      </c>
      <c r="DA46" s="702">
        <v>3.3112857142857144</v>
      </c>
      <c r="DB46" s="703">
        <v>0</v>
      </c>
      <c r="DC46" s="704">
        <v>7.0449999999999999</v>
      </c>
      <c r="DE46" s="701"/>
      <c r="DF46" s="701">
        <v>35</v>
      </c>
      <c r="DG46" s="702">
        <v>16.804434285714287</v>
      </c>
      <c r="DH46" s="703">
        <v>13.360064285714286</v>
      </c>
      <c r="DI46" s="704">
        <v>15.357862857142857</v>
      </c>
      <c r="DK46" s="701">
        <v>35</v>
      </c>
      <c r="DL46" s="705">
        <v>0.97499999999999998</v>
      </c>
      <c r="DM46" s="702">
        <v>0.80700000000000005</v>
      </c>
      <c r="DN46" s="703">
        <v>0.63</v>
      </c>
      <c r="DO46" s="704"/>
      <c r="DQ46" s="701">
        <v>35</v>
      </c>
      <c r="DR46" s="705">
        <v>14.058988095238096</v>
      </c>
      <c r="DS46" s="702">
        <v>10.568511904761904</v>
      </c>
      <c r="DT46" s="703">
        <v>12.612029761904761</v>
      </c>
      <c r="DU46" s="704"/>
      <c r="DW46" s="701">
        <v>35</v>
      </c>
      <c r="DX46" s="705">
        <v>1.4867738095238097</v>
      </c>
      <c r="DY46" s="702">
        <v>1.395559523809524</v>
      </c>
      <c r="DZ46" s="703">
        <v>1.3833392857142857</v>
      </c>
      <c r="EA46" s="704"/>
      <c r="EC46" s="701">
        <v>35</v>
      </c>
      <c r="ED46" s="705">
        <v>12.592589285714286</v>
      </c>
      <c r="EE46" s="702">
        <v>10.168863636363636</v>
      </c>
      <c r="EF46" s="703">
        <v>11.194279345238096</v>
      </c>
      <c r="EG46" s="704"/>
      <c r="EI46" s="701">
        <v>35</v>
      </c>
      <c r="EJ46" s="705">
        <v>9.0442857142857136</v>
      </c>
      <c r="EK46" s="702">
        <v>4.1310000000000002</v>
      </c>
      <c r="EL46" s="703">
        <v>4.5307142857142857</v>
      </c>
      <c r="EM46" s="704"/>
      <c r="EO46" s="701">
        <v>35</v>
      </c>
      <c r="EP46" s="705">
        <v>26.197011428571429</v>
      </c>
      <c r="EQ46" s="702">
        <v>14.689654285714287</v>
      </c>
      <c r="ER46" s="703">
        <v>24.819689999999998</v>
      </c>
      <c r="ES46" s="704"/>
      <c r="EU46" s="701">
        <v>35</v>
      </c>
      <c r="EV46" s="705">
        <v>12</v>
      </c>
      <c r="EW46" s="702">
        <v>3.7242857142857146</v>
      </c>
      <c r="EX46" s="703">
        <v>9.1428571428571423</v>
      </c>
      <c r="EY46" s="704"/>
    </row>
    <row r="47" spans="13:155">
      <c r="M47" s="701">
        <v>36</v>
      </c>
      <c r="N47" s="705">
        <v>27.367440238095238</v>
      </c>
      <c r="O47" s="702">
        <v>3.7254572023809529</v>
      </c>
      <c r="P47" s="703">
        <v>18.282831369047621</v>
      </c>
      <c r="Q47" s="704"/>
      <c r="S47" s="701">
        <v>36</v>
      </c>
      <c r="T47" s="705">
        <v>8.5</v>
      </c>
      <c r="U47" s="702">
        <v>4.0565476190476195</v>
      </c>
      <c r="V47" s="703">
        <v>4.7976190476190474</v>
      </c>
      <c r="W47" s="704"/>
      <c r="Y47" s="701">
        <v>36</v>
      </c>
      <c r="Z47" s="705">
        <v>16.31579</v>
      </c>
      <c r="AA47" s="702">
        <v>11.204540909090909</v>
      </c>
      <c r="AB47" s="703">
        <v>15.917727272727273</v>
      </c>
      <c r="AC47" s="704"/>
      <c r="AE47" s="701">
        <v>36</v>
      </c>
      <c r="AF47" s="705">
        <v>23.578874107142855</v>
      </c>
      <c r="AG47" s="702">
        <v>20.47283773809524</v>
      </c>
      <c r="AH47" s="703">
        <v>20.634920297619047</v>
      </c>
      <c r="AI47" s="704"/>
      <c r="AK47" s="701">
        <v>36</v>
      </c>
      <c r="AL47" s="705">
        <v>27.733642857142858</v>
      </c>
      <c r="AM47" s="702">
        <v>30.62184523809524</v>
      </c>
      <c r="AN47" s="703">
        <v>36.156041666666667</v>
      </c>
      <c r="AO47" s="704"/>
      <c r="AQ47" s="701">
        <v>36</v>
      </c>
      <c r="AR47" s="705">
        <v>7.1784226190476188</v>
      </c>
      <c r="AS47" s="702">
        <v>5.4713154761904761</v>
      </c>
      <c r="AT47" s="703">
        <v>2.4279166666666669</v>
      </c>
      <c r="AU47" s="704"/>
      <c r="AW47" s="701">
        <v>36</v>
      </c>
      <c r="AX47" s="705">
        <v>1.48</v>
      </c>
      <c r="AY47" s="702">
        <v>1.74</v>
      </c>
      <c r="AZ47" s="703">
        <v>1.3097142857142858</v>
      </c>
      <c r="BA47" s="704"/>
      <c r="BC47" s="701">
        <v>36</v>
      </c>
      <c r="BD47" s="705">
        <v>6.3226190476190478</v>
      </c>
      <c r="BE47" s="702">
        <v>7.1761904761904765</v>
      </c>
      <c r="BF47" s="703">
        <v>7.0097014285714296</v>
      </c>
      <c r="BG47" s="704"/>
      <c r="BI47" s="701">
        <v>36</v>
      </c>
      <c r="BJ47" s="705">
        <v>22.238095238095237</v>
      </c>
      <c r="BK47" s="702">
        <v>24.636904761904763</v>
      </c>
      <c r="BL47" s="703">
        <v>22.398809523809526</v>
      </c>
      <c r="BM47" s="704"/>
      <c r="BO47" s="701">
        <v>36</v>
      </c>
      <c r="BP47" s="705">
        <v>6.3386904761904761</v>
      </c>
      <c r="BQ47" s="702">
        <v>5.3142857142857141</v>
      </c>
      <c r="BR47" s="703">
        <v>5.6845238095238102</v>
      </c>
      <c r="BS47" s="704"/>
      <c r="BU47" s="701">
        <v>36</v>
      </c>
      <c r="BV47" s="705">
        <v>5.6138690476190476</v>
      </c>
      <c r="BW47" s="702">
        <v>5.878511904761905</v>
      </c>
      <c r="BX47" s="703">
        <v>6.1593452380952387</v>
      </c>
      <c r="BY47" s="704"/>
      <c r="CA47" s="701">
        <v>36</v>
      </c>
      <c r="CB47" s="705">
        <v>63.658282857142858</v>
      </c>
      <c r="CC47" s="702">
        <v>55.328421428571431</v>
      </c>
      <c r="CD47" s="703">
        <v>59.124839999999999</v>
      </c>
      <c r="CE47" s="704"/>
      <c r="CG47" s="701">
        <v>36</v>
      </c>
      <c r="CH47" s="705">
        <v>39.713154761904768</v>
      </c>
      <c r="CI47" s="702">
        <v>30.856011904761903</v>
      </c>
      <c r="CJ47" s="703">
        <v>36.85285714285714</v>
      </c>
      <c r="CK47" s="704"/>
      <c r="CM47" s="701">
        <v>36</v>
      </c>
      <c r="CN47" s="705">
        <v>18.146744047619048</v>
      </c>
      <c r="CO47" s="702">
        <v>11.299565476190475</v>
      </c>
      <c r="CP47" s="703">
        <v>25.003873333333331</v>
      </c>
      <c r="CQ47" s="704"/>
      <c r="CS47" s="701">
        <v>36</v>
      </c>
      <c r="CT47" s="705">
        <v>8.5297619047619051</v>
      </c>
      <c r="CU47" s="702">
        <v>8.9011904761904752</v>
      </c>
      <c r="CV47" s="703">
        <v>10.931547619047619</v>
      </c>
      <c r="CW47" s="704"/>
      <c r="CY47" s="701">
        <v>36</v>
      </c>
      <c r="CZ47" s="705">
        <v>0</v>
      </c>
      <c r="DA47" s="702">
        <v>6.1790000000000003</v>
      </c>
      <c r="DB47" s="703">
        <v>0</v>
      </c>
      <c r="DC47" s="704">
        <v>7.0449999999999999</v>
      </c>
      <c r="DE47" s="701"/>
      <c r="DF47" s="701">
        <v>36</v>
      </c>
      <c r="DG47" s="702">
        <v>13.020234285714286</v>
      </c>
      <c r="DH47" s="703">
        <v>10.351714285714287</v>
      </c>
      <c r="DI47" s="704">
        <v>12.395571428571429</v>
      </c>
      <c r="DK47" s="701">
        <v>36</v>
      </c>
      <c r="DL47" s="705">
        <v>1.9350000000000001</v>
      </c>
      <c r="DM47" s="702">
        <v>0.80700000000000005</v>
      </c>
      <c r="DN47" s="703">
        <v>0.63</v>
      </c>
      <c r="DO47" s="704"/>
      <c r="DQ47" s="701">
        <v>36</v>
      </c>
      <c r="DR47" s="705">
        <v>14.080714285714285</v>
      </c>
      <c r="DS47" s="702">
        <v>11.495654761904762</v>
      </c>
      <c r="DT47" s="703">
        <v>12.648928571428572</v>
      </c>
      <c r="DU47" s="704"/>
      <c r="DW47" s="701">
        <v>36</v>
      </c>
      <c r="DX47" s="705">
        <v>1.4799583333333335</v>
      </c>
      <c r="DY47" s="702">
        <v>1.381142857142857</v>
      </c>
      <c r="DZ47" s="703">
        <v>1.3733690476190477</v>
      </c>
      <c r="EA47" s="704"/>
      <c r="EC47" s="701">
        <v>36</v>
      </c>
      <c r="ED47" s="705">
        <v>11.989285714285714</v>
      </c>
      <c r="EE47" s="702">
        <v>10.774444444444445</v>
      </c>
      <c r="EF47" s="703">
        <v>12.738394285714286</v>
      </c>
      <c r="EG47" s="704"/>
      <c r="EI47" s="701">
        <v>36</v>
      </c>
      <c r="EJ47" s="705">
        <v>10.173857142857141</v>
      </c>
      <c r="EK47" s="702">
        <v>2.9395714285714285</v>
      </c>
      <c r="EL47" s="703">
        <v>5.2011428571428571</v>
      </c>
      <c r="EM47" s="704"/>
      <c r="EO47" s="701">
        <v>36</v>
      </c>
      <c r="EP47" s="705">
        <v>24.665034285714285</v>
      </c>
      <c r="EQ47" s="702">
        <v>14.642428571428571</v>
      </c>
      <c r="ER47" s="703">
        <v>24.931142857142856</v>
      </c>
      <c r="ES47" s="704"/>
      <c r="EU47" s="701">
        <v>36</v>
      </c>
      <c r="EV47" s="705">
        <v>12</v>
      </c>
      <c r="EW47" s="702">
        <v>4.8571428571428568</v>
      </c>
      <c r="EX47" s="703">
        <v>10</v>
      </c>
      <c r="EY47" s="704"/>
    </row>
    <row r="48" spans="13:155">
      <c r="M48" s="701">
        <v>37</v>
      </c>
      <c r="N48" s="702">
        <v>17.051804940476188</v>
      </c>
      <c r="O48" s="702">
        <v>3.7262060714285719</v>
      </c>
      <c r="P48" s="703">
        <v>22.26321595238095</v>
      </c>
      <c r="Q48" s="704"/>
      <c r="S48" s="701">
        <v>37</v>
      </c>
      <c r="T48" s="702">
        <v>8.4857142857142858</v>
      </c>
      <c r="U48" s="702">
        <v>3.2684523809523811</v>
      </c>
      <c r="V48" s="703">
        <v>4.9595238095238097</v>
      </c>
      <c r="W48" s="704"/>
      <c r="Y48" s="701">
        <v>37</v>
      </c>
      <c r="Z48" s="702">
        <v>16.184408333333334</v>
      </c>
      <c r="AA48" s="702">
        <v>10.459101086956522</v>
      </c>
      <c r="AB48" s="703">
        <v>15.370681818181819</v>
      </c>
      <c r="AC48" s="704"/>
      <c r="AE48" s="701">
        <v>37</v>
      </c>
      <c r="AF48" s="702">
        <v>21.39784106732348</v>
      </c>
      <c r="AG48" s="702">
        <v>11.625696369047619</v>
      </c>
      <c r="AH48" s="703">
        <v>18.338426904761903</v>
      </c>
      <c r="AI48" s="704"/>
      <c r="AK48" s="701">
        <v>37</v>
      </c>
      <c r="AL48" s="702">
        <v>30.252976190476186</v>
      </c>
      <c r="AM48" s="702">
        <v>25.994047619047617</v>
      </c>
      <c r="AN48" s="703">
        <v>37.571422619047617</v>
      </c>
      <c r="AO48" s="704"/>
      <c r="AQ48" s="701">
        <v>37</v>
      </c>
      <c r="AR48" s="702">
        <v>7.1493333333333338</v>
      </c>
      <c r="AS48" s="702">
        <v>4.4325595238095241</v>
      </c>
      <c r="AT48" s="703">
        <v>2.6039940476190475</v>
      </c>
      <c r="AU48" s="704"/>
      <c r="AW48" s="701">
        <v>37</v>
      </c>
      <c r="AX48" s="702">
        <v>1.6220000000000001</v>
      </c>
      <c r="AY48" s="702">
        <v>1.6961428571428572</v>
      </c>
      <c r="AZ48" s="703">
        <v>1.4174285714285715</v>
      </c>
      <c r="BA48" s="704"/>
      <c r="BC48" s="701">
        <v>37</v>
      </c>
      <c r="BD48" s="702">
        <v>5.7279761904761912</v>
      </c>
      <c r="BE48" s="702">
        <v>6.7976190476190483</v>
      </c>
      <c r="BF48" s="703">
        <v>7.0177342857142859</v>
      </c>
      <c r="BG48" s="704"/>
      <c r="BI48" s="701">
        <v>37</v>
      </c>
      <c r="BJ48" s="702">
        <v>27.642857142857142</v>
      </c>
      <c r="BK48" s="702">
        <v>22.75</v>
      </c>
      <c r="BL48" s="703">
        <v>21.785714285714285</v>
      </c>
      <c r="BM48" s="704"/>
      <c r="BO48" s="701">
        <v>37</v>
      </c>
      <c r="BP48" s="702">
        <v>6.3392857142857153</v>
      </c>
      <c r="BQ48" s="702">
        <v>5.3053571428571429</v>
      </c>
      <c r="BR48" s="703">
        <v>5.1452380952380956</v>
      </c>
      <c r="BS48" s="704"/>
      <c r="BU48" s="701">
        <v>37</v>
      </c>
      <c r="BV48" s="702">
        <v>5.6806904761904766</v>
      </c>
      <c r="BW48" s="702">
        <v>5.6679166666666667</v>
      </c>
      <c r="BX48" s="703">
        <v>6.5198214285714284</v>
      </c>
      <c r="BY48" s="704"/>
      <c r="CA48" s="701">
        <v>37</v>
      </c>
      <c r="CB48" s="702">
        <v>60.511012857142852</v>
      </c>
      <c r="CC48" s="702">
        <v>56.533175714285711</v>
      </c>
      <c r="CD48" s="703">
        <v>59.624978032506419</v>
      </c>
      <c r="CE48" s="704"/>
      <c r="CG48" s="701">
        <v>37</v>
      </c>
      <c r="CH48" s="702">
        <v>41.439107142857146</v>
      </c>
      <c r="CI48" s="702">
        <v>30.721488095238094</v>
      </c>
      <c r="CJ48" s="703">
        <v>35.675952380952381</v>
      </c>
      <c r="CK48" s="704"/>
      <c r="CM48" s="701">
        <v>37</v>
      </c>
      <c r="CN48" s="702">
        <v>18.857440476190476</v>
      </c>
      <c r="CO48" s="702">
        <v>16.21643380952381</v>
      </c>
      <c r="CP48" s="703">
        <v>22.18115107142857</v>
      </c>
      <c r="CQ48" s="704"/>
      <c r="CS48" s="701">
        <v>37</v>
      </c>
      <c r="CT48" s="702">
        <v>8.3755952380952383</v>
      </c>
      <c r="CU48" s="702">
        <v>9.918452380952381</v>
      </c>
      <c r="CV48" s="703">
        <v>10.105952380952381</v>
      </c>
      <c r="CW48" s="704"/>
      <c r="CY48" s="701">
        <v>37</v>
      </c>
      <c r="CZ48" s="702">
        <v>0</v>
      </c>
      <c r="DA48" s="702">
        <v>6.1098571428571438</v>
      </c>
      <c r="DB48" s="703">
        <v>0</v>
      </c>
      <c r="DC48" s="704">
        <v>7.0449999999999999</v>
      </c>
      <c r="DE48" s="701"/>
      <c r="DF48" s="701">
        <v>37</v>
      </c>
      <c r="DG48" s="702">
        <v>8.6278571428571436</v>
      </c>
      <c r="DH48" s="703">
        <v>4.641</v>
      </c>
      <c r="DI48" s="704">
        <v>16.352331428571429</v>
      </c>
      <c r="DK48" s="701">
        <v>37</v>
      </c>
      <c r="DL48" s="702">
        <v>2.8835714285714285</v>
      </c>
      <c r="DM48" s="702">
        <v>2.9729999999999999</v>
      </c>
      <c r="DN48" s="703">
        <v>0.63</v>
      </c>
      <c r="DO48" s="704"/>
      <c r="DQ48" s="701">
        <v>37</v>
      </c>
      <c r="DR48" s="702">
        <v>13.895238095238094</v>
      </c>
      <c r="DS48" s="702">
        <v>11.481130952380953</v>
      </c>
      <c r="DT48" s="703">
        <v>12.703273809523809</v>
      </c>
      <c r="DU48" s="704"/>
      <c r="DW48" s="701">
        <v>37</v>
      </c>
      <c r="DX48" s="702">
        <v>1.5020357142857144</v>
      </c>
      <c r="DY48" s="702">
        <v>1.4239226190476191</v>
      </c>
      <c r="DZ48" s="703">
        <v>1.378107142857143</v>
      </c>
      <c r="EA48" s="704"/>
      <c r="EC48" s="701">
        <v>37</v>
      </c>
      <c r="ED48" s="702">
        <v>13.571428571428571</v>
      </c>
      <c r="EE48" s="702">
        <v>10.745714285714284</v>
      </c>
      <c r="EF48" s="703">
        <v>14.188574285714285</v>
      </c>
      <c r="EG48" s="704"/>
      <c r="EI48" s="701">
        <v>37</v>
      </c>
      <c r="EJ48" s="702">
        <v>8.2764285714285712</v>
      </c>
      <c r="EK48" s="702">
        <v>2.9160000000000004</v>
      </c>
      <c r="EL48" s="703">
        <v>5.5704285714285717</v>
      </c>
      <c r="EM48" s="704"/>
      <c r="EO48" s="701">
        <v>37</v>
      </c>
      <c r="EP48" s="702">
        <v>23.766999999999999</v>
      </c>
      <c r="EQ48" s="702">
        <v>14.864857142857144</v>
      </c>
      <c r="ER48" s="703">
        <v>25.599404285714286</v>
      </c>
      <c r="ES48" s="704"/>
      <c r="EU48" s="701">
        <v>37</v>
      </c>
      <c r="EV48" s="702">
        <v>12</v>
      </c>
      <c r="EW48" s="702">
        <v>4</v>
      </c>
      <c r="EX48" s="703">
        <v>10</v>
      </c>
      <c r="EY48" s="704"/>
    </row>
    <row r="49" spans="13:155">
      <c r="M49" s="701">
        <v>38</v>
      </c>
      <c r="N49" s="702">
        <v>15.810213273809524</v>
      </c>
      <c r="O49" s="702">
        <v>3.7222056547619049</v>
      </c>
      <c r="P49" s="703">
        <v>17.837958392857143</v>
      </c>
      <c r="Q49" s="704"/>
      <c r="S49" s="701">
        <v>38</v>
      </c>
      <c r="T49" s="702">
        <v>8.4803571428571427</v>
      </c>
      <c r="U49" s="702">
        <v>6.7874999999999996</v>
      </c>
      <c r="V49" s="703">
        <v>7.8732142857142859</v>
      </c>
      <c r="W49" s="704"/>
      <c r="Y49" s="701">
        <v>38</v>
      </c>
      <c r="Z49" s="702">
        <v>16.294863636363637</v>
      </c>
      <c r="AA49" s="702">
        <v>13.684423888888888</v>
      </c>
      <c r="AB49" s="703">
        <v>16.383239436619718</v>
      </c>
      <c r="AC49" s="704"/>
      <c r="AE49" s="701">
        <v>38</v>
      </c>
      <c r="AF49" s="702">
        <v>21.1024357401168</v>
      </c>
      <c r="AG49" s="702">
        <v>12.952952559523808</v>
      </c>
      <c r="AH49" s="703">
        <v>23.423318392857144</v>
      </c>
      <c r="AI49" s="704"/>
      <c r="AK49" s="701">
        <v>38</v>
      </c>
      <c r="AL49" s="702">
        <v>37.00830357142857</v>
      </c>
      <c r="AM49" s="702">
        <v>32.033988095238094</v>
      </c>
      <c r="AN49" s="703">
        <v>44.536732142857147</v>
      </c>
      <c r="AO49" s="704"/>
      <c r="AQ49" s="701">
        <v>38</v>
      </c>
      <c r="AR49" s="702">
        <v>21.733553571428573</v>
      </c>
      <c r="AS49" s="702">
        <v>3.0378571428571428</v>
      </c>
      <c r="AT49" s="703">
        <v>2.3044404761904764</v>
      </c>
      <c r="AU49" s="704"/>
      <c r="AW49" s="701">
        <v>38</v>
      </c>
      <c r="AX49" s="702">
        <v>1.5089999999999999</v>
      </c>
      <c r="AY49" s="702">
        <v>1.5474285714285716</v>
      </c>
      <c r="AZ49" s="703">
        <v>1.4341428571428572</v>
      </c>
      <c r="BA49" s="704"/>
      <c r="BC49" s="701">
        <v>38</v>
      </c>
      <c r="BD49" s="702">
        <v>5.7940476190476184</v>
      </c>
      <c r="BE49" s="702">
        <v>7.300595238095239</v>
      </c>
      <c r="BF49" s="703">
        <v>7.0100928571428573</v>
      </c>
      <c r="BG49" s="704"/>
      <c r="BI49" s="701">
        <v>38</v>
      </c>
      <c r="BJ49" s="702">
        <v>29.702380952380953</v>
      </c>
      <c r="BK49" s="702">
        <v>28.702380952380953</v>
      </c>
      <c r="BL49" s="703">
        <v>22.184523809523807</v>
      </c>
      <c r="BM49" s="704"/>
      <c r="BO49" s="701">
        <v>38</v>
      </c>
      <c r="BP49" s="702">
        <v>6.6744047619047615</v>
      </c>
      <c r="BQ49" s="702">
        <v>5.7482142857142859</v>
      </c>
      <c r="BR49" s="703">
        <v>5.0589285714285719</v>
      </c>
      <c r="BS49" s="704"/>
      <c r="BU49" s="701">
        <v>38</v>
      </c>
      <c r="BV49" s="702">
        <v>7.074702380952381</v>
      </c>
      <c r="BW49" s="702">
        <v>5.5802380952380961</v>
      </c>
      <c r="BX49" s="703">
        <v>8.4429761904761893</v>
      </c>
      <c r="BY49" s="704"/>
      <c r="CA49" s="701">
        <v>38</v>
      </c>
      <c r="CB49" s="702">
        <v>69.248734285714278</v>
      </c>
      <c r="CC49" s="702">
        <v>57.29794714285714</v>
      </c>
      <c r="CD49" s="703">
        <v>57.922452857142858</v>
      </c>
      <c r="CE49" s="704"/>
      <c r="CG49" s="701">
        <v>38</v>
      </c>
      <c r="CH49" s="702">
        <v>43.727142857142859</v>
      </c>
      <c r="CI49" s="702">
        <v>30.928869047619045</v>
      </c>
      <c r="CJ49" s="703">
        <v>37.584404761904764</v>
      </c>
      <c r="CK49" s="704"/>
      <c r="CM49" s="701">
        <v>38</v>
      </c>
      <c r="CN49" s="702">
        <v>21.921863095238095</v>
      </c>
      <c r="CO49" s="702">
        <v>17.982369047619049</v>
      </c>
      <c r="CP49" s="703">
        <v>20.118804821428569</v>
      </c>
      <c r="CQ49" s="704"/>
      <c r="CS49" s="701">
        <v>38</v>
      </c>
      <c r="CT49" s="702">
        <v>8.2321428571428577</v>
      </c>
      <c r="CU49" s="702">
        <v>8.1029761904761912</v>
      </c>
      <c r="CV49" s="703">
        <v>8.9732142857142865</v>
      </c>
      <c r="CW49" s="704"/>
      <c r="CY49" s="701">
        <v>38</v>
      </c>
      <c r="CZ49" s="702">
        <v>3.6666666666666665</v>
      </c>
      <c r="DA49" s="702">
        <v>6.0582857142857147</v>
      </c>
      <c r="DB49" s="703">
        <v>0</v>
      </c>
      <c r="DC49" s="704">
        <v>5.9315714285714289</v>
      </c>
      <c r="DE49" s="701"/>
      <c r="DF49" s="701">
        <v>38</v>
      </c>
      <c r="DG49" s="702">
        <v>6.4153400000000005</v>
      </c>
      <c r="DH49" s="703">
        <v>4.641</v>
      </c>
      <c r="DI49" s="704">
        <v>13.114571428571427</v>
      </c>
      <c r="DK49" s="701">
        <v>38</v>
      </c>
      <c r="DL49" s="702">
        <v>2.9750000000000001</v>
      </c>
      <c r="DM49" s="702">
        <v>0.80700000000000005</v>
      </c>
      <c r="DN49" s="703">
        <v>0.63</v>
      </c>
      <c r="DO49" s="704"/>
      <c r="DQ49" s="701">
        <v>38</v>
      </c>
      <c r="DR49" s="702">
        <v>13.981904761904762</v>
      </c>
      <c r="DS49" s="702">
        <v>11.506488095238094</v>
      </c>
      <c r="DT49" s="703">
        <v>12.64970238095238</v>
      </c>
      <c r="DU49" s="704"/>
      <c r="DW49" s="701">
        <v>38</v>
      </c>
      <c r="DX49" s="702">
        <v>1.5248630952380953</v>
      </c>
      <c r="DY49" s="702">
        <v>1.3737916666666667</v>
      </c>
      <c r="DZ49" s="703">
        <v>1.3975357142857143</v>
      </c>
      <c r="EA49" s="704"/>
      <c r="EC49" s="701">
        <v>38</v>
      </c>
      <c r="ED49" s="702">
        <v>12.775303030303029</v>
      </c>
      <c r="EE49" s="702">
        <v>10.545714285714286</v>
      </c>
      <c r="EF49" s="703">
        <v>13.831216547619048</v>
      </c>
      <c r="EG49" s="704"/>
      <c r="EI49" s="701">
        <v>38</v>
      </c>
      <c r="EJ49" s="702">
        <v>10.170571428571428</v>
      </c>
      <c r="EK49" s="702">
        <v>3.144857142857143</v>
      </c>
      <c r="EL49" s="703">
        <v>5.8825714285714286</v>
      </c>
      <c r="EM49" s="704"/>
      <c r="EO49" s="701">
        <v>38</v>
      </c>
      <c r="EP49" s="702">
        <v>21.962030000000002</v>
      </c>
      <c r="EQ49" s="702">
        <v>12.411714285714286</v>
      </c>
      <c r="ER49" s="703">
        <v>24.582857142857144</v>
      </c>
      <c r="ES49" s="704"/>
      <c r="EU49" s="701">
        <v>38</v>
      </c>
      <c r="EV49" s="702">
        <v>9</v>
      </c>
      <c r="EW49" s="702">
        <v>3.5814285714285714</v>
      </c>
      <c r="EX49" s="703">
        <v>9.2857142857142865</v>
      </c>
      <c r="EY49" s="704"/>
    </row>
    <row r="50" spans="13:155">
      <c r="M50" s="701">
        <v>39</v>
      </c>
      <c r="N50" s="702">
        <v>32.260155357142857</v>
      </c>
      <c r="O50" s="702">
        <v>3.6971698214285715</v>
      </c>
      <c r="P50" s="703">
        <v>15.548666726190476</v>
      </c>
      <c r="Q50" s="704"/>
      <c r="S50" s="701">
        <v>39</v>
      </c>
      <c r="T50" s="702">
        <v>8.5005952380952383</v>
      </c>
      <c r="U50" s="702">
        <v>6.71875</v>
      </c>
      <c r="V50" s="703">
        <v>7.7148809523809527</v>
      </c>
      <c r="W50" s="704"/>
      <c r="Y50" s="701">
        <v>39</v>
      </c>
      <c r="Z50" s="702">
        <v>16.226248265306122</v>
      </c>
      <c r="AA50" s="702">
        <v>12.967962625</v>
      </c>
      <c r="AB50" s="703">
        <v>13.451599999999999</v>
      </c>
      <c r="AC50" s="704"/>
      <c r="AE50" s="701">
        <v>39</v>
      </c>
      <c r="AF50" s="702">
        <v>22.072478639971138</v>
      </c>
      <c r="AG50" s="702">
        <v>11.961053928571429</v>
      </c>
      <c r="AH50" s="703">
        <v>21.723815357142854</v>
      </c>
      <c r="AI50" s="704"/>
      <c r="AK50" s="701">
        <v>39</v>
      </c>
      <c r="AL50" s="702">
        <v>43.94135119047619</v>
      </c>
      <c r="AM50" s="702">
        <v>29.836011904761904</v>
      </c>
      <c r="AN50" s="703">
        <v>40.671488095238097</v>
      </c>
      <c r="AO50" s="704"/>
      <c r="AQ50" s="701">
        <v>39</v>
      </c>
      <c r="AR50" s="702">
        <v>21.54977380952381</v>
      </c>
      <c r="AS50" s="702">
        <v>4.6022916666666669</v>
      </c>
      <c r="AT50" s="703">
        <v>2.0359523809523812</v>
      </c>
      <c r="AU50" s="704"/>
      <c r="AW50" s="701">
        <v>39</v>
      </c>
      <c r="AX50" s="702">
        <v>1.4841428571428572</v>
      </c>
      <c r="AY50" s="702">
        <v>1.4987142857142857</v>
      </c>
      <c r="AZ50" s="703">
        <v>1.3543428571428573</v>
      </c>
      <c r="BA50" s="704"/>
      <c r="BC50" s="701">
        <v>39</v>
      </c>
      <c r="BD50" s="702">
        <v>5.980952380952381</v>
      </c>
      <c r="BE50" s="702">
        <v>6.9958333333333336</v>
      </c>
      <c r="BF50" s="703">
        <v>7.8169899999999997</v>
      </c>
      <c r="BG50" s="704"/>
      <c r="BI50" s="701">
        <v>39</v>
      </c>
      <c r="BJ50" s="702">
        <v>38.05952380952381</v>
      </c>
      <c r="BK50" s="702">
        <v>24.255952380952383</v>
      </c>
      <c r="BL50" s="703">
        <v>21.083333333333332</v>
      </c>
      <c r="BM50" s="704"/>
      <c r="BO50" s="701">
        <v>39</v>
      </c>
      <c r="BP50" s="702">
        <v>7.1607142857142856</v>
      </c>
      <c r="BQ50" s="702">
        <v>5.1303571428571431</v>
      </c>
      <c r="BR50" s="703">
        <v>4.7130952380952387</v>
      </c>
      <c r="BS50" s="704"/>
      <c r="BU50" s="701">
        <v>39</v>
      </c>
      <c r="BV50" s="702">
        <v>4.6551190476190474</v>
      </c>
      <c r="BW50" s="702">
        <v>5.5864880952380958</v>
      </c>
      <c r="BX50" s="703">
        <v>8.5735416666666673</v>
      </c>
      <c r="BY50" s="704"/>
      <c r="CA50" s="701">
        <v>39</v>
      </c>
      <c r="CB50" s="702">
        <v>69.840917142857137</v>
      </c>
      <c r="CC50" s="702">
        <v>53.593225714285708</v>
      </c>
      <c r="CD50" s="703">
        <v>58.769549999999995</v>
      </c>
      <c r="CE50" s="704"/>
      <c r="CG50" s="701">
        <v>39</v>
      </c>
      <c r="CH50" s="702">
        <v>39.684761904761906</v>
      </c>
      <c r="CI50" s="702">
        <v>32.155357142857142</v>
      </c>
      <c r="CJ50" s="703">
        <v>38.184761904761906</v>
      </c>
      <c r="CK50" s="704"/>
      <c r="CM50" s="701">
        <v>39</v>
      </c>
      <c r="CN50" s="702">
        <v>28.534565476190476</v>
      </c>
      <c r="CO50" s="702">
        <v>18.297690476190475</v>
      </c>
      <c r="CP50" s="703">
        <v>20.139690714285713</v>
      </c>
      <c r="CQ50" s="704"/>
      <c r="CS50" s="701">
        <v>39</v>
      </c>
      <c r="CT50" s="702">
        <v>8.4880952380952372</v>
      </c>
      <c r="CU50" s="702">
        <v>7.333333333333333</v>
      </c>
      <c r="CV50" s="703">
        <v>8.6547619047619051</v>
      </c>
      <c r="CW50" s="704"/>
      <c r="CY50" s="701">
        <v>39</v>
      </c>
      <c r="CZ50" s="702">
        <v>2.75</v>
      </c>
      <c r="DA50" s="702">
        <v>6.1790000000000003</v>
      </c>
      <c r="DB50" s="703">
        <v>0</v>
      </c>
      <c r="DC50" s="704">
        <v>3.2225714285714289</v>
      </c>
      <c r="DE50" s="701"/>
      <c r="DF50" s="701">
        <v>39</v>
      </c>
      <c r="DG50" s="702">
        <v>6.2310000000000008</v>
      </c>
      <c r="DH50" s="703">
        <v>4.6409799999999999</v>
      </c>
      <c r="DI50" s="704">
        <v>13.956857142857142</v>
      </c>
      <c r="DK50" s="701">
        <v>39</v>
      </c>
      <c r="DL50" s="702">
        <v>1.8321428571428573</v>
      </c>
      <c r="DM50" s="702">
        <v>0.80700000000000005</v>
      </c>
      <c r="DN50" s="703">
        <v>0.63</v>
      </c>
      <c r="DO50" s="704"/>
      <c r="DQ50" s="701">
        <v>39</v>
      </c>
      <c r="DR50" s="702">
        <v>14.005595238095237</v>
      </c>
      <c r="DS50" s="702">
        <v>11.565773809523808</v>
      </c>
      <c r="DT50" s="703">
        <v>12.638154761904762</v>
      </c>
      <c r="DU50" s="704"/>
      <c r="DW50" s="701">
        <v>39</v>
      </c>
      <c r="DX50" s="702">
        <v>1.5242083333333334</v>
      </c>
      <c r="DY50" s="702">
        <v>1.4468749999999999</v>
      </c>
      <c r="DZ50" s="703">
        <v>1.4138809523809523</v>
      </c>
      <c r="EA50" s="704"/>
      <c r="EC50" s="701">
        <v>39</v>
      </c>
      <c r="ED50" s="702">
        <v>14.49</v>
      </c>
      <c r="EE50" s="702">
        <v>10.550416666666667</v>
      </c>
      <c r="EF50" s="703">
        <v>13.615486344827586</v>
      </c>
      <c r="EG50" s="704"/>
      <c r="EI50" s="701">
        <v>39</v>
      </c>
      <c r="EJ50" s="702">
        <v>8.7710000000000008</v>
      </c>
      <c r="EK50" s="702">
        <v>2.5575714285714288</v>
      </c>
      <c r="EL50" s="703">
        <v>6.37</v>
      </c>
      <c r="EM50" s="704"/>
      <c r="EO50" s="701">
        <v>39</v>
      </c>
      <c r="EP50" s="702">
        <v>22.607571428571429</v>
      </c>
      <c r="EQ50" s="702">
        <v>13.179147142857142</v>
      </c>
      <c r="ER50" s="703">
        <v>21.625428571428571</v>
      </c>
      <c r="ES50" s="704"/>
      <c r="EU50" s="701">
        <v>39</v>
      </c>
      <c r="EV50" s="702">
        <v>6</v>
      </c>
      <c r="EW50" s="702">
        <v>4.5</v>
      </c>
      <c r="EX50" s="703">
        <v>8</v>
      </c>
      <c r="EY50" s="704"/>
    </row>
    <row r="51" spans="13:155">
      <c r="M51" s="701">
        <v>40</v>
      </c>
      <c r="N51" s="702">
        <v>25.804468452380952</v>
      </c>
      <c r="O51" s="702">
        <v>3.6088154761904763</v>
      </c>
      <c r="P51" s="703">
        <v>16.865446190476192</v>
      </c>
      <c r="Q51" s="704"/>
      <c r="S51" s="701">
        <v>40</v>
      </c>
      <c r="T51" s="702">
        <v>6.4226190476190483</v>
      </c>
      <c r="U51" s="702">
        <v>4.960119047619048</v>
      </c>
      <c r="V51" s="703">
        <v>7.7517857142857149</v>
      </c>
      <c r="W51" s="704"/>
      <c r="Y51" s="701">
        <v>40</v>
      </c>
      <c r="Z51" s="702">
        <v>16.796728390804596</v>
      </c>
      <c r="AA51" s="702">
        <v>18.204366436781608</v>
      </c>
      <c r="AB51" s="703">
        <v>12.386101999999999</v>
      </c>
      <c r="AC51" s="704"/>
      <c r="AE51" s="701">
        <v>40</v>
      </c>
      <c r="AF51" s="702">
        <v>21.856431607142856</v>
      </c>
      <c r="AG51" s="702">
        <v>18.35805244047619</v>
      </c>
      <c r="AH51" s="703">
        <v>28.957615595238096</v>
      </c>
      <c r="AI51" s="704"/>
      <c r="AK51" s="701">
        <v>40</v>
      </c>
      <c r="AL51" s="702">
        <v>35.542898809523813</v>
      </c>
      <c r="AM51" s="702">
        <v>54.100714285714282</v>
      </c>
      <c r="AN51" s="703">
        <v>41.234434523809526</v>
      </c>
      <c r="AO51" s="704"/>
      <c r="AQ51" s="701">
        <v>40</v>
      </c>
      <c r="AR51" s="702">
        <v>14.787000000000001</v>
      </c>
      <c r="AS51" s="702">
        <v>10.36360119047619</v>
      </c>
      <c r="AT51" s="703">
        <v>4.9496845238095233</v>
      </c>
      <c r="AU51" s="704"/>
      <c r="AW51" s="701">
        <v>40</v>
      </c>
      <c r="AX51" s="702">
        <v>1.3278571428571431</v>
      </c>
      <c r="AY51" s="702">
        <v>1.5349999999999999</v>
      </c>
      <c r="AZ51" s="703">
        <v>1.346857142857143</v>
      </c>
      <c r="BA51" s="704"/>
      <c r="BC51" s="701">
        <v>40</v>
      </c>
      <c r="BD51" s="702">
        <v>5.6357142857142861</v>
      </c>
      <c r="BE51" s="702">
        <v>7.6809523809523812</v>
      </c>
      <c r="BF51" s="703">
        <v>8.0233276190476186</v>
      </c>
      <c r="BG51" s="704"/>
      <c r="BI51" s="701">
        <v>40</v>
      </c>
      <c r="BJ51" s="702">
        <v>36.791666666666664</v>
      </c>
      <c r="BK51" s="702">
        <v>29.345238095238095</v>
      </c>
      <c r="BL51" s="703">
        <v>29.583333333333336</v>
      </c>
      <c r="BM51" s="704"/>
      <c r="BO51" s="701">
        <v>40</v>
      </c>
      <c r="BP51" s="702">
        <v>7.4190476190476193</v>
      </c>
      <c r="BQ51" s="702">
        <v>6.4261904761904765</v>
      </c>
      <c r="BR51" s="703">
        <v>6.9363095238095243</v>
      </c>
      <c r="BS51" s="704"/>
      <c r="BU51" s="701">
        <v>40</v>
      </c>
      <c r="BV51" s="702">
        <v>6.7251785714285717</v>
      </c>
      <c r="BW51" s="702">
        <v>7.1452976190476187</v>
      </c>
      <c r="BX51" s="703">
        <v>9.4776785714285712</v>
      </c>
      <c r="BY51" s="704"/>
      <c r="CA51" s="701">
        <v>40</v>
      </c>
      <c r="CB51" s="702">
        <v>64.21554857142857</v>
      </c>
      <c r="CC51" s="702">
        <v>49.911740000000002</v>
      </c>
      <c r="CD51" s="703">
        <v>59.44453</v>
      </c>
      <c r="CE51" s="704"/>
      <c r="CG51" s="701">
        <v>40</v>
      </c>
      <c r="CH51" s="702">
        <v>38.891249999999999</v>
      </c>
      <c r="CI51" s="702">
        <v>36.943333333333335</v>
      </c>
      <c r="CJ51" s="703">
        <v>44.533809523809524</v>
      </c>
      <c r="CK51" s="704"/>
      <c r="CM51" s="701">
        <v>40</v>
      </c>
      <c r="CN51" s="702">
        <v>27.555470238095236</v>
      </c>
      <c r="CO51" s="702">
        <v>24.065738095238093</v>
      </c>
      <c r="CP51" s="703">
        <v>20.9374775</v>
      </c>
      <c r="CQ51" s="704"/>
      <c r="CS51" s="701">
        <v>40</v>
      </c>
      <c r="CT51" s="702">
        <v>8.6041666666666661</v>
      </c>
      <c r="CU51" s="702">
        <v>8.8636904761904756</v>
      </c>
      <c r="CV51" s="703">
        <v>9.7279761904761912</v>
      </c>
      <c r="CW51" s="704"/>
      <c r="CY51" s="701">
        <v>40</v>
      </c>
      <c r="CZ51" s="702">
        <v>0</v>
      </c>
      <c r="DA51" s="702">
        <v>5.3769999999999998</v>
      </c>
      <c r="DB51" s="703">
        <v>0</v>
      </c>
      <c r="DC51" s="704">
        <v>1.59</v>
      </c>
      <c r="DE51" s="701"/>
      <c r="DF51" s="701">
        <v>40</v>
      </c>
      <c r="DG51" s="702">
        <v>7.7921428571428573</v>
      </c>
      <c r="DH51" s="703">
        <v>1.2697142857142856</v>
      </c>
      <c r="DI51" s="704">
        <v>7.4847142857142854</v>
      </c>
      <c r="DK51" s="701">
        <v>40</v>
      </c>
      <c r="DL51" s="702">
        <v>1.1312857142857142</v>
      </c>
      <c r="DM51" s="702">
        <v>1.4355714285714287</v>
      </c>
      <c r="DN51" s="703">
        <v>0.63</v>
      </c>
      <c r="DO51" s="704"/>
      <c r="DQ51" s="701">
        <v>40</v>
      </c>
      <c r="DR51" s="702">
        <v>14.040833333333333</v>
      </c>
      <c r="DS51" s="702">
        <v>11.507797619047619</v>
      </c>
      <c r="DT51" s="703">
        <v>12.71547619047619</v>
      </c>
      <c r="DU51" s="704"/>
      <c r="DW51" s="701">
        <v>40</v>
      </c>
      <c r="DX51" s="702">
        <v>1.4517916666666666</v>
      </c>
      <c r="DY51" s="702">
        <v>1.3484464285714286</v>
      </c>
      <c r="DZ51" s="703">
        <v>1.4111666666666667</v>
      </c>
      <c r="EA51" s="704"/>
      <c r="EC51" s="701">
        <v>40</v>
      </c>
      <c r="ED51" s="702">
        <v>12.039444444444445</v>
      </c>
      <c r="EE51" s="702">
        <v>8.1994545454545449</v>
      </c>
      <c r="EF51" s="703">
        <v>11.841282206896551</v>
      </c>
      <c r="EG51" s="704"/>
      <c r="EI51" s="701">
        <v>40</v>
      </c>
      <c r="EJ51" s="702">
        <v>4.414714285714286</v>
      </c>
      <c r="EK51" s="702">
        <v>1.2912857142857144</v>
      </c>
      <c r="EL51" s="703">
        <v>5.7389999999999999</v>
      </c>
      <c r="EM51" s="704"/>
      <c r="EO51" s="701">
        <v>40</v>
      </c>
      <c r="EP51" s="702">
        <v>22.724142857142855</v>
      </c>
      <c r="EQ51" s="702">
        <v>11.591428571428571</v>
      </c>
      <c r="ER51" s="703">
        <v>20.259714285714285</v>
      </c>
      <c r="ES51" s="704"/>
      <c r="EU51" s="701">
        <v>40</v>
      </c>
      <c r="EV51" s="702">
        <v>6</v>
      </c>
      <c r="EW51" s="702">
        <v>4.0357142857142856</v>
      </c>
      <c r="EX51" s="703">
        <v>8</v>
      </c>
      <c r="EY51" s="704"/>
    </row>
    <row r="52" spans="13:155">
      <c r="M52" s="701">
        <v>41</v>
      </c>
      <c r="N52" s="702">
        <v>36.386808928571426</v>
      </c>
      <c r="O52" s="702">
        <v>3.6802957142857142</v>
      </c>
      <c r="P52" s="703">
        <v>21.25532464285714</v>
      </c>
      <c r="Q52" s="704"/>
      <c r="S52" s="701">
        <v>41</v>
      </c>
      <c r="T52" s="702">
        <v>6</v>
      </c>
      <c r="U52" s="702">
        <v>4.0744047619047628</v>
      </c>
      <c r="V52" s="703">
        <v>8.4535714285714274</v>
      </c>
      <c r="W52" s="704"/>
      <c r="Y52" s="701">
        <v>41</v>
      </c>
      <c r="Z52" s="702">
        <v>11.811489999999999</v>
      </c>
      <c r="AA52" s="702">
        <v>20.63369543859649</v>
      </c>
      <c r="AB52" s="703">
        <v>11.991128611111112</v>
      </c>
      <c r="AC52" s="704"/>
      <c r="AE52" s="701">
        <v>41</v>
      </c>
      <c r="AF52" s="702">
        <v>16.019276309523811</v>
      </c>
      <c r="AG52" s="702">
        <v>27.781466309523811</v>
      </c>
      <c r="AH52" s="703">
        <v>21.351429999999997</v>
      </c>
      <c r="AI52" s="704"/>
      <c r="AK52" s="701">
        <v>41</v>
      </c>
      <c r="AL52" s="702">
        <v>31.525654761904764</v>
      </c>
      <c r="AM52" s="702">
        <v>60.485678571428572</v>
      </c>
      <c r="AN52" s="703">
        <v>36.457863095238096</v>
      </c>
      <c r="AO52" s="704"/>
      <c r="AQ52" s="701">
        <v>41</v>
      </c>
      <c r="AR52" s="702">
        <v>16.799410714285717</v>
      </c>
      <c r="AS52" s="702">
        <v>35.265666666666668</v>
      </c>
      <c r="AT52" s="703">
        <v>4.906220238095238</v>
      </c>
      <c r="AU52" s="704"/>
      <c r="AW52" s="701">
        <v>41</v>
      </c>
      <c r="AX52" s="702">
        <v>1.3642857142857143</v>
      </c>
      <c r="AY52" s="702">
        <v>1.4079999999999999</v>
      </c>
      <c r="AZ52" s="703">
        <v>1.4485714285714286</v>
      </c>
      <c r="BA52" s="704"/>
      <c r="BC52" s="701">
        <v>41</v>
      </c>
      <c r="BD52" s="702">
        <v>5.7369047619047624</v>
      </c>
      <c r="BE52" s="702">
        <v>7.0041666666666673</v>
      </c>
      <c r="BF52" s="703">
        <v>7.4035714285714294</v>
      </c>
      <c r="BG52" s="704"/>
      <c r="BI52" s="701">
        <v>41</v>
      </c>
      <c r="BJ52" s="702">
        <v>32.517857142857139</v>
      </c>
      <c r="BK52" s="702">
        <v>51.970238095238095</v>
      </c>
      <c r="BL52" s="703">
        <v>25.285714285714285</v>
      </c>
      <c r="BM52" s="704"/>
      <c r="BO52" s="701">
        <v>41</v>
      </c>
      <c r="BP52" s="702">
        <v>6.2315476190476184</v>
      </c>
      <c r="BQ52" s="702">
        <v>12.367857142857144</v>
      </c>
      <c r="BR52" s="703">
        <v>5.975595238095238</v>
      </c>
      <c r="BS52" s="704"/>
      <c r="BU52" s="701">
        <v>41</v>
      </c>
      <c r="BV52" s="702">
        <v>6.8115476190476194</v>
      </c>
      <c r="BW52" s="702">
        <v>9.3424404761904771</v>
      </c>
      <c r="BX52" s="703">
        <v>8.7004191616766473</v>
      </c>
      <c r="BY52" s="704"/>
      <c r="CA52" s="701">
        <v>41</v>
      </c>
      <c r="CB52" s="702">
        <v>63.28442428571428</v>
      </c>
      <c r="CC52" s="702">
        <v>60.027588571428574</v>
      </c>
      <c r="CD52" s="703">
        <v>59.739446428571426</v>
      </c>
      <c r="CE52" s="704"/>
      <c r="CG52" s="701">
        <v>41</v>
      </c>
      <c r="CH52" s="702">
        <v>36.401011904761909</v>
      </c>
      <c r="CI52" s="702">
        <v>40.218690476190474</v>
      </c>
      <c r="CJ52" s="703">
        <v>42.058095238095234</v>
      </c>
      <c r="CK52" s="704"/>
      <c r="CM52" s="701">
        <v>41</v>
      </c>
      <c r="CN52" s="702">
        <v>28.086970238095237</v>
      </c>
      <c r="CO52" s="702">
        <v>33.692529761904758</v>
      </c>
      <c r="CP52" s="703">
        <v>20.01493119047619</v>
      </c>
      <c r="CQ52" s="704"/>
      <c r="CS52" s="701">
        <v>41</v>
      </c>
      <c r="CT52" s="702">
        <v>8.7946428571428559</v>
      </c>
      <c r="CU52" s="702">
        <v>11.160714285714285</v>
      </c>
      <c r="CV52" s="703">
        <v>9.3214285714285712</v>
      </c>
      <c r="CW52" s="704"/>
      <c r="CY52" s="701">
        <v>41</v>
      </c>
      <c r="CZ52" s="702">
        <v>2.4285714285714284</v>
      </c>
      <c r="DA52" s="702">
        <v>0.47219642857142863</v>
      </c>
      <c r="DB52" s="703">
        <v>0.14285714285714288</v>
      </c>
      <c r="DC52" s="704">
        <v>1.59</v>
      </c>
      <c r="DE52" s="701"/>
      <c r="DF52" s="701">
        <v>41</v>
      </c>
      <c r="DG52" s="702">
        <v>1.671142857142857</v>
      </c>
      <c r="DH52" s="703">
        <v>1.2697142857142856</v>
      </c>
      <c r="DI52" s="704">
        <v>5.1673085714285723</v>
      </c>
      <c r="DK52" s="701">
        <v>41</v>
      </c>
      <c r="DL52" s="702">
        <v>2.0270000000000001</v>
      </c>
      <c r="DM52" s="702">
        <v>1.907</v>
      </c>
      <c r="DN52" s="703">
        <v>0.63</v>
      </c>
      <c r="DO52" s="704"/>
      <c r="DQ52" s="701">
        <v>41</v>
      </c>
      <c r="DR52" s="702">
        <v>13.811369047619047</v>
      </c>
      <c r="DS52" s="702">
        <v>11.410773809523809</v>
      </c>
      <c r="DT52" s="703">
        <v>12.751369047619049</v>
      </c>
      <c r="DU52" s="704"/>
      <c r="DW52" s="701">
        <v>41</v>
      </c>
      <c r="DX52" s="702">
        <v>1.4910059523809525</v>
      </c>
      <c r="DY52" s="702">
        <v>1.4490059523809524</v>
      </c>
      <c r="DZ52" s="703">
        <v>1.4098095238095238</v>
      </c>
      <c r="EA52" s="704"/>
      <c r="EC52" s="701">
        <v>41</v>
      </c>
      <c r="ED52" s="702">
        <v>12.585833333333333</v>
      </c>
      <c r="EE52" s="702">
        <v>9.4949999999999992</v>
      </c>
      <c r="EF52" s="703">
        <v>12.067047619047619</v>
      </c>
      <c r="EG52" s="704"/>
      <c r="EI52" s="701">
        <v>41</v>
      </c>
      <c r="EJ52" s="702">
        <v>1.9174285714285715</v>
      </c>
      <c r="EK52" s="702">
        <v>1.1297142857142859</v>
      </c>
      <c r="EL52" s="703">
        <v>4.8351428571428574</v>
      </c>
      <c r="EM52" s="704"/>
      <c r="EO52" s="701">
        <v>41</v>
      </c>
      <c r="EP52" s="702">
        <v>18.961142857142857</v>
      </c>
      <c r="EQ52" s="702">
        <v>13.75</v>
      </c>
      <c r="ER52" s="703">
        <v>19.896547142857141</v>
      </c>
      <c r="ES52" s="704"/>
      <c r="EU52" s="701">
        <v>41</v>
      </c>
      <c r="EV52" s="702">
        <v>6</v>
      </c>
      <c r="EW52" s="702">
        <v>1.625</v>
      </c>
      <c r="EX52" s="703">
        <v>8</v>
      </c>
      <c r="EY52" s="704"/>
    </row>
    <row r="53" spans="13:155">
      <c r="M53" s="701">
        <v>42</v>
      </c>
      <c r="N53" s="702">
        <v>35.287988095238092</v>
      </c>
      <c r="O53" s="702">
        <v>30.902833214285714</v>
      </c>
      <c r="P53" s="703">
        <v>22.554563988095236</v>
      </c>
      <c r="Q53" s="704"/>
      <c r="S53" s="701">
        <v>42</v>
      </c>
      <c r="T53" s="702">
        <v>5.9857142857142858</v>
      </c>
      <c r="U53" s="702">
        <v>4</v>
      </c>
      <c r="V53" s="703">
        <v>9.5023809523809515</v>
      </c>
      <c r="W53" s="704"/>
      <c r="Y53" s="701">
        <v>42</v>
      </c>
      <c r="Z53" s="702">
        <v>9.4665357142857136</v>
      </c>
      <c r="AA53" s="702">
        <v>23.087295853658535</v>
      </c>
      <c r="AB53" s="703">
        <v>16.337517619047617</v>
      </c>
      <c r="AC53" s="704"/>
      <c r="AE53" s="701">
        <v>42</v>
      </c>
      <c r="AF53" s="702">
        <v>21.152950000000001</v>
      </c>
      <c r="AG53" s="702">
        <v>35.060577916666666</v>
      </c>
      <c r="AH53" s="703">
        <v>19.993490416666667</v>
      </c>
      <c r="AI53" s="704"/>
      <c r="AK53" s="701">
        <v>42</v>
      </c>
      <c r="AL53" s="702">
        <v>38.873613095238092</v>
      </c>
      <c r="AM53" s="702">
        <v>53.366845238095244</v>
      </c>
      <c r="AN53" s="703">
        <v>43.796535714285717</v>
      </c>
      <c r="AO53" s="704"/>
      <c r="AQ53" s="701">
        <v>42</v>
      </c>
      <c r="AR53" s="702">
        <v>25.138291666666667</v>
      </c>
      <c r="AS53" s="702">
        <v>22.728273809523809</v>
      </c>
      <c r="AT53" s="703">
        <v>4.1620714285714291</v>
      </c>
      <c r="AU53" s="704"/>
      <c r="AW53" s="701">
        <v>42</v>
      </c>
      <c r="AX53" s="702">
        <v>1.3397142857142856</v>
      </c>
      <c r="AY53" s="702">
        <v>1.4577142857142857</v>
      </c>
      <c r="AZ53" s="703">
        <v>1.2307142857142856</v>
      </c>
      <c r="BA53" s="704"/>
      <c r="BC53" s="701">
        <v>42</v>
      </c>
      <c r="BD53" s="702">
        <v>5.776190476190477</v>
      </c>
      <c r="BE53" s="702">
        <v>6.4196428571428577</v>
      </c>
      <c r="BF53" s="703">
        <v>7.5059514285714286</v>
      </c>
      <c r="BG53" s="704"/>
      <c r="BI53" s="701">
        <v>42</v>
      </c>
      <c r="BJ53" s="702">
        <v>46.428571428571431</v>
      </c>
      <c r="BK53" s="702">
        <v>50.113095238095234</v>
      </c>
      <c r="BL53" s="703">
        <v>32.333333333333336</v>
      </c>
      <c r="BM53" s="704"/>
      <c r="BO53" s="701">
        <v>42</v>
      </c>
      <c r="BP53" s="702">
        <v>5.819642857142858</v>
      </c>
      <c r="BQ53" s="702">
        <v>12.489285714285714</v>
      </c>
      <c r="BR53" s="703">
        <v>5.7511904761904766</v>
      </c>
      <c r="BS53" s="704"/>
      <c r="BU53" s="701">
        <v>42</v>
      </c>
      <c r="BV53" s="702">
        <v>9.7129166666666666</v>
      </c>
      <c r="BW53" s="702">
        <v>9.1038095238095238</v>
      </c>
      <c r="BX53" s="703">
        <v>9.4101190476190464</v>
      </c>
      <c r="BY53" s="704"/>
      <c r="CA53" s="701">
        <v>42</v>
      </c>
      <c r="CB53" s="702">
        <v>58.394262857142856</v>
      </c>
      <c r="CC53" s="702">
        <v>67.799015714285716</v>
      </c>
      <c r="CD53" s="703">
        <v>57.632452857142859</v>
      </c>
      <c r="CE53" s="704"/>
      <c r="CG53" s="701">
        <v>42</v>
      </c>
      <c r="CH53" s="702">
        <v>40.439702380952383</v>
      </c>
      <c r="CI53" s="702">
        <v>36.219583333333333</v>
      </c>
      <c r="CJ53" s="703">
        <v>42.249583333333334</v>
      </c>
      <c r="CK53" s="704"/>
      <c r="CM53" s="701">
        <v>42</v>
      </c>
      <c r="CN53" s="702">
        <v>38.422172619047622</v>
      </c>
      <c r="CO53" s="702">
        <v>43.799497380952381</v>
      </c>
      <c r="CP53" s="703">
        <v>25.350767857142856</v>
      </c>
      <c r="CQ53" s="704"/>
      <c r="CS53" s="701">
        <v>42</v>
      </c>
      <c r="CT53" s="702">
        <v>8</v>
      </c>
      <c r="CU53" s="702">
        <v>11.276785714285715</v>
      </c>
      <c r="CV53" s="703">
        <v>8.2369047619047624</v>
      </c>
      <c r="CW53" s="704"/>
      <c r="CY53" s="701">
        <v>42</v>
      </c>
      <c r="CZ53" s="702">
        <v>3.0833333333333335</v>
      </c>
      <c r="DA53" s="702">
        <v>4.4470000000000001</v>
      </c>
      <c r="DB53" s="703">
        <v>0.42871428571428577</v>
      </c>
      <c r="DC53" s="704">
        <v>1.4412499999999999</v>
      </c>
      <c r="DE53" s="701"/>
      <c r="DF53" s="701">
        <v>42</v>
      </c>
      <c r="DG53" s="702">
        <v>2.6417142857142859</v>
      </c>
      <c r="DH53" s="703">
        <v>0.2</v>
      </c>
      <c r="DI53" s="704">
        <v>1.6991428571428571</v>
      </c>
      <c r="DK53" s="701">
        <v>42</v>
      </c>
      <c r="DL53" s="702">
        <v>2.0270000000000001</v>
      </c>
      <c r="DM53" s="702">
        <v>1.907</v>
      </c>
      <c r="DN53" s="703">
        <v>0.63</v>
      </c>
      <c r="DO53" s="704"/>
      <c r="DQ53" s="701">
        <v>42</v>
      </c>
      <c r="DR53" s="702">
        <v>14.016309523809523</v>
      </c>
      <c r="DS53" s="702">
        <v>11.888392857142858</v>
      </c>
      <c r="DT53" s="703">
        <v>12.650416666666665</v>
      </c>
      <c r="DU53" s="704"/>
      <c r="DW53" s="701">
        <v>42</v>
      </c>
      <c r="DX53" s="702">
        <v>1.3492202380952381</v>
      </c>
      <c r="DY53" s="702">
        <v>1.4034523809523809</v>
      </c>
      <c r="DZ53" s="703">
        <v>1.3976488095238098</v>
      </c>
      <c r="EA53" s="704"/>
      <c r="EC53" s="701">
        <v>42</v>
      </c>
      <c r="ED53" s="702">
        <v>12.242000000000001</v>
      </c>
      <c r="EE53" s="702">
        <v>9.26</v>
      </c>
      <c r="EF53" s="703">
        <v>11.90654761904762</v>
      </c>
      <c r="EG53" s="704"/>
      <c r="EI53" s="701">
        <v>42</v>
      </c>
      <c r="EJ53" s="702">
        <v>1.6819999999999999</v>
      </c>
      <c r="EK53" s="702">
        <v>1.048</v>
      </c>
      <c r="EL53" s="703">
        <v>3.7248571428571431</v>
      </c>
      <c r="EM53" s="704"/>
      <c r="EO53" s="701">
        <v>42</v>
      </c>
      <c r="EP53" s="702">
        <v>16.621714285714287</v>
      </c>
      <c r="EQ53" s="702">
        <v>17.013428571428573</v>
      </c>
      <c r="ER53" s="703">
        <v>20.384428571428572</v>
      </c>
      <c r="ES53" s="704"/>
      <c r="EU53" s="701">
        <v>42</v>
      </c>
      <c r="EV53" s="702">
        <v>9</v>
      </c>
      <c r="EW53" s="702">
        <v>0.25</v>
      </c>
      <c r="EX53" s="703">
        <v>5.7857142857142856</v>
      </c>
      <c r="EY53" s="704"/>
    </row>
    <row r="54" spans="13:155">
      <c r="M54" s="701">
        <v>43</v>
      </c>
      <c r="N54" s="702">
        <v>36.766672678571432</v>
      </c>
      <c r="O54" s="702">
        <v>40.460493392857146</v>
      </c>
      <c r="P54" s="703">
        <v>23.687886607142854</v>
      </c>
      <c r="Q54" s="704"/>
      <c r="S54" s="701">
        <v>43</v>
      </c>
      <c r="T54" s="702">
        <v>2.7440476190476191</v>
      </c>
      <c r="U54" s="702">
        <v>3.9369047619047621</v>
      </c>
      <c r="V54" s="703">
        <v>7.8744047619047626</v>
      </c>
      <c r="W54" s="704"/>
      <c r="Y54" s="701">
        <v>43</v>
      </c>
      <c r="Z54" s="702">
        <v>11.382345714285714</v>
      </c>
      <c r="AA54" s="702">
        <v>23.893623888888886</v>
      </c>
      <c r="AB54" s="703">
        <v>14.424296296296298</v>
      </c>
      <c r="AC54" s="704"/>
      <c r="AE54" s="701">
        <v>43</v>
      </c>
      <c r="AF54" s="702">
        <v>18.619558809523809</v>
      </c>
      <c r="AG54" s="702">
        <v>33.667004583333338</v>
      </c>
      <c r="AH54" s="703">
        <v>18.157015297619047</v>
      </c>
      <c r="AI54" s="704"/>
      <c r="AK54" s="701">
        <v>43</v>
      </c>
      <c r="AL54" s="702">
        <v>37.695744047619044</v>
      </c>
      <c r="AM54" s="702">
        <v>50.110047619047613</v>
      </c>
      <c r="AN54" s="703">
        <v>43.663297619047619</v>
      </c>
      <c r="AO54" s="704"/>
      <c r="AQ54" s="701">
        <v>43</v>
      </c>
      <c r="AR54" s="702">
        <v>25.216505952380952</v>
      </c>
      <c r="AS54" s="702">
        <v>18.437976190476192</v>
      </c>
      <c r="AT54" s="703">
        <v>2.9861607142857145</v>
      </c>
      <c r="AU54" s="704"/>
      <c r="AW54" s="701">
        <v>43</v>
      </c>
      <c r="AX54" s="702">
        <v>1.3554285714285716</v>
      </c>
      <c r="AY54" s="702">
        <v>1.915</v>
      </c>
      <c r="AZ54" s="703">
        <v>1.4154285714285715</v>
      </c>
      <c r="BA54" s="704"/>
      <c r="BC54" s="701">
        <v>43</v>
      </c>
      <c r="BD54" s="702">
        <v>5.6267857142857141</v>
      </c>
      <c r="BE54" s="702">
        <v>8.6452380952380956</v>
      </c>
      <c r="BF54" s="703">
        <v>7.6015300000000003</v>
      </c>
      <c r="BG54" s="704"/>
      <c r="BI54" s="701">
        <v>43</v>
      </c>
      <c r="BJ54" s="702">
        <v>34.410714285714285</v>
      </c>
      <c r="BK54" s="702">
        <v>51.63095238095238</v>
      </c>
      <c r="BL54" s="703">
        <v>41.029761904761905</v>
      </c>
      <c r="BM54" s="704"/>
      <c r="BO54" s="701">
        <v>43</v>
      </c>
      <c r="BP54" s="702">
        <v>5.7607142857142861</v>
      </c>
      <c r="BQ54" s="702">
        <v>10.933333333333334</v>
      </c>
      <c r="BR54" s="703">
        <v>6.4970238095238093</v>
      </c>
      <c r="BS54" s="704"/>
      <c r="BU54" s="701">
        <v>43</v>
      </c>
      <c r="BV54" s="702">
        <v>9.8952976190476196</v>
      </c>
      <c r="BW54" s="702">
        <v>10.036547619047619</v>
      </c>
      <c r="BX54" s="703">
        <v>9.6590476190476195</v>
      </c>
      <c r="BY54" s="704"/>
      <c r="CA54" s="701">
        <v>43</v>
      </c>
      <c r="CB54" s="702">
        <v>53.371878571428574</v>
      </c>
      <c r="CC54" s="702">
        <v>72.184182857142858</v>
      </c>
      <c r="CD54" s="703">
        <v>65.079384285714283</v>
      </c>
      <c r="CE54" s="704"/>
      <c r="CG54" s="701">
        <v>43</v>
      </c>
      <c r="CH54" s="702">
        <v>41.807559523809523</v>
      </c>
      <c r="CI54" s="702">
        <v>37.46892857142857</v>
      </c>
      <c r="CJ54" s="703">
        <v>35.534940476190471</v>
      </c>
      <c r="CK54" s="704"/>
      <c r="CM54" s="701">
        <v>43</v>
      </c>
      <c r="CN54" s="702">
        <v>32.257410714285712</v>
      </c>
      <c r="CO54" s="702">
        <v>45.182834583333332</v>
      </c>
      <c r="CP54" s="703">
        <v>22.342321428571427</v>
      </c>
      <c r="CQ54" s="704"/>
      <c r="CS54" s="701">
        <v>43</v>
      </c>
      <c r="CT54" s="702">
        <v>8.449404761904761</v>
      </c>
      <c r="CU54" s="702">
        <v>14.338690476190477</v>
      </c>
      <c r="CV54" s="703">
        <v>9.3095238095238102</v>
      </c>
      <c r="CW54" s="704"/>
      <c r="CY54" s="701">
        <v>43</v>
      </c>
      <c r="CZ54" s="702">
        <v>1.4011904761904761</v>
      </c>
      <c r="DA54" s="702">
        <v>4.4470000000000001</v>
      </c>
      <c r="DB54" s="703">
        <v>4.8032000000000004</v>
      </c>
      <c r="DC54" s="704">
        <v>0.44714285714285718</v>
      </c>
      <c r="DE54" s="701"/>
      <c r="DF54" s="701">
        <v>43</v>
      </c>
      <c r="DG54" s="702">
        <v>2.6494285714285715</v>
      </c>
      <c r="DH54" s="703">
        <v>0.2</v>
      </c>
      <c r="DI54" s="704">
        <v>0.40829142857142858</v>
      </c>
      <c r="DK54" s="701">
        <v>43</v>
      </c>
      <c r="DL54" s="702">
        <v>2.0270000000000001</v>
      </c>
      <c r="DM54" s="702">
        <v>1.907</v>
      </c>
      <c r="DN54" s="703">
        <v>0.97285714285714286</v>
      </c>
      <c r="DO54" s="704"/>
      <c r="DQ54" s="701">
        <v>43</v>
      </c>
      <c r="DR54" s="702">
        <v>14.078071428571429</v>
      </c>
      <c r="DS54" s="702">
        <v>11.458273809523808</v>
      </c>
      <c r="DT54" s="703">
        <v>12.796071428571429</v>
      </c>
      <c r="DU54" s="704"/>
      <c r="DW54" s="701">
        <v>43</v>
      </c>
      <c r="DX54" s="702">
        <v>0.80763095238095239</v>
      </c>
      <c r="DY54" s="702">
        <v>1.4262440476190477</v>
      </c>
      <c r="DZ54" s="703">
        <v>1.3728095238095237</v>
      </c>
      <c r="EA54" s="704"/>
      <c r="EC54" s="701">
        <v>43</v>
      </c>
      <c r="ED54" s="702">
        <v>12.491250000000001</v>
      </c>
      <c r="EE54" s="702">
        <v>7.4359999999999999</v>
      </c>
      <c r="EF54" s="703">
        <v>13.988054821428571</v>
      </c>
      <c r="EG54" s="704"/>
      <c r="EI54" s="701">
        <v>43</v>
      </c>
      <c r="EJ54" s="702">
        <v>1.3287142857142857</v>
      </c>
      <c r="EK54" s="702">
        <v>0.86314285714285721</v>
      </c>
      <c r="EL54" s="703">
        <v>2.3491428571428576</v>
      </c>
      <c r="EM54" s="704"/>
      <c r="EO54" s="701">
        <v>43</v>
      </c>
      <c r="EP54" s="702">
        <v>16.669571428571427</v>
      </c>
      <c r="EQ54" s="702">
        <v>14.309142857142858</v>
      </c>
      <c r="ER54" s="703">
        <v>20.607328571428571</v>
      </c>
      <c r="ES54" s="704"/>
      <c r="EU54" s="701">
        <v>43</v>
      </c>
      <c r="EV54" s="702">
        <v>12</v>
      </c>
      <c r="EW54" s="702">
        <v>0.25</v>
      </c>
      <c r="EX54" s="703">
        <v>2.0714285714285712</v>
      </c>
      <c r="EY54" s="704"/>
    </row>
    <row r="55" spans="13:155">
      <c r="M55" s="701">
        <v>44</v>
      </c>
      <c r="N55" s="702">
        <v>24.030873392857142</v>
      </c>
      <c r="O55" s="702">
        <v>44.399610119047622</v>
      </c>
      <c r="P55" s="704">
        <v>49.960453273809527</v>
      </c>
      <c r="Q55" s="704"/>
      <c r="S55" s="701">
        <v>44</v>
      </c>
      <c r="T55" s="702">
        <v>2</v>
      </c>
      <c r="U55" s="702">
        <v>3.960119047619048</v>
      </c>
      <c r="V55" s="704">
        <v>7.677083333333333</v>
      </c>
      <c r="W55" s="704"/>
      <c r="Y55" s="701">
        <v>44</v>
      </c>
      <c r="Z55" s="702">
        <v>11.09458857142857</v>
      </c>
      <c r="AA55" s="702">
        <v>20.258904999999999</v>
      </c>
      <c r="AB55" s="704">
        <v>13.80711320754717</v>
      </c>
      <c r="AC55" s="704"/>
      <c r="AE55" s="701">
        <v>44</v>
      </c>
      <c r="AF55" s="702">
        <v>14.498785892857143</v>
      </c>
      <c r="AG55" s="702">
        <v>23.371952380952379</v>
      </c>
      <c r="AH55" s="704">
        <v>21.387031666666665</v>
      </c>
      <c r="AI55" s="704"/>
      <c r="AK55" s="701">
        <v>44</v>
      </c>
      <c r="AL55" s="702">
        <v>41.06847619047619</v>
      </c>
      <c r="AM55" s="702">
        <v>54.361297619047626</v>
      </c>
      <c r="AN55" s="704">
        <v>46.310196428571423</v>
      </c>
      <c r="AO55" s="704"/>
      <c r="AQ55" s="701">
        <v>44</v>
      </c>
      <c r="AR55" s="702">
        <v>14.095446428571428</v>
      </c>
      <c r="AS55" s="702">
        <v>12.731904761904762</v>
      </c>
      <c r="AT55" s="704">
        <v>2.6654047619047621</v>
      </c>
      <c r="AU55" s="704"/>
      <c r="AW55" s="701">
        <v>44</v>
      </c>
      <c r="AX55" s="702">
        <v>1.3972857142857145</v>
      </c>
      <c r="AY55" s="702">
        <v>1.4124285714285714</v>
      </c>
      <c r="AZ55" s="704">
        <v>1.338857142857143</v>
      </c>
      <c r="BA55" s="704"/>
      <c r="BC55" s="701">
        <v>44</v>
      </c>
      <c r="BD55" s="702">
        <v>5.229166666666667</v>
      </c>
      <c r="BE55" s="702">
        <v>7.3392857142857144</v>
      </c>
      <c r="BF55" s="704">
        <v>7.3621114285714295</v>
      </c>
      <c r="BG55" s="704"/>
      <c r="BI55" s="701">
        <v>44</v>
      </c>
      <c r="BJ55" s="702">
        <v>27.107142857142858</v>
      </c>
      <c r="BK55" s="702">
        <v>69.125</v>
      </c>
      <c r="BL55" s="704">
        <v>62.035714285714285</v>
      </c>
      <c r="BM55" s="704"/>
      <c r="BO55" s="701">
        <v>44</v>
      </c>
      <c r="BP55" s="702">
        <v>5.9261904761904765</v>
      </c>
      <c r="BQ55" s="702">
        <v>7.996428571428571</v>
      </c>
      <c r="BR55" s="704">
        <v>7.4309523809523812</v>
      </c>
      <c r="BS55" s="704"/>
      <c r="BU55" s="701">
        <v>44</v>
      </c>
      <c r="BV55" s="702">
        <v>9.9142857142857128</v>
      </c>
      <c r="BW55" s="702">
        <v>12.725416666666666</v>
      </c>
      <c r="BX55" s="704">
        <v>12.630892857142857</v>
      </c>
      <c r="BY55" s="704"/>
      <c r="CA55" s="701">
        <v>44</v>
      </c>
      <c r="CB55" s="702">
        <v>52.716372857142858</v>
      </c>
      <c r="CC55" s="702">
        <v>76.170468571428572</v>
      </c>
      <c r="CD55" s="704">
        <v>67.863810793650785</v>
      </c>
      <c r="CE55" s="704"/>
      <c r="CG55" s="701">
        <v>44</v>
      </c>
      <c r="CH55" s="702">
        <v>41.045952380952379</v>
      </c>
      <c r="CI55" s="702">
        <v>37.777559523809522</v>
      </c>
      <c r="CJ55" s="704">
        <v>46.504821428571432</v>
      </c>
      <c r="CK55" s="704"/>
      <c r="CM55" s="701">
        <v>44</v>
      </c>
      <c r="CN55" s="702">
        <v>28.062583333333336</v>
      </c>
      <c r="CO55" s="702">
        <v>46.470208333333339</v>
      </c>
      <c r="CP55" s="704">
        <v>45.67944130952381</v>
      </c>
      <c r="CQ55" s="704"/>
      <c r="CS55" s="701">
        <v>44</v>
      </c>
      <c r="CT55" s="702">
        <v>9.0535714285714288</v>
      </c>
      <c r="CU55" s="702">
        <v>12.126785714285713</v>
      </c>
      <c r="CV55" s="704">
        <v>8.9763888888888896</v>
      </c>
      <c r="CW55" s="704"/>
      <c r="CY55" s="701">
        <v>44</v>
      </c>
      <c r="CZ55" s="702">
        <v>1</v>
      </c>
      <c r="DA55" s="702">
        <v>1.1195714285714287</v>
      </c>
      <c r="DB55" s="704">
        <v>5.4902857142857151</v>
      </c>
      <c r="DC55" s="704">
        <v>0.308</v>
      </c>
      <c r="DE55" s="701"/>
      <c r="DF55" s="701">
        <v>44</v>
      </c>
      <c r="DG55" s="702">
        <v>0.2</v>
      </c>
      <c r="DH55" s="704">
        <v>0.2</v>
      </c>
      <c r="DI55" s="704">
        <v>1.3332857142857144</v>
      </c>
      <c r="DK55" s="701">
        <v>44</v>
      </c>
      <c r="DL55" s="702">
        <v>1.6555714285714287</v>
      </c>
      <c r="DM55" s="702">
        <v>1.907</v>
      </c>
      <c r="DN55" s="704">
        <v>1.68</v>
      </c>
      <c r="DO55" s="704"/>
      <c r="DQ55" s="701">
        <v>44</v>
      </c>
      <c r="DR55" s="702">
        <v>13.987261904761903</v>
      </c>
      <c r="DS55" s="702">
        <v>11.577142857142858</v>
      </c>
      <c r="DT55" s="704">
        <v>12.765178571428571</v>
      </c>
      <c r="DU55" s="704"/>
      <c r="DW55" s="701">
        <v>44</v>
      </c>
      <c r="DX55" s="702">
        <v>1.413904761904762</v>
      </c>
      <c r="DY55" s="702">
        <v>1.3690238095238094</v>
      </c>
      <c r="DZ55" s="704">
        <v>1.4147261904761905</v>
      </c>
      <c r="EA55" s="704"/>
      <c r="EC55" s="701">
        <v>44</v>
      </c>
      <c r="ED55" s="702">
        <v>12.179230769230768</v>
      </c>
      <c r="EE55" s="702">
        <v>7.8862500000000004</v>
      </c>
      <c r="EF55" s="704">
        <v>13.768726413793102</v>
      </c>
      <c r="EG55" s="704"/>
      <c r="EI55" s="701">
        <v>44</v>
      </c>
      <c r="EJ55" s="702">
        <v>4.5287142857142859</v>
      </c>
      <c r="EK55" s="702">
        <v>0.19800000000000001</v>
      </c>
      <c r="EL55" s="704">
        <v>0.72699999999999998</v>
      </c>
      <c r="EM55" s="704"/>
      <c r="EO55" s="701">
        <v>44</v>
      </c>
      <c r="EP55" s="702">
        <v>16.430571428571426</v>
      </c>
      <c r="EQ55" s="702">
        <v>14.774571428571429</v>
      </c>
      <c r="ER55" s="704">
        <v>24.565857142857144</v>
      </c>
      <c r="ES55" s="704"/>
      <c r="EU55" s="701">
        <v>44</v>
      </c>
      <c r="EV55" s="702">
        <v>6.3571428571428577</v>
      </c>
      <c r="EW55" s="702">
        <v>0.25</v>
      </c>
      <c r="EX55" s="704">
        <v>5.6071428571428577</v>
      </c>
      <c r="EY55" s="704"/>
    </row>
    <row r="56" spans="13:155">
      <c r="M56" s="701">
        <v>45</v>
      </c>
      <c r="N56" s="702">
        <v>26.38632613095238</v>
      </c>
      <c r="O56" s="702">
        <v>43.055703869047619</v>
      </c>
      <c r="P56" s="703">
        <v>30.840908154761902</v>
      </c>
      <c r="Q56" s="704"/>
      <c r="S56" s="701">
        <v>45</v>
      </c>
      <c r="T56" s="702">
        <v>2.3291666666666666</v>
      </c>
      <c r="U56" s="702">
        <v>5.1875</v>
      </c>
      <c r="V56" s="703">
        <v>7.4636904761904761</v>
      </c>
      <c r="W56" s="704"/>
      <c r="Y56" s="701">
        <v>45</v>
      </c>
      <c r="Z56" s="702">
        <v>10.919885714285716</v>
      </c>
      <c r="AA56" s="702">
        <v>20.541220967741936</v>
      </c>
      <c r="AB56" s="703">
        <v>21.247549230769231</v>
      </c>
      <c r="AC56" s="704"/>
      <c r="AE56" s="701">
        <v>45</v>
      </c>
      <c r="AF56" s="702">
        <v>13.124091785714286</v>
      </c>
      <c r="AG56" s="702">
        <v>27.697178035714288</v>
      </c>
      <c r="AH56" s="703">
        <v>17.947266428571428</v>
      </c>
      <c r="AI56" s="704"/>
      <c r="AK56" s="701">
        <v>45</v>
      </c>
      <c r="AL56" s="702">
        <v>45.284589285714283</v>
      </c>
      <c r="AM56" s="702">
        <v>51.144755952380955</v>
      </c>
      <c r="AN56" s="703">
        <v>60.387482142857145</v>
      </c>
      <c r="AO56" s="704"/>
      <c r="AQ56" s="701">
        <v>45</v>
      </c>
      <c r="AR56" s="702">
        <v>11.297154761904762</v>
      </c>
      <c r="AS56" s="702">
        <v>10.882261904761904</v>
      </c>
      <c r="AT56" s="703">
        <v>2.5789523809523809</v>
      </c>
      <c r="AU56" s="704"/>
      <c r="AW56" s="701">
        <v>45</v>
      </c>
      <c r="AX56" s="702">
        <v>1.3508571428571428</v>
      </c>
      <c r="AY56" s="702">
        <v>1.3938571428571429</v>
      </c>
      <c r="AZ56" s="703">
        <v>1.1362857142857143</v>
      </c>
      <c r="BA56" s="704"/>
      <c r="BC56" s="701">
        <v>45</v>
      </c>
      <c r="BD56" s="702">
        <v>5.4345238095238102</v>
      </c>
      <c r="BE56" s="702">
        <v>6.9363095238095243</v>
      </c>
      <c r="BF56" s="703">
        <v>7.3020442857142855</v>
      </c>
      <c r="BG56" s="704"/>
      <c r="BI56" s="701">
        <v>45</v>
      </c>
      <c r="BJ56" s="702">
        <v>29.329166666666666</v>
      </c>
      <c r="BK56" s="702">
        <v>67.529761904761898</v>
      </c>
      <c r="BL56" s="703">
        <v>43.160714285714285</v>
      </c>
      <c r="BM56" s="704"/>
      <c r="BO56" s="701">
        <v>45</v>
      </c>
      <c r="BP56" s="702">
        <v>5.2148809523809527</v>
      </c>
      <c r="BQ56" s="702">
        <v>8.2648809523809526</v>
      </c>
      <c r="BR56" s="703">
        <v>6.3732142857142859</v>
      </c>
      <c r="BS56" s="704"/>
      <c r="BU56" s="701">
        <v>45</v>
      </c>
      <c r="BV56" s="702">
        <v>9.1105952380952377</v>
      </c>
      <c r="BW56" s="702">
        <v>14.373511904761905</v>
      </c>
      <c r="BX56" s="703">
        <v>11.841726190476189</v>
      </c>
      <c r="BY56" s="704"/>
      <c r="CA56" s="701">
        <v>45</v>
      </c>
      <c r="CB56" s="702">
        <v>54.434167142857142</v>
      </c>
      <c r="CC56" s="702">
        <v>65.741641428571427</v>
      </c>
      <c r="CD56" s="703">
        <v>70.197649285714277</v>
      </c>
      <c r="CE56" s="704"/>
      <c r="CG56" s="701">
        <v>45</v>
      </c>
      <c r="CH56" s="702">
        <v>40.194285714285712</v>
      </c>
      <c r="CI56" s="702">
        <v>41.259821428571428</v>
      </c>
      <c r="CJ56" s="703">
        <v>42.21422619047619</v>
      </c>
      <c r="CK56" s="704"/>
      <c r="CM56" s="701">
        <v>45</v>
      </c>
      <c r="CN56" s="702">
        <v>22.788553571428572</v>
      </c>
      <c r="CO56" s="702">
        <v>39.26159761904762</v>
      </c>
      <c r="CP56" s="703">
        <v>27.135380535714283</v>
      </c>
      <c r="CQ56" s="704"/>
      <c r="CS56" s="701">
        <v>45</v>
      </c>
      <c r="CT56" s="702">
        <v>8.5267857142857153</v>
      </c>
      <c r="CU56" s="702">
        <v>10.195833333333333</v>
      </c>
      <c r="CV56" s="703">
        <v>8.6154761904761887</v>
      </c>
      <c r="CW56" s="704"/>
      <c r="CY56" s="701">
        <v>45</v>
      </c>
      <c r="CZ56" s="702">
        <v>0.4285714285714286</v>
      </c>
      <c r="DA56" s="702">
        <v>0.3228571428571429</v>
      </c>
      <c r="DB56" s="703">
        <v>1.1041428571428573</v>
      </c>
      <c r="DC56" s="704">
        <v>0.308</v>
      </c>
      <c r="DE56" s="701"/>
      <c r="DF56" s="701">
        <v>45</v>
      </c>
      <c r="DG56" s="702">
        <v>2.3730000000000002</v>
      </c>
      <c r="DH56" s="703">
        <v>0</v>
      </c>
      <c r="DI56" s="704">
        <v>1.570587142857143</v>
      </c>
      <c r="DK56" s="701">
        <v>45</v>
      </c>
      <c r="DL56" s="702">
        <v>1.5912857142857144</v>
      </c>
      <c r="DM56" s="702">
        <v>1.907</v>
      </c>
      <c r="DN56" s="703">
        <v>1.35</v>
      </c>
      <c r="DO56" s="704"/>
      <c r="DQ56" s="701">
        <v>45</v>
      </c>
      <c r="DR56" s="702">
        <v>13.874702380952382</v>
      </c>
      <c r="DS56" s="702">
        <v>11.875059523809524</v>
      </c>
      <c r="DT56" s="703">
        <v>12.822559523809524</v>
      </c>
      <c r="DU56" s="704"/>
      <c r="DW56" s="701">
        <v>45</v>
      </c>
      <c r="DX56" s="702">
        <v>0.73639285714285718</v>
      </c>
      <c r="DY56" s="702">
        <v>1.4191011904761905</v>
      </c>
      <c r="DZ56" s="703">
        <v>1.4241726190476192</v>
      </c>
      <c r="EA56" s="704"/>
      <c r="EC56" s="701">
        <v>45</v>
      </c>
      <c r="ED56" s="702">
        <v>12.746153846153845</v>
      </c>
      <c r="EE56" s="702">
        <v>10.840045454545454</v>
      </c>
      <c r="EF56" s="703">
        <v>12.437954821428573</v>
      </c>
      <c r="EG56" s="704"/>
      <c r="EI56" s="701">
        <v>45</v>
      </c>
      <c r="EJ56" s="702">
        <v>3.8367142857142857</v>
      </c>
      <c r="EK56" s="702">
        <v>0.19800000000000001</v>
      </c>
      <c r="EL56" s="703">
        <v>0.63600000000000001</v>
      </c>
      <c r="EM56" s="704"/>
      <c r="EO56" s="701">
        <v>45</v>
      </c>
      <c r="EP56" s="702">
        <v>15.745714285714286</v>
      </c>
      <c r="EQ56" s="702">
        <v>13.727714285714285</v>
      </c>
      <c r="ER56" s="703">
        <v>19.891999999999999</v>
      </c>
      <c r="ES56" s="704"/>
      <c r="EU56" s="701">
        <v>45</v>
      </c>
      <c r="EV56" s="702">
        <v>8</v>
      </c>
      <c r="EW56" s="702">
        <v>3.9821428571428572</v>
      </c>
      <c r="EX56" s="703">
        <v>0.25</v>
      </c>
      <c r="EY56" s="704"/>
    </row>
    <row r="57" spans="13:155">
      <c r="M57" s="701">
        <v>46</v>
      </c>
      <c r="N57" s="702">
        <v>22.054565654761905</v>
      </c>
      <c r="O57" s="702">
        <v>53.695060059523811</v>
      </c>
      <c r="P57" s="703">
        <v>98.491946071428572</v>
      </c>
      <c r="Q57" s="704"/>
      <c r="S57" s="701">
        <v>46</v>
      </c>
      <c r="T57" s="702">
        <v>3.5</v>
      </c>
      <c r="U57" s="702">
        <v>6.9678571428571425</v>
      </c>
      <c r="V57" s="703">
        <v>4.8178571428571431</v>
      </c>
      <c r="W57" s="704"/>
      <c r="Y57" s="701">
        <v>46</v>
      </c>
      <c r="Z57" s="702">
        <v>11.464804285714285</v>
      </c>
      <c r="AA57" s="702">
        <v>23.569002205882356</v>
      </c>
      <c r="AB57" s="703">
        <v>24.397706545454543</v>
      </c>
      <c r="AC57" s="704"/>
      <c r="AE57" s="701">
        <v>46</v>
      </c>
      <c r="AF57" s="702">
        <v>16.0647275</v>
      </c>
      <c r="AG57" s="702">
        <v>26.440050178571429</v>
      </c>
      <c r="AH57" s="703">
        <v>45.869066547619049</v>
      </c>
      <c r="AI57" s="704"/>
      <c r="AK57" s="701">
        <v>46</v>
      </c>
      <c r="AL57" s="702">
        <v>38.686327380952378</v>
      </c>
      <c r="AM57" s="702">
        <v>70.320077380952384</v>
      </c>
      <c r="AN57" s="703">
        <v>52.254172619047615</v>
      </c>
      <c r="AO57" s="704"/>
      <c r="AQ57" s="701">
        <v>46</v>
      </c>
      <c r="AR57" s="702">
        <v>9.9714107142857156</v>
      </c>
      <c r="AS57" s="702">
        <v>26.536244047619046</v>
      </c>
      <c r="AT57" s="703">
        <v>2.0100297619047618</v>
      </c>
      <c r="AU57" s="704"/>
      <c r="AW57" s="701">
        <v>46</v>
      </c>
      <c r="AX57" s="702">
        <v>1.3508571428571428</v>
      </c>
      <c r="AY57" s="702">
        <v>1.3957142857142857</v>
      </c>
      <c r="AZ57" s="703">
        <v>1.3367142857142857</v>
      </c>
      <c r="BA57" s="704"/>
      <c r="BC57" s="701">
        <v>46</v>
      </c>
      <c r="BD57" s="702">
        <v>5.3250000000000002</v>
      </c>
      <c r="BE57" s="702">
        <v>6.9172619047619053</v>
      </c>
      <c r="BF57" s="703">
        <v>7.4222357142857138</v>
      </c>
      <c r="BG57" s="704"/>
      <c r="BI57" s="701">
        <v>46</v>
      </c>
      <c r="BJ57" s="702">
        <v>26.720238095238095</v>
      </c>
      <c r="BK57" s="702">
        <v>70.729761904761901</v>
      </c>
      <c r="BL57" s="703">
        <v>84.678571428571416</v>
      </c>
      <c r="BM57" s="704"/>
      <c r="BO57" s="701">
        <v>46</v>
      </c>
      <c r="BP57" s="702">
        <v>6.183928571428571</v>
      </c>
      <c r="BQ57" s="702">
        <v>8.0773333333333337</v>
      </c>
      <c r="BR57" s="703">
        <v>21.486904761904764</v>
      </c>
      <c r="BS57" s="704"/>
      <c r="BU57" s="701">
        <v>46</v>
      </c>
      <c r="BV57" s="702">
        <v>9.2526190476190475</v>
      </c>
      <c r="BW57" s="702">
        <v>14.067916666666665</v>
      </c>
      <c r="BX57" s="703">
        <v>13.290714285714287</v>
      </c>
      <c r="BY57" s="704"/>
      <c r="CA57" s="701">
        <v>46</v>
      </c>
      <c r="CB57" s="702">
        <v>52.327635714285712</v>
      </c>
      <c r="CC57" s="702">
        <v>66.222025714285721</v>
      </c>
      <c r="CD57" s="703">
        <v>80.93083571428572</v>
      </c>
      <c r="CE57" s="704"/>
      <c r="CG57" s="701">
        <v>46</v>
      </c>
      <c r="CH57" s="702">
        <v>39.391547619047621</v>
      </c>
      <c r="CI57" s="702">
        <v>43.544702380952373</v>
      </c>
      <c r="CJ57" s="703">
        <v>49.383749999999999</v>
      </c>
      <c r="CK57" s="704"/>
      <c r="CM57" s="701">
        <v>46</v>
      </c>
      <c r="CN57" s="702">
        <v>26.729696428571426</v>
      </c>
      <c r="CO57" s="702">
        <v>59.030308214285718</v>
      </c>
      <c r="CP57" s="703">
        <v>104.57784809523808</v>
      </c>
      <c r="CQ57" s="704"/>
      <c r="CS57" s="701">
        <v>46</v>
      </c>
      <c r="CT57" s="702">
        <v>7.7249999999999996</v>
      </c>
      <c r="CU57" s="702">
        <v>8.2529761904761898</v>
      </c>
      <c r="CV57" s="703">
        <v>10.053571428571429</v>
      </c>
      <c r="CW57" s="704"/>
      <c r="CY57" s="701">
        <v>46</v>
      </c>
      <c r="CZ57" s="702">
        <v>0</v>
      </c>
      <c r="DA57" s="702">
        <v>0</v>
      </c>
      <c r="DB57" s="703">
        <v>4.0609047619047614</v>
      </c>
      <c r="DC57" s="704">
        <v>0.308</v>
      </c>
      <c r="DE57" s="701"/>
      <c r="DF57" s="701">
        <v>46</v>
      </c>
      <c r="DG57" s="702">
        <v>7.5821428571428573</v>
      </c>
      <c r="DH57" s="703">
        <v>0</v>
      </c>
      <c r="DI57" s="704">
        <v>1.8371428571428572</v>
      </c>
      <c r="DK57" s="701">
        <v>46</v>
      </c>
      <c r="DL57" s="702">
        <v>1.0584285714285715</v>
      </c>
      <c r="DM57" s="702">
        <v>1.907</v>
      </c>
      <c r="DN57" s="703">
        <v>1.35</v>
      </c>
      <c r="DO57" s="704"/>
      <c r="DQ57" s="701">
        <v>46</v>
      </c>
      <c r="DR57" s="702">
        <v>14.021964285714287</v>
      </c>
      <c r="DS57" s="702">
        <v>11.820416666666667</v>
      </c>
      <c r="DT57" s="703">
        <v>12.748273809523811</v>
      </c>
      <c r="DU57" s="704"/>
      <c r="DW57" s="701">
        <v>46</v>
      </c>
      <c r="DX57" s="702">
        <v>0.75826785714285716</v>
      </c>
      <c r="DY57" s="702">
        <v>1.4256785714285716</v>
      </c>
      <c r="DZ57" s="703">
        <v>1.3263928571428572</v>
      </c>
      <c r="EA57" s="704"/>
      <c r="EC57" s="701">
        <v>46</v>
      </c>
      <c r="ED57" s="702">
        <v>13.478333333333333</v>
      </c>
      <c r="EE57" s="702">
        <v>11.66</v>
      </c>
      <c r="EF57" s="703">
        <v>11.888894702380952</v>
      </c>
      <c r="EG57" s="704"/>
      <c r="EI57" s="701">
        <v>46</v>
      </c>
      <c r="EJ57" s="702">
        <v>3.343</v>
      </c>
      <c r="EK57" s="702">
        <v>0.24</v>
      </c>
      <c r="EL57" s="703">
        <v>0.497</v>
      </c>
      <c r="EM57" s="704"/>
      <c r="EO57" s="701">
        <v>46</v>
      </c>
      <c r="EP57" s="702">
        <v>15.709074285714285</v>
      </c>
      <c r="EQ57" s="702">
        <v>12.090571428571428</v>
      </c>
      <c r="ER57" s="703">
        <v>17.86</v>
      </c>
      <c r="ES57" s="704"/>
      <c r="EU57" s="701">
        <v>46</v>
      </c>
      <c r="EV57" s="702">
        <v>8</v>
      </c>
      <c r="EW57" s="702">
        <v>0.25</v>
      </c>
      <c r="EX57" s="703">
        <v>0.25</v>
      </c>
      <c r="EY57" s="704"/>
    </row>
    <row r="58" spans="13:155">
      <c r="M58" s="701">
        <v>47</v>
      </c>
      <c r="N58" s="702">
        <v>28.543768333333333</v>
      </c>
      <c r="O58" s="702">
        <v>53.56757821428571</v>
      </c>
      <c r="P58" s="703">
        <v>91.631583392857138</v>
      </c>
      <c r="Q58" s="704"/>
      <c r="S58" s="701">
        <v>47</v>
      </c>
      <c r="T58" s="702">
        <v>3.4857142857142862</v>
      </c>
      <c r="U58" s="702">
        <v>6.8988095238095246</v>
      </c>
      <c r="V58" s="703">
        <v>3.0785714285714287</v>
      </c>
      <c r="W58" s="704"/>
      <c r="Y58" s="701">
        <v>47</v>
      </c>
      <c r="Z58" s="702">
        <v>11.333264285714284</v>
      </c>
      <c r="AA58" s="702">
        <v>31.916474158415841</v>
      </c>
      <c r="AB58" s="703">
        <v>17.730064516129033</v>
      </c>
      <c r="AC58" s="704"/>
      <c r="AE58" s="701">
        <v>47</v>
      </c>
      <c r="AF58" s="702">
        <v>16.058165595238094</v>
      </c>
      <c r="AG58" s="702">
        <v>23.067689702380953</v>
      </c>
      <c r="AH58" s="703">
        <v>45.121723333333328</v>
      </c>
      <c r="AI58" s="704"/>
      <c r="AK58" s="701">
        <v>47</v>
      </c>
      <c r="AL58" s="702">
        <v>46.268785714285713</v>
      </c>
      <c r="AM58" s="702">
        <v>93.984523809523807</v>
      </c>
      <c r="AN58" s="703">
        <v>45.114255952380951</v>
      </c>
      <c r="AO58" s="704"/>
      <c r="AQ58" s="701">
        <v>47</v>
      </c>
      <c r="AR58" s="702">
        <v>9.0634166666666669</v>
      </c>
      <c r="AS58" s="702">
        <v>31.621130952380952</v>
      </c>
      <c r="AT58" s="703">
        <v>2.051714285714286</v>
      </c>
      <c r="AU58" s="704"/>
      <c r="AW58" s="701">
        <v>47</v>
      </c>
      <c r="AX58" s="702">
        <v>1.351</v>
      </c>
      <c r="AY58" s="702">
        <v>1.3228571428571427</v>
      </c>
      <c r="AZ58" s="703">
        <v>1.235857142857143</v>
      </c>
      <c r="BA58" s="704"/>
      <c r="BC58" s="701">
        <v>47</v>
      </c>
      <c r="BD58" s="702">
        <v>5.2196428571428566</v>
      </c>
      <c r="BE58" s="702">
        <v>7.7166666666666668</v>
      </c>
      <c r="BF58" s="703">
        <v>7.4695923809523812</v>
      </c>
      <c r="BG58" s="704"/>
      <c r="BI58" s="701">
        <v>47</v>
      </c>
      <c r="BJ58" s="702">
        <v>27.404761904761902</v>
      </c>
      <c r="BK58" s="702">
        <v>77.99404761904762</v>
      </c>
      <c r="BL58" s="703">
        <v>126.86309523809523</v>
      </c>
      <c r="BM58" s="704"/>
      <c r="BO58" s="701">
        <v>47</v>
      </c>
      <c r="BP58" s="702">
        <v>5.6749999999999998</v>
      </c>
      <c r="BQ58" s="702">
        <v>9.1660714285714295</v>
      </c>
      <c r="BR58" s="703">
        <v>20.890476190476189</v>
      </c>
      <c r="BS58" s="704"/>
      <c r="BU58" s="701">
        <v>47</v>
      </c>
      <c r="BV58" s="702">
        <v>9.2395238095238099</v>
      </c>
      <c r="BW58" s="702">
        <v>14.072440476190478</v>
      </c>
      <c r="BX58" s="703">
        <v>46.866428571428571</v>
      </c>
      <c r="BY58" s="704"/>
      <c r="CA58" s="701">
        <v>47</v>
      </c>
      <c r="CB58" s="702">
        <v>53.448129999999999</v>
      </c>
      <c r="CC58" s="702">
        <v>80.752222857142854</v>
      </c>
      <c r="CD58" s="703">
        <v>101.42934</v>
      </c>
      <c r="CE58" s="704"/>
      <c r="CG58" s="701">
        <v>47</v>
      </c>
      <c r="CH58" s="702">
        <v>41.693392857142861</v>
      </c>
      <c r="CI58" s="702">
        <v>51.140416666666667</v>
      </c>
      <c r="CJ58" s="703">
        <v>128.9372619047619</v>
      </c>
      <c r="CK58" s="704"/>
      <c r="CM58" s="701">
        <v>47</v>
      </c>
      <c r="CN58" s="702">
        <v>23.517642857142857</v>
      </c>
      <c r="CO58" s="702">
        <v>56.926828809523812</v>
      </c>
      <c r="CP58" s="703">
        <v>109.90070833333331</v>
      </c>
      <c r="CQ58" s="704"/>
      <c r="CS58" s="701">
        <v>47</v>
      </c>
      <c r="CT58" s="702">
        <v>7.5</v>
      </c>
      <c r="CU58" s="702">
        <v>9.6809523809523803</v>
      </c>
      <c r="CV58" s="703">
        <v>10.65952380952381</v>
      </c>
      <c r="CW58" s="704"/>
      <c r="CY58" s="701">
        <v>47</v>
      </c>
      <c r="CZ58" s="702">
        <v>0</v>
      </c>
      <c r="DA58" s="702">
        <v>0</v>
      </c>
      <c r="DB58" s="703">
        <v>3.0009999999999999</v>
      </c>
      <c r="DC58" s="704">
        <v>0.308</v>
      </c>
      <c r="DE58" s="701"/>
      <c r="DF58" s="701">
        <v>47</v>
      </c>
      <c r="DG58" s="702">
        <v>0.37128571428571427</v>
      </c>
      <c r="DH58" s="703">
        <v>0</v>
      </c>
      <c r="DI58" s="704">
        <v>2.0692857142857144</v>
      </c>
      <c r="DK58" s="701">
        <v>47</v>
      </c>
      <c r="DL58" s="702">
        <v>0.80700000000000005</v>
      </c>
      <c r="DM58" s="702">
        <v>1.749857142857143</v>
      </c>
      <c r="DN58" s="703">
        <v>1.35</v>
      </c>
      <c r="DO58" s="704"/>
      <c r="DQ58" s="701">
        <v>47</v>
      </c>
      <c r="DR58" s="702">
        <v>12.869702380952381</v>
      </c>
      <c r="DS58" s="702">
        <v>11.851798611111112</v>
      </c>
      <c r="DT58" s="703">
        <v>12.787321428571428</v>
      </c>
      <c r="DU58" s="704"/>
      <c r="DW58" s="701">
        <v>47</v>
      </c>
      <c r="DX58" s="702">
        <v>0.76702976190476191</v>
      </c>
      <c r="DY58" s="702">
        <v>1.4621904761904763</v>
      </c>
      <c r="DZ58" s="703">
        <v>1.4328809523809523</v>
      </c>
      <c r="EA58" s="704"/>
      <c r="EC58" s="701">
        <v>47</v>
      </c>
      <c r="ED58" s="702">
        <v>12.83388888888889</v>
      </c>
      <c r="EE58" s="702">
        <v>7.641346153846154</v>
      </c>
      <c r="EF58" s="703">
        <v>11.965771700680271</v>
      </c>
      <c r="EG58" s="704"/>
      <c r="EI58" s="701">
        <v>47</v>
      </c>
      <c r="EJ58" s="702">
        <v>1.6451428571428572</v>
      </c>
      <c r="EK58" s="702">
        <v>0.24</v>
      </c>
      <c r="EL58" s="703">
        <v>0.47914285714285715</v>
      </c>
      <c r="EM58" s="704"/>
      <c r="EO58" s="701">
        <v>47</v>
      </c>
      <c r="EP58" s="702">
        <v>15.157857142857143</v>
      </c>
      <c r="EQ58" s="702">
        <v>9.1414285714285715</v>
      </c>
      <c r="ER58" s="703">
        <v>15.105714285714285</v>
      </c>
      <c r="ES58" s="704"/>
      <c r="EU58" s="701">
        <v>47</v>
      </c>
      <c r="EV58" s="702">
        <v>8</v>
      </c>
      <c r="EW58" s="702">
        <v>0.25</v>
      </c>
      <c r="EX58" s="703">
        <v>0.25</v>
      </c>
      <c r="EY58" s="704"/>
    </row>
    <row r="59" spans="13:155">
      <c r="M59" s="701">
        <v>48</v>
      </c>
      <c r="N59" s="702">
        <v>16.07927732142857</v>
      </c>
      <c r="O59" s="702">
        <v>86.30591428571428</v>
      </c>
      <c r="P59" s="703">
        <v>149.89897238095239</v>
      </c>
      <c r="Q59" s="704"/>
      <c r="S59" s="701">
        <v>48</v>
      </c>
      <c r="T59" s="702">
        <v>3.4402777777777782</v>
      </c>
      <c r="U59" s="702">
        <v>7.0732142857142852</v>
      </c>
      <c r="V59" s="703">
        <v>3.1541666666666668</v>
      </c>
      <c r="W59" s="704"/>
      <c r="Y59" s="701">
        <v>48</v>
      </c>
      <c r="Z59" s="702">
        <v>11.195039523809525</v>
      </c>
      <c r="AA59" s="702">
        <v>30.612757756410254</v>
      </c>
      <c r="AB59" s="703">
        <v>30.286987457627117</v>
      </c>
      <c r="AC59" s="704"/>
      <c r="AE59" s="701">
        <v>48</v>
      </c>
      <c r="AF59" s="702">
        <v>11.431945595238096</v>
      </c>
      <c r="AG59" s="702">
        <v>48.868549107142854</v>
      </c>
      <c r="AH59" s="703">
        <v>49.876342678571433</v>
      </c>
      <c r="AI59" s="704"/>
      <c r="AK59" s="701">
        <v>48</v>
      </c>
      <c r="AL59" s="702">
        <v>45.241041666666668</v>
      </c>
      <c r="AM59" s="702">
        <v>75.532809523809519</v>
      </c>
      <c r="AN59" s="703">
        <v>74.079982142857133</v>
      </c>
      <c r="AO59" s="704"/>
      <c r="AQ59" s="701">
        <v>48</v>
      </c>
      <c r="AR59" s="702">
        <v>7.7819821428571432</v>
      </c>
      <c r="AS59" s="702">
        <v>13.612142857142857</v>
      </c>
      <c r="AT59" s="703">
        <v>2.5101726190476192</v>
      </c>
      <c r="AU59" s="704"/>
      <c r="AW59" s="701">
        <v>48</v>
      </c>
      <c r="AX59" s="702">
        <v>1.351</v>
      </c>
      <c r="AY59" s="702">
        <v>1.4121428571428571</v>
      </c>
      <c r="AZ59" s="703">
        <v>1.7508333333333332</v>
      </c>
      <c r="BA59" s="704"/>
      <c r="BC59" s="701">
        <v>48</v>
      </c>
      <c r="BD59" s="702">
        <v>5.7077380952380956</v>
      </c>
      <c r="BE59" s="702">
        <v>11.59642857142857</v>
      </c>
      <c r="BF59" s="703">
        <v>15.011999047619048</v>
      </c>
      <c r="BG59" s="704"/>
      <c r="BI59" s="701">
        <v>48</v>
      </c>
      <c r="BJ59" s="702">
        <v>25.464285714285715</v>
      </c>
      <c r="BK59" s="702">
        <v>122.74404761904762</v>
      </c>
      <c r="BL59" s="703">
        <v>126.81547619047618</v>
      </c>
      <c r="BM59" s="704"/>
      <c r="BO59" s="701">
        <v>48</v>
      </c>
      <c r="BP59" s="702">
        <v>5.2589285714285712</v>
      </c>
      <c r="BQ59" s="702">
        <v>16.342857142857145</v>
      </c>
      <c r="BR59" s="703">
        <v>20.482738095238094</v>
      </c>
      <c r="BS59" s="704"/>
      <c r="BU59" s="701">
        <v>48</v>
      </c>
      <c r="BV59" s="702">
        <v>9.7901785714285712</v>
      </c>
      <c r="BW59" s="702">
        <v>24.205357142857142</v>
      </c>
      <c r="BX59" s="703">
        <v>43.280972222222225</v>
      </c>
      <c r="BY59" s="704"/>
      <c r="CA59" s="701">
        <v>48</v>
      </c>
      <c r="CB59" s="702">
        <v>48.331787142857145</v>
      </c>
      <c r="CC59" s="702">
        <v>123.04107285714285</v>
      </c>
      <c r="CD59" s="703">
        <v>148.29280428571428</v>
      </c>
      <c r="CE59" s="704"/>
      <c r="CG59" s="701">
        <v>48</v>
      </c>
      <c r="CH59" s="702">
        <v>40.391785714285717</v>
      </c>
      <c r="CI59" s="702">
        <v>96.677976190476187</v>
      </c>
      <c r="CJ59" s="703">
        <v>131.65976190476189</v>
      </c>
      <c r="CK59" s="704"/>
      <c r="CM59" s="701">
        <v>48</v>
      </c>
      <c r="CN59" s="702">
        <v>19.952767857142856</v>
      </c>
      <c r="CO59" s="702">
        <v>87.944065476190474</v>
      </c>
      <c r="CP59" s="703">
        <v>169.32457738095238</v>
      </c>
      <c r="CQ59" s="704"/>
      <c r="CS59" s="701">
        <v>48</v>
      </c>
      <c r="CT59" s="702">
        <v>7.9285714285714288</v>
      </c>
      <c r="CU59" s="702">
        <v>24.856547619047618</v>
      </c>
      <c r="CV59" s="703">
        <v>18.882738095238093</v>
      </c>
      <c r="CW59" s="704"/>
      <c r="CY59" s="701">
        <v>48</v>
      </c>
      <c r="CZ59" s="702">
        <v>0</v>
      </c>
      <c r="DA59" s="702">
        <v>0</v>
      </c>
      <c r="DB59" s="703">
        <v>6.1790000000000003</v>
      </c>
      <c r="DC59" s="704">
        <v>0.308</v>
      </c>
      <c r="DE59" s="701"/>
      <c r="DF59" s="701">
        <v>48</v>
      </c>
      <c r="DG59" s="702">
        <v>1.6001428571428573</v>
      </c>
      <c r="DH59" s="703">
        <v>0</v>
      </c>
      <c r="DI59" s="704">
        <v>2.278</v>
      </c>
      <c r="DK59" s="701">
        <v>48</v>
      </c>
      <c r="DL59" s="702">
        <v>0.80700000000000005</v>
      </c>
      <c r="DM59" s="702">
        <v>0.80700000000000005</v>
      </c>
      <c r="DN59" s="703">
        <v>0.73285714285714287</v>
      </c>
      <c r="DO59" s="704"/>
      <c r="DQ59" s="701">
        <v>48</v>
      </c>
      <c r="DR59" s="702">
        <v>12.914761904761905</v>
      </c>
      <c r="DS59" s="702">
        <v>11.712321428571428</v>
      </c>
      <c r="DT59" s="703">
        <v>12.898571428571428</v>
      </c>
      <c r="DU59" s="704"/>
      <c r="DW59" s="701">
        <v>48</v>
      </c>
      <c r="DX59" s="702">
        <v>0.78655952380952388</v>
      </c>
      <c r="DY59" s="702">
        <v>1.3380416666666666</v>
      </c>
      <c r="DZ59" s="703">
        <v>1.3944583333333334</v>
      </c>
      <c r="EA59" s="704"/>
      <c r="EC59" s="701">
        <v>48</v>
      </c>
      <c r="ED59" s="702">
        <v>11.984999999999999</v>
      </c>
      <c r="EE59" s="702">
        <v>4.0650000000000004</v>
      </c>
      <c r="EF59" s="703">
        <v>4.5906946721311481</v>
      </c>
      <c r="EG59" s="704"/>
      <c r="EI59" s="701">
        <v>48</v>
      </c>
      <c r="EJ59" s="702">
        <v>1.0308571428571429</v>
      </c>
      <c r="EK59" s="702">
        <v>0.24</v>
      </c>
      <c r="EL59" s="703">
        <v>0.372</v>
      </c>
      <c r="EM59" s="704"/>
      <c r="EO59" s="701">
        <v>48</v>
      </c>
      <c r="EP59" s="702">
        <v>13.044571428571428</v>
      </c>
      <c r="EQ59" s="702">
        <v>7.5495714285714293</v>
      </c>
      <c r="ER59" s="703">
        <v>6.37</v>
      </c>
      <c r="ES59" s="704"/>
      <c r="EU59" s="701">
        <v>48</v>
      </c>
      <c r="EV59" s="702">
        <v>8</v>
      </c>
      <c r="EW59" s="702">
        <v>0.25</v>
      </c>
      <c r="EX59" s="703">
        <v>0.25</v>
      </c>
      <c r="EY59" s="704"/>
    </row>
    <row r="60" spans="13:155">
      <c r="M60" s="701">
        <v>49</v>
      </c>
      <c r="N60" s="702">
        <v>21.426785357142855</v>
      </c>
      <c r="O60" s="702">
        <v>113.05152410714285</v>
      </c>
      <c r="P60" s="703">
        <v>132.23053339285715</v>
      </c>
      <c r="Q60" s="704"/>
      <c r="S60" s="701">
        <v>49</v>
      </c>
      <c r="T60" s="702">
        <v>3.3345238095238097</v>
      </c>
      <c r="U60" s="702">
        <v>9.0738095238095244</v>
      </c>
      <c r="V60" s="703">
        <v>6.9988095238095243</v>
      </c>
      <c r="W60" s="704"/>
      <c r="Y60" s="701">
        <v>49</v>
      </c>
      <c r="Z60" s="702">
        <v>11.129731904761906</v>
      </c>
      <c r="AA60" s="702">
        <v>34.605886149068326</v>
      </c>
      <c r="AB60" s="703">
        <v>37.649666956521735</v>
      </c>
      <c r="AC60" s="704"/>
      <c r="AE60" s="701">
        <v>49</v>
      </c>
      <c r="AF60" s="702">
        <v>9.678704166666666</v>
      </c>
      <c r="AG60" s="702">
        <v>53.325288273809527</v>
      </c>
      <c r="AH60" s="703">
        <v>40.876785119047625</v>
      </c>
      <c r="AI60" s="704"/>
      <c r="AK60" s="701">
        <v>49</v>
      </c>
      <c r="AL60" s="702">
        <v>43.305982142857147</v>
      </c>
      <c r="AM60" s="702">
        <v>112.09435714285713</v>
      </c>
      <c r="AN60" s="703">
        <v>96.931940476190476</v>
      </c>
      <c r="AO60" s="704"/>
      <c r="AQ60" s="701">
        <v>49</v>
      </c>
      <c r="AR60" s="702">
        <v>6.0246488095238098</v>
      </c>
      <c r="AS60" s="702">
        <v>15.010238095238096</v>
      </c>
      <c r="AT60" s="703">
        <v>4.0547559523809529</v>
      </c>
      <c r="AU60" s="704"/>
      <c r="AW60" s="701">
        <v>49</v>
      </c>
      <c r="AX60" s="702">
        <v>1.3818142857142859</v>
      </c>
      <c r="AY60" s="702">
        <v>1.2674285714285713</v>
      </c>
      <c r="AZ60" s="703">
        <v>1.7592857142857143</v>
      </c>
      <c r="BA60" s="704"/>
      <c r="BC60" s="701">
        <v>49</v>
      </c>
      <c r="BD60" s="702">
        <v>6.1595238095238098</v>
      </c>
      <c r="BE60" s="702">
        <v>19.209523809523809</v>
      </c>
      <c r="BF60" s="703">
        <v>14.967857142857142</v>
      </c>
      <c r="BG60" s="704"/>
      <c r="BI60" s="701">
        <v>49</v>
      </c>
      <c r="BJ60" s="702">
        <v>26.208333333333336</v>
      </c>
      <c r="BK60" s="702">
        <v>119.83928571428571</v>
      </c>
      <c r="BL60" s="703">
        <v>100.17261904761905</v>
      </c>
      <c r="BM60" s="704"/>
      <c r="BO60" s="701">
        <v>49</v>
      </c>
      <c r="BP60" s="702">
        <v>4.6136904761904765</v>
      </c>
      <c r="BQ60" s="702">
        <v>15.19047619047619</v>
      </c>
      <c r="BR60" s="703">
        <v>14.745833333333334</v>
      </c>
      <c r="BS60" s="704"/>
      <c r="BU60" s="701">
        <v>49</v>
      </c>
      <c r="BV60" s="702">
        <v>10.627678571428572</v>
      </c>
      <c r="BW60" s="702">
        <v>35.366488095238097</v>
      </c>
      <c r="BX60" s="703">
        <v>33.165654761904761</v>
      </c>
      <c r="BY60" s="704"/>
      <c r="CA60" s="701">
        <v>49</v>
      </c>
      <c r="CB60" s="702">
        <v>48.971171428571424</v>
      </c>
      <c r="CC60" s="702">
        <v>152.37889952380951</v>
      </c>
      <c r="CD60" s="703">
        <v>188.66927714285714</v>
      </c>
      <c r="CE60" s="704"/>
      <c r="CG60" s="701">
        <v>49</v>
      </c>
      <c r="CH60" s="702">
        <v>41.594166666666666</v>
      </c>
      <c r="CI60" s="702">
        <v>138.47607142857143</v>
      </c>
      <c r="CJ60" s="703">
        <v>110.02577380952381</v>
      </c>
      <c r="CK60" s="704"/>
      <c r="CM60" s="701">
        <v>49</v>
      </c>
      <c r="CN60" s="702">
        <v>18.699880952380951</v>
      </c>
      <c r="CO60" s="702">
        <v>114.37211404761904</v>
      </c>
      <c r="CP60" s="703">
        <v>142.88656005952379</v>
      </c>
      <c r="CQ60" s="704"/>
      <c r="CS60" s="701">
        <v>49</v>
      </c>
      <c r="CT60" s="702">
        <v>7.5857142857142863</v>
      </c>
      <c r="CU60" s="702">
        <v>44.813690476190473</v>
      </c>
      <c r="CV60" s="703">
        <v>40.543452380952374</v>
      </c>
      <c r="CW60" s="704"/>
      <c r="CY60" s="701">
        <v>49</v>
      </c>
      <c r="CZ60" s="702">
        <v>0</v>
      </c>
      <c r="DA60" s="702">
        <v>0</v>
      </c>
      <c r="DB60" s="703">
        <v>6.1790000000000003</v>
      </c>
      <c r="DC60" s="704">
        <v>0.308</v>
      </c>
      <c r="DE60" s="701"/>
      <c r="DF60" s="701">
        <v>49</v>
      </c>
      <c r="DG60" s="702">
        <v>0.2</v>
      </c>
      <c r="DH60" s="703">
        <v>0</v>
      </c>
      <c r="DI60" s="704">
        <v>0.43742857142857144</v>
      </c>
      <c r="DK60" s="701">
        <v>49</v>
      </c>
      <c r="DL60" s="702">
        <v>0.80700000000000005</v>
      </c>
      <c r="DM60" s="702">
        <v>0.80700000000000005</v>
      </c>
      <c r="DN60" s="703">
        <v>0.63</v>
      </c>
      <c r="DO60" s="704"/>
      <c r="DQ60" s="701">
        <v>49</v>
      </c>
      <c r="DR60" s="702">
        <v>13.072690476190475</v>
      </c>
      <c r="DS60" s="702">
        <v>10.803392857142857</v>
      </c>
      <c r="DT60" s="703">
        <v>12.657380952380951</v>
      </c>
      <c r="DU60" s="704"/>
      <c r="DW60" s="701">
        <v>49</v>
      </c>
      <c r="DX60" s="702">
        <v>0.79577380952380949</v>
      </c>
      <c r="DY60" s="702">
        <v>1.4183630952380952</v>
      </c>
      <c r="DZ60" s="703">
        <v>1.3856845238095239</v>
      </c>
      <c r="EA60" s="704"/>
      <c r="EC60" s="701">
        <v>49</v>
      </c>
      <c r="ED60" s="702">
        <v>13.492777777777778</v>
      </c>
      <c r="EE60" s="702">
        <v>1.0900000000000001</v>
      </c>
      <c r="EF60" s="703">
        <v>0.70799999999999996</v>
      </c>
      <c r="EG60" s="704"/>
      <c r="EI60" s="701">
        <v>49</v>
      </c>
      <c r="EJ60" s="702">
        <v>0.98799999999999999</v>
      </c>
      <c r="EK60" s="702">
        <v>0.24</v>
      </c>
      <c r="EL60" s="703">
        <v>0.372</v>
      </c>
      <c r="EM60" s="704"/>
      <c r="EO60" s="701">
        <v>49</v>
      </c>
      <c r="EP60" s="702">
        <v>9.899285714285714</v>
      </c>
      <c r="EQ60" s="702">
        <v>8.0542857142857134</v>
      </c>
      <c r="ER60" s="703">
        <v>3.7757142857142862</v>
      </c>
      <c r="ES60" s="704"/>
      <c r="EU60" s="701">
        <v>49</v>
      </c>
      <c r="EV60" s="702">
        <v>4.7678571428571432</v>
      </c>
      <c r="EW60" s="702">
        <v>0.25</v>
      </c>
      <c r="EX60" s="703">
        <v>0.25</v>
      </c>
      <c r="EY60" s="704"/>
    </row>
    <row r="61" spans="13:155">
      <c r="M61" s="701">
        <v>50</v>
      </c>
      <c r="N61" s="702">
        <v>32.50136761904762</v>
      </c>
      <c r="O61" s="702">
        <v>108.58853613095238</v>
      </c>
      <c r="P61" s="703">
        <v>135.52681000000001</v>
      </c>
      <c r="Q61" s="704"/>
      <c r="S61" s="701">
        <v>50</v>
      </c>
      <c r="T61" s="702">
        <v>2.9571428571428569</v>
      </c>
      <c r="U61" s="702">
        <v>9.4107142857142865</v>
      </c>
      <c r="V61" s="703">
        <v>12.689285714285713</v>
      </c>
      <c r="W61" s="704"/>
      <c r="Y61" s="701">
        <v>50</v>
      </c>
      <c r="Z61" s="702">
        <v>12.840785500000001</v>
      </c>
      <c r="AA61" s="702">
        <v>35.838043357664233</v>
      </c>
      <c r="AB61" s="703">
        <v>38.216720562500001</v>
      </c>
      <c r="AC61" s="704"/>
      <c r="AE61" s="701">
        <v>50</v>
      </c>
      <c r="AF61" s="702">
        <v>27.661739702380952</v>
      </c>
      <c r="AG61" s="702">
        <v>60.840097083333326</v>
      </c>
      <c r="AH61" s="703">
        <v>44.160467797619049</v>
      </c>
      <c r="AI61" s="704"/>
      <c r="AK61" s="701">
        <v>50</v>
      </c>
      <c r="AL61" s="702">
        <v>46.609410714285708</v>
      </c>
      <c r="AM61" s="702">
        <v>108.04799404761906</v>
      </c>
      <c r="AN61" s="703">
        <v>101.34713888888889</v>
      </c>
      <c r="AO61" s="704"/>
      <c r="AQ61" s="701">
        <v>50</v>
      </c>
      <c r="AR61" s="702">
        <v>10.802732142857144</v>
      </c>
      <c r="AS61" s="702">
        <v>14.624047619047619</v>
      </c>
      <c r="AT61" s="703">
        <v>6.4543125000000003</v>
      </c>
      <c r="AU61" s="704"/>
      <c r="AW61" s="701">
        <v>50</v>
      </c>
      <c r="AX61" s="702">
        <v>2.3402857142857143</v>
      </c>
      <c r="AY61" s="702">
        <v>1.6844285714285716</v>
      </c>
      <c r="AZ61" s="703">
        <v>1.3351428571428572</v>
      </c>
      <c r="BA61" s="704"/>
      <c r="BC61" s="701">
        <v>50</v>
      </c>
      <c r="BD61" s="702">
        <v>8.2303571428571427</v>
      </c>
      <c r="BE61" s="702">
        <v>19.223809523809525</v>
      </c>
      <c r="BF61" s="703">
        <v>15.783928095238094</v>
      </c>
      <c r="BG61" s="704"/>
      <c r="BI61" s="701">
        <v>50</v>
      </c>
      <c r="BJ61" s="702">
        <v>47.559523809523803</v>
      </c>
      <c r="BK61" s="702">
        <v>121.60714285714285</v>
      </c>
      <c r="BL61" s="703">
        <v>120.10119047619047</v>
      </c>
      <c r="BM61" s="704"/>
      <c r="BO61" s="701">
        <v>50</v>
      </c>
      <c r="BP61" s="702">
        <v>9.3255952380952376</v>
      </c>
      <c r="BQ61" s="702">
        <v>16.935714285714283</v>
      </c>
      <c r="BR61" s="703">
        <v>18.530952380952382</v>
      </c>
      <c r="BS61" s="704"/>
      <c r="BU61" s="701">
        <v>50</v>
      </c>
      <c r="BV61" s="702">
        <v>13.905297619047619</v>
      </c>
      <c r="BW61" s="702">
        <v>36.928095238095239</v>
      </c>
      <c r="BX61" s="703">
        <v>49.125476190476185</v>
      </c>
      <c r="BY61" s="704"/>
      <c r="CA61" s="701">
        <v>50</v>
      </c>
      <c r="CB61" s="702">
        <v>58.229397142857138</v>
      </c>
      <c r="CC61" s="702">
        <v>146.61115999999998</v>
      </c>
      <c r="CD61" s="703">
        <v>185.97834714285713</v>
      </c>
      <c r="CE61" s="704"/>
      <c r="CG61" s="701">
        <v>50</v>
      </c>
      <c r="CH61" s="702">
        <v>44.29053571428571</v>
      </c>
      <c r="CI61" s="702">
        <v>173.01172619047617</v>
      </c>
      <c r="CJ61" s="703">
        <v>125.49315476190476</v>
      </c>
      <c r="CK61" s="704"/>
      <c r="CM61" s="701">
        <v>50</v>
      </c>
      <c r="CN61" s="702">
        <v>39.400773809523812</v>
      </c>
      <c r="CO61" s="702">
        <v>124.79684440476188</v>
      </c>
      <c r="CP61" s="703">
        <v>135.75480071428572</v>
      </c>
      <c r="CQ61" s="704"/>
      <c r="CS61" s="701">
        <v>50</v>
      </c>
      <c r="CT61" s="702">
        <v>8.7535714285714281</v>
      </c>
      <c r="CU61" s="702">
        <v>26.686309523809523</v>
      </c>
      <c r="CV61" s="703">
        <v>24.372619047619047</v>
      </c>
      <c r="CW61" s="704"/>
      <c r="CY61" s="701">
        <v>50</v>
      </c>
      <c r="CZ61" s="702">
        <v>0</v>
      </c>
      <c r="DA61" s="702">
        <v>0</v>
      </c>
      <c r="DB61" s="703">
        <v>0</v>
      </c>
      <c r="DC61" s="704">
        <v>0.308</v>
      </c>
      <c r="DE61" s="701"/>
      <c r="DF61" s="701">
        <v>50</v>
      </c>
      <c r="DG61" s="702">
        <v>0</v>
      </c>
      <c r="DH61" s="703">
        <v>0</v>
      </c>
      <c r="DI61" s="704">
        <v>0</v>
      </c>
      <c r="DK61" s="701">
        <v>50</v>
      </c>
      <c r="DL61" s="702">
        <v>0.80700000000000005</v>
      </c>
      <c r="DM61" s="702">
        <v>0.96414285714285719</v>
      </c>
      <c r="DN61" s="703">
        <v>0.6657142857142857</v>
      </c>
      <c r="DO61" s="704"/>
      <c r="DQ61" s="701">
        <v>50</v>
      </c>
      <c r="DR61" s="702">
        <v>12.378571428571428</v>
      </c>
      <c r="DS61" s="702">
        <v>10.743154761904762</v>
      </c>
      <c r="DT61" s="703">
        <v>12.706309523809523</v>
      </c>
      <c r="DU61" s="704"/>
      <c r="DW61" s="701">
        <v>50</v>
      </c>
      <c r="DX61" s="702">
        <v>0.80280357142857151</v>
      </c>
      <c r="DY61" s="702">
        <v>1.4119880952380952</v>
      </c>
      <c r="DZ61" s="703">
        <v>1.4567023809523809</v>
      </c>
      <c r="EA61" s="704"/>
      <c r="EC61" s="701">
        <v>50</v>
      </c>
      <c r="ED61" s="702">
        <v>10.759871794871795</v>
      </c>
      <c r="EE61" s="702">
        <v>0.99</v>
      </c>
      <c r="EF61" s="703">
        <v>0.72</v>
      </c>
      <c r="EG61" s="704"/>
      <c r="EI61" s="701">
        <v>50</v>
      </c>
      <c r="EJ61" s="702"/>
      <c r="EK61" s="702">
        <v>0.24</v>
      </c>
      <c r="EL61" s="703">
        <v>0.372</v>
      </c>
      <c r="EM61" s="704"/>
      <c r="EO61" s="701">
        <v>50</v>
      </c>
      <c r="EP61" s="702">
        <v>8.4579514285714286</v>
      </c>
      <c r="EQ61" s="702">
        <v>8.194285714285714</v>
      </c>
      <c r="ER61" s="703">
        <v>5.1242857142857146</v>
      </c>
      <c r="ES61" s="704"/>
      <c r="EU61" s="701">
        <v>50</v>
      </c>
      <c r="EV61" s="702">
        <v>0.25</v>
      </c>
      <c r="EW61" s="702">
        <v>0.25</v>
      </c>
      <c r="EX61" s="703">
        <v>0.25</v>
      </c>
      <c r="EY61" s="704"/>
    </row>
    <row r="62" spans="13:155">
      <c r="M62" s="701">
        <v>51</v>
      </c>
      <c r="N62" s="702">
        <v>67.459739464285718</v>
      </c>
      <c r="O62" s="702">
        <v>143.51373023809523</v>
      </c>
      <c r="P62" s="703">
        <v>145.39447267857142</v>
      </c>
      <c r="Q62" s="704"/>
      <c r="S62" s="701">
        <v>51</v>
      </c>
      <c r="T62" s="702">
        <v>3.7464285714285714</v>
      </c>
      <c r="U62" s="702">
        <v>9.9922619047619037</v>
      </c>
      <c r="V62" s="703">
        <v>11.65952380952381</v>
      </c>
      <c r="W62" s="704"/>
      <c r="Y62" s="701">
        <v>51</v>
      </c>
      <c r="Z62" s="702">
        <v>21.320983571428574</v>
      </c>
      <c r="AA62" s="702">
        <v>53.486112547770702</v>
      </c>
      <c r="AB62" s="703">
        <v>55.853167264957264</v>
      </c>
      <c r="AC62" s="704"/>
      <c r="AE62" s="701">
        <v>51</v>
      </c>
      <c r="AF62" s="702">
        <v>32.688035892857144</v>
      </c>
      <c r="AG62" s="702">
        <v>63.815930119047614</v>
      </c>
      <c r="AH62" s="703">
        <v>71.789236547619041</v>
      </c>
      <c r="AI62" s="704"/>
      <c r="AK62" s="701">
        <v>51</v>
      </c>
      <c r="AL62" s="702">
        <v>70.499910714285704</v>
      </c>
      <c r="AM62" s="702">
        <v>146.68142857142857</v>
      </c>
      <c r="AN62" s="703">
        <v>102.51620833333332</v>
      </c>
      <c r="AO62" s="704"/>
      <c r="AQ62" s="701">
        <v>51</v>
      </c>
      <c r="AR62" s="702">
        <v>13.547023809523809</v>
      </c>
      <c r="AS62" s="702">
        <v>66.382773809523812</v>
      </c>
      <c r="AT62" s="703">
        <v>7.5661726190476193</v>
      </c>
      <c r="AU62" s="704"/>
      <c r="AW62" s="701">
        <v>51</v>
      </c>
      <c r="AX62" s="702">
        <v>2.1075714285714287</v>
      </c>
      <c r="AY62" s="702">
        <v>1.6027142857142858</v>
      </c>
      <c r="AZ62" s="703">
        <v>1.5354285714285716</v>
      </c>
      <c r="BA62" s="704"/>
      <c r="BC62" s="701">
        <v>51</v>
      </c>
      <c r="BD62" s="702">
        <v>10.147222222222222</v>
      </c>
      <c r="BE62" s="702">
        <v>21.12797619047619</v>
      </c>
      <c r="BF62" s="703">
        <v>24.151787142857142</v>
      </c>
      <c r="BG62" s="704"/>
      <c r="BI62" s="701">
        <v>51</v>
      </c>
      <c r="BJ62" s="702">
        <v>76.803571428571431</v>
      </c>
      <c r="BK62" s="702">
        <v>159.13690476190476</v>
      </c>
      <c r="BL62" s="703">
        <v>151.67261904761904</v>
      </c>
      <c r="BM62" s="704"/>
      <c r="BO62" s="701">
        <v>51</v>
      </c>
      <c r="BP62" s="702">
        <v>11.790476190476189</v>
      </c>
      <c r="BQ62" s="702">
        <v>22.553571428571431</v>
      </c>
      <c r="BR62" s="703">
        <v>41.13928571428572</v>
      </c>
      <c r="BS62" s="704"/>
      <c r="BU62" s="701">
        <v>51</v>
      </c>
      <c r="BV62" s="702">
        <v>18.10029761904762</v>
      </c>
      <c r="BW62" s="702">
        <v>48.658809523809524</v>
      </c>
      <c r="BX62" s="703">
        <v>22.373595238095238</v>
      </c>
      <c r="BY62" s="704"/>
      <c r="CA62" s="701">
        <v>51</v>
      </c>
      <c r="CB62" s="702">
        <v>75.462731428571431</v>
      </c>
      <c r="CC62" s="702">
        <v>155.44956999999999</v>
      </c>
      <c r="CD62" s="703">
        <v>423.4351871428571</v>
      </c>
      <c r="CE62" s="704"/>
      <c r="CG62" s="701">
        <v>51</v>
      </c>
      <c r="CH62" s="702">
        <v>58.199166666666663</v>
      </c>
      <c r="CI62" s="702">
        <v>260.03505952380954</v>
      </c>
      <c r="CJ62" s="703">
        <v>137.36000000000001</v>
      </c>
      <c r="CK62" s="704"/>
      <c r="CM62" s="701">
        <v>51</v>
      </c>
      <c r="CN62" s="702">
        <v>63.892113095238095</v>
      </c>
      <c r="CO62" s="702">
        <v>186.05912499999999</v>
      </c>
      <c r="CP62" s="703">
        <v>290.37373559523809</v>
      </c>
      <c r="CQ62" s="704"/>
      <c r="CS62" s="701">
        <v>51</v>
      </c>
      <c r="CT62" s="702">
        <v>14.265476190476191</v>
      </c>
      <c r="CU62" s="702">
        <v>38.479166666666664</v>
      </c>
      <c r="CV62" s="703">
        <v>38.110119047619044</v>
      </c>
      <c r="CW62" s="704"/>
      <c r="CY62" s="701">
        <v>51</v>
      </c>
      <c r="CZ62" s="702">
        <v>0</v>
      </c>
      <c r="DA62" s="702">
        <v>0</v>
      </c>
      <c r="DB62" s="703">
        <v>0</v>
      </c>
      <c r="DC62" s="704">
        <v>0.308</v>
      </c>
      <c r="DE62" s="701"/>
      <c r="DF62" s="701">
        <v>51</v>
      </c>
      <c r="DG62" s="702">
        <v>0</v>
      </c>
      <c r="DH62" s="703">
        <v>0</v>
      </c>
      <c r="DI62" s="704">
        <v>0</v>
      </c>
      <c r="DK62" s="701">
        <v>51</v>
      </c>
      <c r="DL62" s="702">
        <v>0.80700000000000005</v>
      </c>
      <c r="DM62" s="702">
        <v>1.907</v>
      </c>
      <c r="DN62" s="703">
        <v>0.63</v>
      </c>
      <c r="DO62" s="704"/>
      <c r="DQ62" s="701">
        <v>51</v>
      </c>
      <c r="DR62" s="702">
        <v>13.595178571428573</v>
      </c>
      <c r="DS62" s="702">
        <v>10.923154761904762</v>
      </c>
      <c r="DT62" s="703">
        <v>12.748869047619047</v>
      </c>
      <c r="DU62" s="704"/>
      <c r="DW62" s="701">
        <v>51</v>
      </c>
      <c r="DX62" s="702">
        <v>0.65187499999999998</v>
      </c>
      <c r="DY62" s="702">
        <v>1.4390595238095238</v>
      </c>
      <c r="DZ62" s="703">
        <v>1.4755773809523809</v>
      </c>
      <c r="EA62" s="704"/>
      <c r="EC62" s="701">
        <v>51</v>
      </c>
      <c r="ED62" s="702">
        <v>4.9118181818181821</v>
      </c>
      <c r="EE62" s="702">
        <v>0.99</v>
      </c>
      <c r="EF62" s="703">
        <v>2.1512500000000001</v>
      </c>
      <c r="EG62" s="704"/>
      <c r="EI62" s="701">
        <v>51</v>
      </c>
      <c r="EJ62" s="702">
        <v>0.78371428571428581</v>
      </c>
      <c r="EK62" s="702">
        <v>0.24</v>
      </c>
      <c r="EL62" s="703">
        <v>0.372</v>
      </c>
      <c r="EM62" s="704"/>
      <c r="EO62" s="701">
        <v>51</v>
      </c>
      <c r="EP62" s="702">
        <v>7.6372857142857145</v>
      </c>
      <c r="EQ62" s="702">
        <v>2.7100000000000004</v>
      </c>
      <c r="ER62" s="703">
        <v>6.0968228571428575</v>
      </c>
      <c r="ES62" s="704"/>
      <c r="EU62" s="701">
        <v>51</v>
      </c>
      <c r="EV62" s="702">
        <v>0.25</v>
      </c>
      <c r="EW62" s="702">
        <v>0.25</v>
      </c>
      <c r="EX62" s="703">
        <v>0.25</v>
      </c>
      <c r="EY62" s="704"/>
    </row>
    <row r="63" spans="13:155">
      <c r="M63" s="701">
        <v>52</v>
      </c>
      <c r="N63" s="702">
        <v>52.813264107142849</v>
      </c>
      <c r="O63" s="702">
        <v>144.67696273809523</v>
      </c>
      <c r="P63" s="703">
        <v>141.06442434523808</v>
      </c>
      <c r="Q63" s="704"/>
      <c r="S63" s="701">
        <v>52</v>
      </c>
      <c r="T63" s="702">
        <v>6.6136904761904765</v>
      </c>
      <c r="U63" s="702">
        <v>9.9327380952380935</v>
      </c>
      <c r="V63" s="703">
        <v>9.2511904761904766</v>
      </c>
      <c r="W63" s="704"/>
      <c r="Y63" s="701">
        <v>52</v>
      </c>
      <c r="Z63" s="702">
        <v>21.275355000000001</v>
      </c>
      <c r="AA63" s="702">
        <v>42.778020745341614</v>
      </c>
      <c r="AB63" s="703">
        <v>46.466699708029196</v>
      </c>
      <c r="AC63" s="704"/>
      <c r="AE63" s="701">
        <v>52</v>
      </c>
      <c r="AF63" s="702">
        <v>21.356917916666664</v>
      </c>
      <c r="AG63" s="702">
        <v>75.720686071428574</v>
      </c>
      <c r="AH63" s="703">
        <v>51.125195059523811</v>
      </c>
      <c r="AI63" s="704"/>
      <c r="AK63" s="701">
        <v>52</v>
      </c>
      <c r="AL63" s="702">
        <v>65.301208333333335</v>
      </c>
      <c r="AM63" s="702">
        <v>161.75291666666666</v>
      </c>
      <c r="AN63" s="703">
        <v>102.05110714285713</v>
      </c>
      <c r="AO63" s="704"/>
      <c r="AQ63" s="701">
        <v>52</v>
      </c>
      <c r="AR63" s="702">
        <v>13.057755952380951</v>
      </c>
      <c r="AS63" s="702">
        <v>148.92409523809525</v>
      </c>
      <c r="AT63" s="703">
        <v>18.812565476190475</v>
      </c>
      <c r="AU63" s="704"/>
      <c r="AW63" s="701">
        <v>52</v>
      </c>
      <c r="AX63" s="702">
        <v>1.4207142857142858</v>
      </c>
      <c r="AY63" s="702">
        <v>1.468</v>
      </c>
      <c r="AZ63" s="703">
        <v>1.5554285714285716</v>
      </c>
      <c r="BA63" s="704"/>
      <c r="BC63" s="701">
        <v>52</v>
      </c>
      <c r="BD63" s="702">
        <v>12.067857142857141</v>
      </c>
      <c r="BE63" s="702">
        <v>18.49702380952381</v>
      </c>
      <c r="BF63" s="703">
        <v>18.613691428571428</v>
      </c>
      <c r="BG63" s="704"/>
      <c r="BI63" s="701">
        <v>52</v>
      </c>
      <c r="BJ63" s="702">
        <v>71.636904761904759</v>
      </c>
      <c r="BK63" s="702">
        <v>110.85714285714285</v>
      </c>
      <c r="BL63" s="703">
        <v>104.0595238095238</v>
      </c>
      <c r="BM63" s="704"/>
      <c r="BO63" s="701">
        <v>52</v>
      </c>
      <c r="BP63" s="702">
        <v>8.0494047619047624</v>
      </c>
      <c r="BQ63" s="702">
        <v>25.705952380952379</v>
      </c>
      <c r="BR63" s="703">
        <v>18.554761904761904</v>
      </c>
      <c r="BS63" s="704"/>
      <c r="BU63" s="701">
        <v>52</v>
      </c>
      <c r="BV63" s="702">
        <v>13.556547619047619</v>
      </c>
      <c r="BW63" s="702">
        <v>30.078392857142855</v>
      </c>
      <c r="BX63" s="703">
        <v>26.866309523809523</v>
      </c>
      <c r="BY63" s="704"/>
      <c r="CA63" s="701">
        <v>52</v>
      </c>
      <c r="CB63" s="702">
        <v>77.750225714285719</v>
      </c>
      <c r="CC63" s="702">
        <v>147.17396714285715</v>
      </c>
      <c r="CD63" s="703">
        <v>358.33094</v>
      </c>
      <c r="CE63" s="704"/>
      <c r="CG63" s="701">
        <v>52</v>
      </c>
      <c r="CH63" s="702">
        <v>49.959285714285713</v>
      </c>
      <c r="CI63" s="702">
        <v>111.9782634730539</v>
      </c>
      <c r="CJ63" s="703">
        <v>135.13261904761904</v>
      </c>
      <c r="CK63" s="704"/>
      <c r="CM63" s="701">
        <v>52</v>
      </c>
      <c r="CN63" s="702">
        <v>56.190232142857141</v>
      </c>
      <c r="CO63" s="702">
        <v>200.74617857142857</v>
      </c>
      <c r="CP63" s="703">
        <v>147.41092499999999</v>
      </c>
      <c r="CQ63" s="704"/>
      <c r="CS63" s="701">
        <v>52</v>
      </c>
      <c r="CT63" s="702">
        <v>23.658928571428572</v>
      </c>
      <c r="CU63" s="702">
        <v>36.545833333333334</v>
      </c>
      <c r="CV63" s="703">
        <v>41.962499999999999</v>
      </c>
      <c r="CW63" s="704"/>
      <c r="CY63" s="701">
        <v>52</v>
      </c>
      <c r="CZ63" s="702">
        <v>0</v>
      </c>
      <c r="DA63" s="702">
        <v>0</v>
      </c>
      <c r="DB63" s="703">
        <v>0</v>
      </c>
      <c r="DC63" s="704">
        <v>0.308</v>
      </c>
      <c r="DE63" s="701"/>
      <c r="DF63" s="701">
        <v>52</v>
      </c>
      <c r="DG63" s="702">
        <v>0</v>
      </c>
      <c r="DH63" s="703">
        <v>0</v>
      </c>
      <c r="DI63" s="704">
        <v>0</v>
      </c>
      <c r="DK63" s="701">
        <v>52</v>
      </c>
      <c r="DL63" s="702">
        <v>0.80700000000000005</v>
      </c>
      <c r="DM63" s="702">
        <v>1.907</v>
      </c>
      <c r="DN63" s="703">
        <v>0.63</v>
      </c>
      <c r="DO63" s="704"/>
      <c r="DQ63" s="701">
        <v>52</v>
      </c>
      <c r="DR63" s="702">
        <v>13.134583333333333</v>
      </c>
      <c r="DS63" s="702">
        <v>10.897440476190475</v>
      </c>
      <c r="DT63" s="703">
        <v>12.679583333333333</v>
      </c>
      <c r="DU63" s="704"/>
      <c r="DW63" s="701">
        <v>52</v>
      </c>
      <c r="DX63" s="702">
        <v>0.81333928571428582</v>
      </c>
      <c r="DY63" s="702">
        <v>1.3852916666666668</v>
      </c>
      <c r="DZ63" s="703">
        <v>1.4059285714285714</v>
      </c>
      <c r="EA63" s="704"/>
      <c r="EC63" s="701">
        <v>52</v>
      </c>
      <c r="ED63" s="702">
        <v>4.0186363636363636</v>
      </c>
      <c r="EE63" s="702">
        <v>0.99</v>
      </c>
      <c r="EF63" s="703">
        <v>6.0862499999999997</v>
      </c>
      <c r="EG63" s="704"/>
      <c r="EI63" s="701">
        <v>52</v>
      </c>
      <c r="EJ63" s="702">
        <v>0.378</v>
      </c>
      <c r="EK63" s="702">
        <v>0.24</v>
      </c>
      <c r="EL63" s="703">
        <v>0.372</v>
      </c>
      <c r="EM63" s="704"/>
      <c r="EO63" s="701">
        <v>52</v>
      </c>
      <c r="EP63" s="702">
        <v>6.0967142857142864</v>
      </c>
      <c r="EQ63" s="702">
        <v>1.5585714285714287</v>
      </c>
      <c r="ER63" s="703">
        <v>6.0872857142857146</v>
      </c>
      <c r="ES63" s="704"/>
      <c r="EU63" s="701">
        <v>52</v>
      </c>
      <c r="EV63" s="702">
        <v>0.25</v>
      </c>
      <c r="EW63" s="702">
        <v>0.48428571428571432</v>
      </c>
      <c r="EX63" s="703">
        <v>0.25</v>
      </c>
      <c r="EY63" s="704"/>
    </row>
    <row r="64" spans="13:155">
      <c r="M64" s="701">
        <v>53</v>
      </c>
      <c r="N64" s="702"/>
      <c r="O64" s="702"/>
      <c r="P64" s="703">
        <v>102.40394190476189</v>
      </c>
      <c r="S64" s="701">
        <v>53</v>
      </c>
      <c r="T64" s="702"/>
      <c r="U64" s="702"/>
      <c r="V64" s="703">
        <v>9.2720238095238088</v>
      </c>
      <c r="Y64" s="701">
        <v>53</v>
      </c>
      <c r="Z64" s="702"/>
      <c r="AA64" s="702"/>
      <c r="AB64" s="703">
        <v>42.405718484848485</v>
      </c>
      <c r="AE64" s="701">
        <v>53</v>
      </c>
      <c r="AF64" s="702"/>
      <c r="AG64" s="702"/>
      <c r="AH64" s="703">
        <v>43.548742976190482</v>
      </c>
      <c r="AK64" s="701">
        <v>53</v>
      </c>
      <c r="AL64" s="702"/>
      <c r="AM64" s="702"/>
      <c r="AN64" s="703">
        <v>138.97197023809522</v>
      </c>
      <c r="AQ64" s="701">
        <v>53</v>
      </c>
      <c r="AR64" s="702"/>
      <c r="AS64" s="702"/>
      <c r="AT64" s="703">
        <v>96.839315476190464</v>
      </c>
      <c r="AW64" s="701">
        <v>53</v>
      </c>
      <c r="AX64" s="702"/>
      <c r="AY64" s="702"/>
      <c r="AZ64" s="703">
        <v>1.4633</v>
      </c>
      <c r="BC64" s="701">
        <v>53</v>
      </c>
      <c r="BD64" s="702"/>
      <c r="BE64" s="702"/>
      <c r="BF64" s="703">
        <v>22.339185714285712</v>
      </c>
      <c r="BI64" s="701">
        <v>53</v>
      </c>
      <c r="BJ64" s="702"/>
      <c r="BK64" s="702"/>
      <c r="BL64" s="703">
        <v>90.422619047619051</v>
      </c>
      <c r="BO64" s="701">
        <v>53</v>
      </c>
      <c r="BP64" s="702"/>
      <c r="BQ64" s="702"/>
      <c r="BR64" s="703">
        <v>17.764285714285716</v>
      </c>
      <c r="BU64" s="701">
        <v>53</v>
      </c>
      <c r="BV64" s="702"/>
      <c r="BW64" s="702"/>
      <c r="BX64" s="703">
        <v>21.950119047619047</v>
      </c>
      <c r="CA64" s="701">
        <v>53</v>
      </c>
      <c r="CB64" s="702"/>
      <c r="CC64" s="702"/>
      <c r="CD64" s="703">
        <v>276.19184571428571</v>
      </c>
      <c r="CG64" s="701">
        <v>53</v>
      </c>
      <c r="CH64" s="702"/>
      <c r="CI64" s="702"/>
      <c r="CJ64" s="703">
        <v>82.645178571428573</v>
      </c>
      <c r="CM64" s="701">
        <v>53</v>
      </c>
      <c r="CN64" s="702"/>
      <c r="CO64" s="702"/>
      <c r="CP64" s="703">
        <v>117.17616732142857</v>
      </c>
      <c r="CS64" s="701">
        <v>53</v>
      </c>
      <c r="CT64" s="702"/>
      <c r="CU64" s="702"/>
      <c r="CV64" s="703">
        <v>66.112499999999997</v>
      </c>
      <c r="CY64" s="701">
        <v>53</v>
      </c>
      <c r="CZ64" s="702"/>
      <c r="DA64" s="702"/>
      <c r="DB64" s="703"/>
      <c r="DC64" s="697">
        <v>0.308</v>
      </c>
      <c r="DE64" s="701"/>
      <c r="DF64" s="701">
        <v>53</v>
      </c>
      <c r="DG64" s="702"/>
      <c r="DH64" s="703"/>
      <c r="DI64" s="697">
        <v>0</v>
      </c>
      <c r="DK64" s="701">
        <v>53</v>
      </c>
      <c r="DL64" s="702"/>
      <c r="DM64" s="702"/>
      <c r="DN64" s="703">
        <v>0.63</v>
      </c>
      <c r="DQ64" s="701">
        <v>53</v>
      </c>
      <c r="DR64" s="702"/>
      <c r="DS64" s="702"/>
      <c r="DT64" s="703">
        <v>11.83327380952381</v>
      </c>
      <c r="DW64" s="701">
        <v>53</v>
      </c>
      <c r="DX64" s="702"/>
      <c r="DY64" s="702"/>
      <c r="DZ64" s="703">
        <v>1.4142261904761904</v>
      </c>
      <c r="EC64" s="701">
        <v>53</v>
      </c>
      <c r="ED64" s="702"/>
      <c r="EE64" s="702"/>
      <c r="EF64" s="703">
        <v>4.4348989898989899</v>
      </c>
      <c r="EI64" s="701">
        <v>53</v>
      </c>
      <c r="EJ64" s="702"/>
      <c r="EK64" s="702"/>
      <c r="EL64" s="703">
        <v>0.372</v>
      </c>
      <c r="EO64" s="701">
        <v>53</v>
      </c>
      <c r="EP64" s="702"/>
      <c r="EQ64" s="702"/>
      <c r="ER64" s="703">
        <v>9.6088571428571417</v>
      </c>
      <c r="EU64" s="701">
        <v>53</v>
      </c>
      <c r="EV64" s="702"/>
      <c r="EW64" s="702"/>
      <c r="EX64" s="703">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&amp;RInforme de la Operación Mensual - febrero 2025
INF-SGI-MES-02-2025
11/03/2025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X59"/>
  <sheetViews>
    <sheetView showGridLines="0" view="pageBreakPreview" zoomScale="115" zoomScaleNormal="160" zoomScaleSheetLayoutView="115" zoomScalePageLayoutView="120" workbookViewId="0">
      <selection activeCell="K7" sqref="K7"/>
    </sheetView>
  </sheetViews>
  <sheetFormatPr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6"/>
    <col min="13" max="16" width="20.42578125" style="430" customWidth="1"/>
    <col min="17" max="18" width="9.28515625" style="241"/>
    <col min="19" max="22" width="9.28515625" style="536"/>
    <col min="23" max="24" width="9.28515625" style="452"/>
  </cols>
  <sheetData>
    <row r="1" spans="1:18" ht="11.25" customHeight="1"/>
    <row r="2" spans="1:18" ht="11.25" customHeight="1">
      <c r="A2" s="867" t="s">
        <v>295</v>
      </c>
      <c r="B2" s="868"/>
      <c r="C2" s="868"/>
      <c r="D2" s="868"/>
      <c r="E2" s="868"/>
      <c r="F2" s="868"/>
      <c r="G2" s="868"/>
      <c r="H2" s="868"/>
      <c r="I2" s="767"/>
      <c r="J2" s="767"/>
      <c r="K2" s="767"/>
    </row>
    <row r="3" spans="1:18" ht="11.25" customHeight="1">
      <c r="A3" s="768"/>
      <c r="B3" s="15"/>
      <c r="C3" s="15"/>
      <c r="D3" s="15"/>
      <c r="E3" s="15"/>
      <c r="F3" s="15"/>
      <c r="G3" s="15"/>
      <c r="H3" s="15"/>
      <c r="I3" s="15"/>
      <c r="J3" s="421"/>
      <c r="K3" s="421"/>
      <c r="L3" s="537"/>
    </row>
    <row r="4" spans="1:18" ht="11.25" customHeight="1">
      <c r="B4" s="768"/>
      <c r="I4" s="155"/>
      <c r="J4" s="422"/>
      <c r="L4" s="537"/>
    </row>
    <row r="5" spans="1:18" ht="7.5" customHeight="1">
      <c r="A5" s="156"/>
      <c r="B5" s="156"/>
      <c r="C5" s="156"/>
      <c r="D5" s="156"/>
      <c r="E5" s="156"/>
      <c r="F5" s="156"/>
      <c r="G5" s="156"/>
      <c r="H5" s="156"/>
      <c r="I5" s="156"/>
      <c r="J5" s="423"/>
      <c r="L5" s="573"/>
    </row>
    <row r="6" spans="1:18" ht="11.25" customHeight="1">
      <c r="A6" s="156"/>
      <c r="B6" s="160" t="s">
        <v>296</v>
      </c>
      <c r="C6" s="156"/>
      <c r="D6" s="156"/>
      <c r="E6" s="156"/>
      <c r="F6" s="156"/>
      <c r="G6" s="156"/>
      <c r="H6" s="156"/>
      <c r="I6" s="156"/>
      <c r="J6" s="423"/>
      <c r="L6" s="574"/>
    </row>
    <row r="7" spans="1:18" ht="7.5" customHeight="1">
      <c r="A7" s="156"/>
      <c r="B7" s="157"/>
      <c r="C7" s="156"/>
      <c r="D7" s="156"/>
      <c r="E7" s="156"/>
      <c r="F7" s="156"/>
      <c r="G7" s="156"/>
      <c r="H7" s="156"/>
      <c r="I7" s="156"/>
      <c r="J7" s="423"/>
      <c r="L7" s="575"/>
    </row>
    <row r="8" spans="1:18" ht="21" customHeight="1">
      <c r="A8" s="156"/>
      <c r="B8" s="317" t="s">
        <v>116</v>
      </c>
      <c r="C8" s="318" t="s">
        <v>117</v>
      </c>
      <c r="D8" s="318" t="s">
        <v>118</v>
      </c>
      <c r="E8" s="318" t="s">
        <v>120</v>
      </c>
      <c r="F8" s="318" t="s">
        <v>119</v>
      </c>
      <c r="G8" s="319" t="s">
        <v>121</v>
      </c>
      <c r="H8" s="154"/>
      <c r="I8" s="154"/>
      <c r="J8" s="424"/>
      <c r="L8" s="576"/>
      <c r="M8" s="431" t="s">
        <v>117</v>
      </c>
      <c r="N8" s="770">
        <f>+C9</f>
        <v>31.014290529888047</v>
      </c>
      <c r="O8" s="431" t="str">
        <f>M8&amp;"
("&amp;ROUND(HLOOKUP(M8,$C$8:$G$9,2,0),2)&amp;" USD/MWh)"</f>
        <v>PIURA OESTE 220
(31,01 USD/MWh)</v>
      </c>
      <c r="P8" s="431" t="str">
        <f>+M8&amp;"
"&amp;"(   )"</f>
        <v>PIURA OESTE 220
(   )</v>
      </c>
      <c r="Q8" s="453" t="str">
        <f>+IF(N8=0,P8,O8)</f>
        <v>PIURA OESTE 220
(31,01 USD/MWh)</v>
      </c>
    </row>
    <row r="9" spans="1:18" ht="18" customHeight="1">
      <c r="A9" s="156"/>
      <c r="B9" s="320" t="s">
        <v>122</v>
      </c>
      <c r="C9" s="231">
        <v>31.014290529888047</v>
      </c>
      <c r="D9" s="231">
        <v>30.29166236005916</v>
      </c>
      <c r="E9" s="231">
        <v>29.129897497389987</v>
      </c>
      <c r="F9" s="231">
        <v>28.31689351563411</v>
      </c>
      <c r="G9" s="231">
        <v>27.786524954383335</v>
      </c>
      <c r="H9" s="154"/>
      <c r="I9" s="154"/>
      <c r="J9" s="424"/>
      <c r="K9" s="424"/>
      <c r="L9" s="576"/>
      <c r="M9" s="431" t="s">
        <v>118</v>
      </c>
      <c r="N9" s="770">
        <f>+D9</f>
        <v>30.29166236005916</v>
      </c>
      <c r="O9" s="431" t="str">
        <f>M9&amp;"
("&amp;ROUND(HLOOKUP(M9,$C$8:$G$9,2,0),2)&amp;" USD/MWh)"</f>
        <v>CHICLAYO 220
(30,29 USD/MWh)</v>
      </c>
      <c r="P9" s="431" t="str">
        <f>+M9&amp;"
"&amp;"(   )"</f>
        <v>CHICLAYO 220
(   )</v>
      </c>
      <c r="Q9" s="453" t="str">
        <f t="shared" ref="Q9:Q20" si="0">+IF(N9=0,P9,O9)</f>
        <v>CHICLAYO 220
(30,29 USD/MWh)</v>
      </c>
    </row>
    <row r="10" spans="1:18" ht="14.25" customHeight="1">
      <c r="A10" s="156"/>
      <c r="B10" s="865"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865"/>
      <c r="D10" s="865"/>
      <c r="E10" s="865"/>
      <c r="F10" s="865"/>
      <c r="G10" s="865"/>
      <c r="H10" s="865"/>
      <c r="I10" s="865"/>
      <c r="J10" s="424"/>
      <c r="K10" s="424"/>
      <c r="L10" s="576"/>
      <c r="M10" s="431" t="s">
        <v>120</v>
      </c>
      <c r="N10" s="770">
        <f>+E9</f>
        <v>29.129897497389987</v>
      </c>
      <c r="O10" s="431" t="str">
        <f>M10&amp;"
("&amp;ROUND(HLOOKUP(M10,$C$8:$G$9,2,0),2)&amp;" USD/MWh)"</f>
        <v>TRUJILLO 220
(29,13 USD/MWh)</v>
      </c>
      <c r="P10" s="431" t="str">
        <f>+M10&amp;"
"&amp;"(   )"</f>
        <v>TRUJILLO 220
(   )</v>
      </c>
      <c r="Q10" s="453" t="str">
        <f t="shared" si="0"/>
        <v>TRUJILLO 220
(29,13 USD/MWh)</v>
      </c>
    </row>
    <row r="11" spans="1:18" ht="11.25" customHeight="1">
      <c r="A11" s="156"/>
      <c r="B11" s="163"/>
      <c r="C11" s="154"/>
      <c r="D11" s="154"/>
      <c r="E11" s="154"/>
      <c r="F11" s="154"/>
      <c r="G11" s="154"/>
      <c r="H11" s="154"/>
      <c r="I11" s="154"/>
      <c r="J11" s="424"/>
      <c r="K11" s="424"/>
      <c r="L11" s="576"/>
      <c r="M11" s="431" t="s">
        <v>119</v>
      </c>
      <c r="N11" s="770">
        <f>+F9</f>
        <v>28.31689351563411</v>
      </c>
      <c r="O11" s="431" t="str">
        <f>M11&amp;"
("&amp;ROUND(HLOOKUP(M11,$C$8:$G$9,2,0),2)&amp;" USD/MWh)"</f>
        <v>CHIMBOTE1 138
(28,32 USD/MWh)</v>
      </c>
      <c r="P11" s="431" t="str">
        <f>+M11&amp;"
"&amp;"(   )"</f>
        <v>CHIMBOTE1 138
(   )</v>
      </c>
      <c r="Q11" s="453" t="str">
        <f t="shared" si="0"/>
        <v>CHIMBOTE1 138
(28,32 USD/MWh)</v>
      </c>
    </row>
    <row r="12" spans="1:18" ht="11.25" customHeight="1">
      <c r="A12" s="156"/>
      <c r="B12" s="154"/>
      <c r="C12" s="154"/>
      <c r="D12" s="154"/>
      <c r="E12" s="154"/>
      <c r="F12" s="154"/>
      <c r="G12" s="154"/>
      <c r="H12" s="154"/>
      <c r="I12" s="154"/>
      <c r="J12" s="424"/>
      <c r="K12" s="424"/>
      <c r="L12" s="577"/>
      <c r="M12" s="431" t="s">
        <v>121</v>
      </c>
      <c r="N12" s="770">
        <f>+G9</f>
        <v>27.786524954383335</v>
      </c>
      <c r="O12" s="431" t="str">
        <f>M12&amp;"
("&amp;ROUND(HLOOKUP(M12,$C$8:$G$9,2,0),2)&amp;" USD/MWh)"</f>
        <v>CAJAMARCA 220
(27,79 USD/MWh)</v>
      </c>
      <c r="P12" s="431" t="str">
        <f>+M12&amp;"
"&amp;"(   )"</f>
        <v>CAJAMARCA 220
(   )</v>
      </c>
      <c r="Q12" s="453" t="str">
        <f t="shared" si="0"/>
        <v>CAJAMARCA 220
(27,79 USD/MWh)</v>
      </c>
    </row>
    <row r="13" spans="1:18" ht="11.25" customHeight="1">
      <c r="A13" s="156"/>
      <c r="B13" s="154"/>
      <c r="C13" s="154"/>
      <c r="D13" s="154"/>
      <c r="E13" s="154"/>
      <c r="F13" s="154"/>
      <c r="G13" s="154"/>
      <c r="H13" s="154"/>
      <c r="I13" s="154"/>
      <c r="J13" s="424"/>
      <c r="K13" s="424"/>
      <c r="L13" s="576"/>
      <c r="M13" s="431"/>
      <c r="N13" s="431"/>
      <c r="O13" s="431"/>
      <c r="P13" s="431"/>
      <c r="Q13" s="453"/>
      <c r="R13" s="431"/>
    </row>
    <row r="14" spans="1:18" ht="11.25" customHeight="1">
      <c r="A14" s="156"/>
      <c r="B14" s="154"/>
      <c r="C14" s="154"/>
      <c r="D14" s="154"/>
      <c r="E14" s="154"/>
      <c r="F14" s="154"/>
      <c r="G14" s="154"/>
      <c r="H14" s="154"/>
      <c r="I14" s="154"/>
      <c r="J14" s="424"/>
      <c r="K14" s="424"/>
      <c r="L14" s="576"/>
      <c r="M14" s="431" t="s">
        <v>342</v>
      </c>
      <c r="N14" s="770">
        <f>+C27</f>
        <v>27.568356225171463</v>
      </c>
      <c r="O14" s="431" t="str">
        <f>M14&amp;"
("&amp;ROUND(HLOOKUP(M14,$C$26:$I$27,2,0),2)&amp;" USD/MWh)"</f>
        <v>CHAVARRIA 220
(27,57 USD/MWh)</v>
      </c>
      <c r="P14" s="431" t="str">
        <f t="shared" ref="P14:P20" si="1">+M14&amp;"
"&amp;"(   )"</f>
        <v>CHAVARRIA 220
(   )</v>
      </c>
      <c r="Q14" s="453" t="str">
        <f t="shared" si="0"/>
        <v>CHAVARRIA 220
(27,57 USD/MWh)</v>
      </c>
    </row>
    <row r="15" spans="1:18" ht="11.25" customHeight="1">
      <c r="A15" s="156"/>
      <c r="B15" s="154"/>
      <c r="C15" s="154"/>
      <c r="D15" s="154"/>
      <c r="E15" s="154"/>
      <c r="F15" s="154"/>
      <c r="G15" s="154"/>
      <c r="H15" s="154"/>
      <c r="I15" s="154"/>
      <c r="J15" s="424"/>
      <c r="K15" s="424"/>
      <c r="L15" s="576"/>
      <c r="M15" s="431" t="s">
        <v>125</v>
      </c>
      <c r="N15" s="770">
        <f>+G27</f>
        <v>27.599871021476623</v>
      </c>
      <c r="O15" s="431" t="str">
        <f t="shared" ref="O15:O20" si="2">M15&amp;"
("&amp;ROUND(HLOOKUP(M15,$C$26:$I$27,2,0),2)&amp;" USD/MWh)"</f>
        <v>INDEPENDENCIA 220
(27,6 USD/MWh)</v>
      </c>
      <c r="P15" s="431" t="str">
        <f t="shared" si="1"/>
        <v>INDEPENDENCIA 220
(   )</v>
      </c>
      <c r="Q15" s="453" t="str">
        <f t="shared" si="0"/>
        <v>INDEPENDENCIA 220
(27,6 USD/MWh)</v>
      </c>
    </row>
    <row r="16" spans="1:18" ht="11.25" customHeight="1">
      <c r="A16" s="156"/>
      <c r="B16" s="154"/>
      <c r="C16" s="154"/>
      <c r="D16" s="154"/>
      <c r="E16" s="154"/>
      <c r="F16" s="154"/>
      <c r="G16" s="154"/>
      <c r="H16" s="154"/>
      <c r="I16" s="154"/>
      <c r="J16" s="424"/>
      <c r="K16" s="424"/>
      <c r="L16" s="576"/>
      <c r="M16" s="431" t="s">
        <v>126</v>
      </c>
      <c r="N16" s="770">
        <f>+E27</f>
        <v>27.493824222032895</v>
      </c>
      <c r="O16" s="431" t="str">
        <f t="shared" si="2"/>
        <v>CARABAYLLO 220
(27,49 USD/MWh)</v>
      </c>
      <c r="P16" s="431" t="str">
        <f t="shared" si="1"/>
        <v>CARABAYLLO 220
(   )</v>
      </c>
      <c r="Q16" s="453" t="str">
        <f t="shared" si="0"/>
        <v>CARABAYLLO 220
(27,49 USD/MWh)</v>
      </c>
    </row>
    <row r="17" spans="1:17" ht="11.25" customHeight="1">
      <c r="A17" s="156"/>
      <c r="B17" s="154"/>
      <c r="C17" s="154"/>
      <c r="D17" s="154"/>
      <c r="E17" s="154"/>
      <c r="F17" s="154"/>
      <c r="G17" s="154"/>
      <c r="H17" s="154"/>
      <c r="I17" s="154"/>
      <c r="J17" s="424"/>
      <c r="K17" s="424"/>
      <c r="L17" s="576"/>
      <c r="M17" s="431" t="s">
        <v>123</v>
      </c>
      <c r="N17" s="770">
        <f>+D27</f>
        <v>27.431639831153976</v>
      </c>
      <c r="O17" s="431" t="str">
        <f t="shared" si="2"/>
        <v>SANTA ROSA 220
(27,43 USD/MWh)</v>
      </c>
      <c r="P17" s="431" t="str">
        <f t="shared" si="1"/>
        <v>SANTA ROSA 220
(   )</v>
      </c>
      <c r="Q17" s="453" t="str">
        <f t="shared" si="0"/>
        <v>SANTA ROSA 220
(27,43 USD/MWh)</v>
      </c>
    </row>
    <row r="18" spans="1:17" ht="11.25" customHeight="1">
      <c r="A18" s="156"/>
      <c r="B18" s="154"/>
      <c r="C18" s="154"/>
      <c r="D18" s="154"/>
      <c r="E18" s="154"/>
      <c r="F18" s="154"/>
      <c r="G18" s="154"/>
      <c r="H18" s="154"/>
      <c r="I18" s="154"/>
      <c r="J18" s="424"/>
      <c r="K18" s="424"/>
      <c r="L18" s="576"/>
      <c r="M18" s="431" t="s">
        <v>124</v>
      </c>
      <c r="N18" s="770">
        <f>+F27</f>
        <v>27.277866174964938</v>
      </c>
      <c r="O18" s="431" t="str">
        <f t="shared" si="2"/>
        <v>SAN JUAN 220
(27,28 USD/MWh)</v>
      </c>
      <c r="P18" s="431" t="str">
        <f t="shared" si="1"/>
        <v>SAN JUAN 220
(   )</v>
      </c>
      <c r="Q18" s="453" t="str">
        <f t="shared" si="0"/>
        <v>SAN JUAN 220
(27,28 USD/MWh)</v>
      </c>
    </row>
    <row r="19" spans="1:17" ht="11.25" customHeight="1">
      <c r="A19" s="156"/>
      <c r="B19" s="154"/>
      <c r="C19" s="154"/>
      <c r="D19" s="154"/>
      <c r="E19" s="154"/>
      <c r="F19" s="154"/>
      <c r="G19" s="154"/>
      <c r="H19" s="154"/>
      <c r="I19" s="154"/>
      <c r="J19" s="424"/>
      <c r="K19" s="424"/>
      <c r="L19" s="578"/>
      <c r="M19" s="431" t="s">
        <v>127</v>
      </c>
      <c r="N19" s="770">
        <f>+H27</f>
        <v>26.80118396158181</v>
      </c>
      <c r="O19" s="431" t="str">
        <f t="shared" si="2"/>
        <v>POMACOCHA 220
(26,8 USD/MWh)</v>
      </c>
      <c r="P19" s="431" t="str">
        <f t="shared" si="1"/>
        <v>POMACOCHA 220
(   )</v>
      </c>
      <c r="Q19" s="453" t="str">
        <f t="shared" si="0"/>
        <v>POMACOCHA 220
(26,8 USD/MWh)</v>
      </c>
    </row>
    <row r="20" spans="1:17" ht="11.25" customHeight="1">
      <c r="A20" s="156"/>
      <c r="B20" s="162"/>
      <c r="C20" s="162"/>
      <c r="D20" s="162"/>
      <c r="E20" s="162"/>
      <c r="F20" s="162"/>
      <c r="G20" s="154"/>
      <c r="H20" s="154"/>
      <c r="I20" s="154"/>
      <c r="J20" s="424"/>
      <c r="K20" s="424"/>
      <c r="L20" s="576"/>
      <c r="M20" s="431" t="s">
        <v>128</v>
      </c>
      <c r="N20" s="770">
        <f>+I27</f>
        <v>26.222407152331954</v>
      </c>
      <c r="O20" s="431" t="str">
        <f t="shared" si="2"/>
        <v>OROYA NUEVA 50
(26,22 USD/MWh)</v>
      </c>
      <c r="P20" s="431" t="str">
        <f t="shared" si="1"/>
        <v>OROYA NUEVA 50
(   )</v>
      </c>
      <c r="Q20" s="453" t="str">
        <f t="shared" si="0"/>
        <v>OROYA NUEVA 50
(26,22 USD/MWh)</v>
      </c>
    </row>
    <row r="21" spans="1:17" ht="11.25" customHeight="1">
      <c r="A21" s="156"/>
      <c r="B21" s="866" t="str">
        <f>"Gráfico N°20: Costos marginales medios registrados en las principales barras del área norte durante el mes de "&amp;'1. Resumen'!Q4</f>
        <v>Gráfico N°20: Costos marginales medios registrados en las principales barras del área norte durante el mes de febrero</v>
      </c>
      <c r="C21" s="866"/>
      <c r="D21" s="866"/>
      <c r="E21" s="866"/>
      <c r="F21" s="866"/>
      <c r="G21" s="866"/>
      <c r="H21" s="866"/>
      <c r="I21" s="866"/>
      <c r="J21" s="424"/>
      <c r="K21" s="424"/>
      <c r="L21" s="576"/>
      <c r="M21" s="431"/>
      <c r="N21" s="431"/>
      <c r="O21" s="431"/>
      <c r="P21" s="431"/>
      <c r="Q21" s="453"/>
    </row>
    <row r="22" spans="1:17" ht="7.5" customHeight="1">
      <c r="A22" s="156"/>
      <c r="B22" s="158"/>
      <c r="C22" s="158"/>
      <c r="D22" s="158"/>
      <c r="E22" s="158"/>
      <c r="F22" s="158"/>
      <c r="G22" s="156"/>
      <c r="H22" s="156"/>
      <c r="I22" s="156"/>
      <c r="J22" s="423"/>
      <c r="K22" s="423"/>
      <c r="L22" s="574"/>
      <c r="M22" s="431"/>
      <c r="N22" s="431"/>
      <c r="O22" s="431"/>
      <c r="P22" s="431"/>
      <c r="Q22" s="453"/>
    </row>
    <row r="23" spans="1:17" ht="11.25" customHeight="1">
      <c r="A23" s="156"/>
      <c r="B23" s="158"/>
      <c r="C23" s="158"/>
      <c r="D23" s="158"/>
      <c r="E23" s="158"/>
      <c r="F23" s="158"/>
      <c r="G23" s="156"/>
      <c r="H23" s="156"/>
      <c r="I23" s="156"/>
      <c r="J23" s="423"/>
      <c r="K23" s="423"/>
      <c r="L23" s="579"/>
      <c r="M23" s="431" t="s">
        <v>129</v>
      </c>
      <c r="N23" s="770">
        <f>+C46</f>
        <v>29.630412177229228</v>
      </c>
      <c r="O23" s="431" t="str">
        <f>M23&amp;"
("&amp;ROUND(HLOOKUP(M23,$C$45:$I$46,2,0),2)&amp;" USD/MWh)"</f>
        <v>TINTAYA NUEVA 220
(29,63 USD/MWh)</v>
      </c>
      <c r="P23" s="431" t="str">
        <f t="shared" ref="P23:P29" si="3">+M23&amp;"
"&amp;"(   )"</f>
        <v>TINTAYA NUEVA 220
(   )</v>
      </c>
      <c r="Q23" s="453" t="str">
        <f t="shared" ref="Q23:Q29" si="4">+IF(N23=0,P23,O23)</f>
        <v>TINTAYA NUEVA 220
(29,63 USD/MWh)</v>
      </c>
    </row>
    <row r="24" spans="1:17" ht="11.25" customHeight="1">
      <c r="A24" s="156"/>
      <c r="B24" s="161" t="s">
        <v>297</v>
      </c>
      <c r="C24" s="158"/>
      <c r="D24" s="158"/>
      <c r="E24" s="158"/>
      <c r="F24" s="158"/>
      <c r="G24" s="156"/>
      <c r="H24" s="156"/>
      <c r="I24" s="156"/>
      <c r="J24" s="423"/>
      <c r="K24" s="423"/>
      <c r="L24" s="574"/>
      <c r="M24" s="431" t="s">
        <v>130</v>
      </c>
      <c r="N24" s="770">
        <f>+F46</f>
        <v>29.407929082039576</v>
      </c>
      <c r="O24" s="431" t="str">
        <f t="shared" ref="O24:O29" si="5">M24&amp;"
("&amp;ROUND(HLOOKUP(M24,$C$45:$I$46,2,0),2)&amp;" USD/MWh)"</f>
        <v>PUNO 138
(29,41 USD/MWh)</v>
      </c>
      <c r="P24" s="431" t="str">
        <f t="shared" si="3"/>
        <v>PUNO 138
(   )</v>
      </c>
      <c r="Q24" s="453" t="str">
        <f t="shared" si="4"/>
        <v>PUNO 138
(29,41 USD/MWh)</v>
      </c>
    </row>
    <row r="25" spans="1:17" ht="6.75" customHeight="1">
      <c r="A25" s="156"/>
      <c r="B25" s="158"/>
      <c r="C25" s="158"/>
      <c r="D25" s="158"/>
      <c r="E25" s="158"/>
      <c r="F25" s="158"/>
      <c r="G25" s="156"/>
      <c r="H25" s="156"/>
      <c r="I25" s="156"/>
      <c r="J25" s="423"/>
      <c r="K25" s="423"/>
      <c r="L25" s="574"/>
      <c r="M25" s="431" t="s">
        <v>131</v>
      </c>
      <c r="N25" s="770">
        <f>+D46</f>
        <v>28.851369224994432</v>
      </c>
      <c r="O25" s="431" t="str">
        <f t="shared" si="5"/>
        <v>SOCABAYA 220
(28,85 USD/MWh)</v>
      </c>
      <c r="P25" s="431" t="str">
        <f t="shared" si="3"/>
        <v>SOCABAYA 220
(   )</v>
      </c>
      <c r="Q25" s="453" t="str">
        <f t="shared" si="4"/>
        <v>SOCABAYA 220
(28,85 USD/MWh)</v>
      </c>
    </row>
    <row r="26" spans="1:17" ht="25.5" customHeight="1">
      <c r="A26" s="156"/>
      <c r="B26" s="321" t="s">
        <v>116</v>
      </c>
      <c r="C26" s="318" t="s">
        <v>342</v>
      </c>
      <c r="D26" s="318" t="s">
        <v>123</v>
      </c>
      <c r="E26" s="318" t="s">
        <v>126</v>
      </c>
      <c r="F26" s="318" t="s">
        <v>124</v>
      </c>
      <c r="G26" s="318" t="s">
        <v>125</v>
      </c>
      <c r="H26" s="318" t="s">
        <v>127</v>
      </c>
      <c r="I26" s="319" t="s">
        <v>128</v>
      </c>
      <c r="J26" s="426"/>
      <c r="K26" s="424"/>
      <c r="L26" s="576"/>
      <c r="M26" s="431" t="s">
        <v>132</v>
      </c>
      <c r="N26" s="770">
        <f>+E46</f>
        <v>29.076226763613114</v>
      </c>
      <c r="O26" s="431" t="str">
        <f t="shared" si="5"/>
        <v>MOQUEGUA 138
(29,08 USD/MWh)</v>
      </c>
      <c r="P26" s="431" t="str">
        <f t="shared" si="3"/>
        <v>MOQUEGUA 138
(   )</v>
      </c>
      <c r="Q26" s="453" t="str">
        <f t="shared" si="4"/>
        <v>MOQUEGUA 138
(29,08 USD/MWh)</v>
      </c>
    </row>
    <row r="27" spans="1:17" ht="18" customHeight="1">
      <c r="A27" s="156"/>
      <c r="B27" s="322" t="s">
        <v>122</v>
      </c>
      <c r="C27" s="231">
        <v>27.568356225171463</v>
      </c>
      <c r="D27" s="231">
        <v>27.431639831153976</v>
      </c>
      <c r="E27" s="231">
        <v>27.493824222032895</v>
      </c>
      <c r="F27" s="231">
        <v>27.277866174964938</v>
      </c>
      <c r="G27" s="231">
        <v>27.599871021476623</v>
      </c>
      <c r="H27" s="231">
        <v>26.80118396158181</v>
      </c>
      <c r="I27" s="231">
        <v>26.222407152331954</v>
      </c>
      <c r="J27" s="427"/>
      <c r="K27" s="424"/>
      <c r="L27" s="576"/>
      <c r="M27" s="431" t="s">
        <v>133</v>
      </c>
      <c r="N27" s="770">
        <f>+G46</f>
        <v>27.823063302937083</v>
      </c>
      <c r="O27" s="431" t="str">
        <f t="shared" si="5"/>
        <v>DOLORESPATA 138
(27,82 USD/MWh)</v>
      </c>
      <c r="P27" s="431" t="str">
        <f t="shared" si="3"/>
        <v>DOLORESPATA 138
(   )</v>
      </c>
      <c r="Q27" s="453" t="str">
        <f t="shared" si="4"/>
        <v>DOLORESPATA 138
(27,82 USD/MWh)</v>
      </c>
    </row>
    <row r="28" spans="1:17" ht="19.5" customHeight="1">
      <c r="A28" s="156"/>
      <c r="B28" s="869"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869"/>
      <c r="D28" s="869"/>
      <c r="E28" s="869"/>
      <c r="F28" s="869"/>
      <c r="G28" s="869"/>
      <c r="H28" s="869"/>
      <c r="I28" s="869"/>
      <c r="J28" s="424"/>
      <c r="K28" s="424"/>
      <c r="L28" s="576"/>
      <c r="M28" s="431" t="s">
        <v>134</v>
      </c>
      <c r="N28" s="770">
        <f>+H46</f>
        <v>27.583355829814074</v>
      </c>
      <c r="O28" s="431" t="str">
        <f t="shared" si="5"/>
        <v>COTARUSE 220
(27,58 USD/MWh)</v>
      </c>
      <c r="P28" s="431" t="str">
        <f t="shared" si="3"/>
        <v>COTARUSE 220
(   )</v>
      </c>
      <c r="Q28" s="453" t="str">
        <f t="shared" si="4"/>
        <v>COTARUSE 220
(27,58 USD/MWh)</v>
      </c>
    </row>
    <row r="29" spans="1:17" ht="11.25" customHeight="1">
      <c r="A29" s="156"/>
      <c r="B29" s="162"/>
      <c r="C29" s="162"/>
      <c r="D29" s="162"/>
      <c r="E29" s="162"/>
      <c r="F29" s="162"/>
      <c r="G29" s="162"/>
      <c r="H29" s="162"/>
      <c r="I29" s="162"/>
      <c r="J29" s="428"/>
      <c r="K29" s="428"/>
      <c r="L29" s="576"/>
      <c r="M29" s="431" t="s">
        <v>135</v>
      </c>
      <c r="N29" s="770">
        <f>+I46</f>
        <v>25.722233437415149</v>
      </c>
      <c r="O29" s="431" t="str">
        <f t="shared" si="5"/>
        <v>SAN GABAN 138
(25,72 USD/MWh)</v>
      </c>
      <c r="P29" s="431" t="str">
        <f t="shared" si="3"/>
        <v>SAN GABAN 138
(   )</v>
      </c>
      <c r="Q29" s="453" t="str">
        <f t="shared" si="4"/>
        <v>SAN GABAN 138
(25,72 USD/MWh)</v>
      </c>
    </row>
    <row r="30" spans="1:17" ht="11.25" customHeight="1">
      <c r="A30" s="156"/>
      <c r="B30" s="162"/>
      <c r="C30" s="162"/>
      <c r="D30" s="162"/>
      <c r="E30" s="162"/>
      <c r="F30" s="162"/>
      <c r="G30" s="162"/>
      <c r="H30" s="162"/>
      <c r="I30" s="162"/>
      <c r="J30" s="428"/>
      <c r="K30" s="428"/>
      <c r="L30" s="576"/>
      <c r="M30" s="431"/>
      <c r="N30" s="431"/>
      <c r="O30" s="431"/>
      <c r="P30" s="431"/>
      <c r="Q30" s="454"/>
    </row>
    <row r="31" spans="1:17" ht="11.25" customHeight="1">
      <c r="A31" s="156"/>
      <c r="B31" s="162"/>
      <c r="C31" s="162"/>
      <c r="D31" s="162"/>
      <c r="E31" s="162"/>
      <c r="F31" s="162"/>
      <c r="G31" s="162"/>
      <c r="H31" s="162"/>
      <c r="I31" s="162"/>
      <c r="J31" s="428"/>
      <c r="K31" s="428"/>
      <c r="L31" s="576"/>
      <c r="M31" s="431"/>
      <c r="N31" s="431"/>
      <c r="O31" s="431"/>
      <c r="P31" s="431"/>
      <c r="Q31" s="454"/>
    </row>
    <row r="32" spans="1:17" ht="11.25" customHeight="1">
      <c r="A32" s="156"/>
      <c r="B32" s="162"/>
      <c r="C32" s="162"/>
      <c r="D32" s="162"/>
      <c r="E32" s="162"/>
      <c r="F32" s="162"/>
      <c r="G32" s="162"/>
      <c r="H32" s="162"/>
      <c r="I32" s="162"/>
      <c r="J32" s="428"/>
      <c r="K32" s="428"/>
      <c r="L32" s="576"/>
      <c r="M32" s="431"/>
      <c r="N32" s="431"/>
      <c r="O32" s="431"/>
      <c r="P32" s="431"/>
    </row>
    <row r="33" spans="1:12" ht="11.25" customHeight="1">
      <c r="A33" s="156"/>
      <c r="B33" s="162"/>
      <c r="C33" s="162"/>
      <c r="D33" s="162"/>
      <c r="E33" s="162"/>
      <c r="F33" s="162"/>
      <c r="G33" s="162"/>
      <c r="H33" s="162"/>
      <c r="I33" s="162"/>
      <c r="J33" s="428"/>
      <c r="K33" s="428"/>
      <c r="L33" s="576"/>
    </row>
    <row r="34" spans="1:12" ht="11.25" customHeight="1">
      <c r="A34" s="156"/>
      <c r="B34" s="162"/>
      <c r="C34" s="162"/>
      <c r="D34" s="162"/>
      <c r="E34" s="162"/>
      <c r="F34" s="162"/>
      <c r="G34" s="162"/>
      <c r="H34" s="162"/>
      <c r="I34" s="162"/>
      <c r="J34" s="428"/>
      <c r="K34" s="428"/>
      <c r="L34" s="576"/>
    </row>
    <row r="35" spans="1:12" ht="11.25" customHeight="1">
      <c r="A35" s="156"/>
      <c r="B35" s="162"/>
      <c r="C35" s="162"/>
      <c r="D35" s="162"/>
      <c r="E35" s="162"/>
      <c r="F35" s="162"/>
      <c r="G35" s="162"/>
      <c r="H35" s="162"/>
      <c r="I35" s="162"/>
      <c r="J35" s="428"/>
      <c r="K35" s="428"/>
      <c r="L35" s="572"/>
    </row>
    <row r="36" spans="1:12" ht="11.25" customHeight="1">
      <c r="A36" s="156"/>
      <c r="B36" s="162"/>
      <c r="C36" s="162"/>
      <c r="D36" s="162"/>
      <c r="E36" s="162"/>
      <c r="F36" s="162"/>
      <c r="G36" s="162"/>
      <c r="H36" s="162"/>
      <c r="I36" s="162"/>
      <c r="J36" s="428"/>
      <c r="K36" s="428"/>
      <c r="L36" s="576"/>
    </row>
    <row r="37" spans="1:12" ht="11.25" customHeight="1">
      <c r="A37" s="156"/>
      <c r="B37" s="162"/>
      <c r="C37" s="162"/>
      <c r="D37" s="162"/>
      <c r="E37" s="162"/>
      <c r="F37" s="162"/>
      <c r="G37" s="162"/>
      <c r="H37" s="162"/>
      <c r="I37" s="162"/>
      <c r="J37" s="428"/>
      <c r="K37" s="428"/>
      <c r="L37" s="576"/>
    </row>
    <row r="38" spans="1:12" ht="11.25" customHeight="1">
      <c r="A38" s="156"/>
      <c r="B38" s="162"/>
      <c r="C38" s="162"/>
      <c r="D38" s="162"/>
      <c r="E38" s="162"/>
      <c r="F38" s="162"/>
      <c r="G38" s="162"/>
      <c r="H38" s="162"/>
      <c r="I38" s="162"/>
      <c r="J38" s="428"/>
      <c r="K38" s="428"/>
      <c r="L38" s="576"/>
    </row>
    <row r="39" spans="1:12" ht="11.25" customHeight="1">
      <c r="A39" s="156"/>
      <c r="B39" s="162"/>
      <c r="C39" s="162"/>
      <c r="D39" s="162"/>
      <c r="E39" s="162"/>
      <c r="F39" s="162"/>
      <c r="G39" s="162"/>
      <c r="H39" s="162"/>
      <c r="I39" s="162"/>
      <c r="J39" s="428"/>
      <c r="K39" s="428"/>
      <c r="L39" s="576"/>
    </row>
    <row r="40" spans="1:12" ht="13.5" customHeight="1">
      <c r="A40" s="156"/>
      <c r="B40" s="865" t="str">
        <f>"Gráfico N°21: Costos marginales medios registrados en las principales barras del área centro durante el mes de "&amp;'1. Resumen'!Q4</f>
        <v>Gráfico N°21: Costos marginales medios registrados en las principales barras del área centro durante el mes de febrero</v>
      </c>
      <c r="C40" s="865"/>
      <c r="D40" s="865"/>
      <c r="E40" s="865"/>
      <c r="F40" s="865"/>
      <c r="G40" s="865"/>
      <c r="H40" s="865"/>
      <c r="I40" s="865"/>
      <c r="J40" s="428"/>
      <c r="K40" s="428"/>
      <c r="L40" s="576"/>
    </row>
    <row r="41" spans="1:12" ht="6.75" customHeight="1">
      <c r="A41" s="156"/>
      <c r="B41" s="162"/>
      <c r="C41" s="162"/>
      <c r="D41" s="162"/>
      <c r="E41" s="162"/>
      <c r="F41" s="162"/>
      <c r="G41" s="162"/>
      <c r="H41" s="162"/>
      <c r="I41" s="162"/>
      <c r="J41" s="428"/>
      <c r="K41" s="428"/>
      <c r="L41" s="576"/>
    </row>
    <row r="42" spans="1:12" ht="8.25" customHeight="1">
      <c r="A42" s="156"/>
      <c r="B42" s="158"/>
      <c r="C42" s="158"/>
      <c r="D42" s="158"/>
      <c r="E42" s="158"/>
      <c r="F42" s="158"/>
      <c r="G42" s="158"/>
      <c r="H42" s="158"/>
      <c r="I42" s="158"/>
      <c r="J42" s="429"/>
      <c r="K42" s="429"/>
      <c r="L42" s="580"/>
    </row>
    <row r="43" spans="1:12" ht="11.25" customHeight="1">
      <c r="A43" s="156"/>
      <c r="B43" s="161" t="s">
        <v>298</v>
      </c>
      <c r="C43" s="158"/>
      <c r="D43" s="158"/>
      <c r="E43" s="158"/>
      <c r="F43" s="158"/>
      <c r="G43" s="158"/>
      <c r="H43" s="158"/>
      <c r="I43" s="158"/>
      <c r="J43" s="429"/>
      <c r="K43" s="429"/>
      <c r="L43" s="580"/>
    </row>
    <row r="44" spans="1:12" ht="6.75" customHeight="1">
      <c r="A44" s="156"/>
      <c r="B44" s="158"/>
      <c r="C44" s="158"/>
      <c r="D44" s="158"/>
      <c r="E44" s="158"/>
      <c r="F44" s="158"/>
      <c r="G44" s="158"/>
      <c r="H44" s="158"/>
      <c r="I44" s="158"/>
      <c r="J44" s="429"/>
      <c r="K44" s="429"/>
      <c r="L44" s="580"/>
    </row>
    <row r="45" spans="1:12" ht="27" customHeight="1">
      <c r="A45" s="156"/>
      <c r="B45" s="321" t="s">
        <v>116</v>
      </c>
      <c r="C45" s="318" t="s">
        <v>129</v>
      </c>
      <c r="D45" s="318" t="s">
        <v>131</v>
      </c>
      <c r="E45" s="318" t="s">
        <v>132</v>
      </c>
      <c r="F45" s="318" t="s">
        <v>130</v>
      </c>
      <c r="G45" s="318" t="s">
        <v>133</v>
      </c>
      <c r="H45" s="318" t="s">
        <v>134</v>
      </c>
      <c r="I45" s="319" t="s">
        <v>135</v>
      </c>
      <c r="J45" s="426"/>
      <c r="K45" s="428"/>
    </row>
    <row r="46" spans="1:12" ht="18.75" customHeight="1">
      <c r="A46" s="156"/>
      <c r="B46" s="322" t="s">
        <v>122</v>
      </c>
      <c r="C46" s="231">
        <v>29.630412177229228</v>
      </c>
      <c r="D46" s="231">
        <v>28.851369224994432</v>
      </c>
      <c r="E46" s="231">
        <v>29.076226763613114</v>
      </c>
      <c r="F46" s="231">
        <v>29.407929082039576</v>
      </c>
      <c r="G46" s="231">
        <v>27.823063302937083</v>
      </c>
      <c r="H46" s="231">
        <v>27.583355829814074</v>
      </c>
      <c r="I46" s="231">
        <v>25.722233437415149</v>
      </c>
      <c r="J46" s="427"/>
      <c r="K46" s="428"/>
    </row>
    <row r="47" spans="1:12" ht="18" customHeight="1">
      <c r="A47" s="156"/>
      <c r="B47" s="869"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869"/>
      <c r="D47" s="869"/>
      <c r="E47" s="869"/>
      <c r="F47" s="869"/>
      <c r="G47" s="869"/>
      <c r="H47" s="869"/>
      <c r="I47" s="869"/>
      <c r="J47" s="427"/>
      <c r="K47" s="428"/>
    </row>
    <row r="48" spans="1:12" ht="13.2">
      <c r="A48" s="156"/>
      <c r="B48" s="162"/>
      <c r="C48" s="162"/>
      <c r="D48" s="162"/>
      <c r="E48" s="162"/>
      <c r="F48" s="162"/>
      <c r="G48" s="154"/>
      <c r="H48" s="154"/>
      <c r="I48" s="154"/>
      <c r="J48" s="424"/>
      <c r="K48" s="428"/>
    </row>
    <row r="49" spans="1:11" ht="13.2">
      <c r="A49" s="156"/>
      <c r="B49" s="154"/>
      <c r="C49" s="154"/>
      <c r="D49" s="154"/>
      <c r="E49" s="154"/>
      <c r="F49" s="154"/>
      <c r="G49" s="154"/>
      <c r="H49" s="154"/>
      <c r="I49" s="154"/>
      <c r="J49" s="424"/>
      <c r="K49" s="428"/>
    </row>
    <row r="50" spans="1:11" ht="13.2">
      <c r="A50" s="156"/>
      <c r="B50" s="103"/>
      <c r="C50" s="103"/>
      <c r="D50" s="103"/>
      <c r="E50" s="103"/>
      <c r="F50" s="103"/>
      <c r="G50" s="103"/>
      <c r="H50" s="103"/>
      <c r="I50" s="103"/>
      <c r="J50" s="40"/>
      <c r="K50" s="428"/>
    </row>
    <row r="51" spans="1:11" ht="13.2">
      <c r="A51" s="156"/>
      <c r="B51" s="103"/>
      <c r="C51" s="103"/>
      <c r="D51" s="103"/>
      <c r="E51" s="103"/>
      <c r="F51" s="103"/>
      <c r="G51" s="103"/>
      <c r="H51" s="103"/>
      <c r="I51" s="103"/>
      <c r="J51" s="40"/>
      <c r="K51" s="428"/>
    </row>
    <row r="52" spans="1:11" ht="13.2">
      <c r="A52" s="156"/>
      <c r="B52" s="103"/>
      <c r="C52" s="103"/>
      <c r="D52" s="103"/>
      <c r="E52" s="103"/>
      <c r="F52" s="103"/>
      <c r="G52" s="103"/>
      <c r="H52" s="103"/>
      <c r="I52" s="103"/>
      <c r="J52" s="40"/>
      <c r="K52" s="428"/>
    </row>
    <row r="53" spans="1:11" ht="13.2">
      <c r="A53" s="156"/>
      <c r="B53" s="103"/>
      <c r="C53" s="103"/>
      <c r="D53" s="103"/>
      <c r="E53" s="103"/>
      <c r="F53" s="103"/>
      <c r="G53" s="103"/>
      <c r="H53" s="103"/>
      <c r="I53" s="103"/>
      <c r="J53" s="40"/>
      <c r="K53" s="428"/>
    </row>
    <row r="54" spans="1:11" ht="13.2">
      <c r="A54" s="156"/>
      <c r="B54" s="103"/>
      <c r="C54" s="103"/>
      <c r="D54" s="103"/>
      <c r="E54" s="103"/>
      <c r="F54" s="103"/>
      <c r="G54" s="103"/>
      <c r="H54" s="103"/>
      <c r="I54" s="103"/>
      <c r="J54" s="40"/>
      <c r="K54" s="428"/>
    </row>
    <row r="55" spans="1:11" ht="13.2">
      <c r="A55" s="156"/>
      <c r="B55" s="103"/>
      <c r="C55" s="103"/>
      <c r="D55" s="103"/>
      <c r="E55" s="103"/>
      <c r="F55" s="103"/>
      <c r="G55" s="103"/>
      <c r="H55" s="103"/>
      <c r="I55" s="103"/>
      <c r="J55" s="40"/>
      <c r="K55" s="428"/>
    </row>
    <row r="56" spans="1:11" ht="13.2">
      <c r="A56" s="156"/>
      <c r="B56" s="154"/>
      <c r="C56" s="154"/>
      <c r="D56" s="154"/>
      <c r="E56" s="154"/>
      <c r="F56" s="154"/>
      <c r="G56" s="154"/>
      <c r="H56" s="154"/>
      <c r="I56" s="154"/>
      <c r="J56" s="424"/>
      <c r="K56" s="428"/>
    </row>
    <row r="57" spans="1:11" ht="13.2">
      <c r="A57" s="156"/>
      <c r="B57" s="154"/>
      <c r="C57" s="154"/>
      <c r="D57" s="154"/>
      <c r="E57" s="154"/>
      <c r="F57" s="154"/>
      <c r="G57" s="154"/>
      <c r="H57" s="154"/>
      <c r="I57" s="154"/>
      <c r="J57" s="424"/>
      <c r="K57" s="428"/>
    </row>
    <row r="58" spans="1:11" ht="13.2">
      <c r="A58" s="156"/>
      <c r="B58" s="865" t="str">
        <f>"Gráfico N°22: Costos marginales medios registrados en las principales barras del área sur durante el mes de "&amp;'1. Resumen'!Q4</f>
        <v>Gráfico N°22: Costos marginales medios registrados en las principales barras del área sur durante el mes de febrero</v>
      </c>
      <c r="C58" s="865"/>
      <c r="D58" s="865"/>
      <c r="E58" s="865"/>
      <c r="F58" s="865"/>
      <c r="G58" s="865"/>
      <c r="H58" s="865"/>
      <c r="I58" s="865"/>
      <c r="J58" s="424"/>
      <c r="K58" s="428"/>
    </row>
    <row r="59" spans="1:11" ht="13.2">
      <c r="A59" s="68"/>
      <c r="B59" s="128"/>
      <c r="C59" s="128"/>
      <c r="D59" s="128"/>
      <c r="E59" s="128"/>
      <c r="F59" s="128"/>
      <c r="G59" s="128"/>
      <c r="H59" s="154"/>
      <c r="I59" s="154"/>
      <c r="J59" s="424"/>
      <c r="K59" s="428"/>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K7" sqref="K7"/>
    </sheetView>
  </sheetViews>
  <sheetFormatPr defaultColWidth="9.28515625" defaultRowHeight="10.199999999999999"/>
  <cols>
    <col min="10" max="10" width="9.28515625" customWidth="1"/>
    <col min="11" max="11" width="11.28515625" customWidth="1"/>
    <col min="12" max="12" width="12.28515625" customWidth="1"/>
  </cols>
  <sheetData>
    <row r="1" spans="1:12" ht="11.25" customHeight="1">
      <c r="A1" s="832" t="s">
        <v>300</v>
      </c>
      <c r="B1" s="832"/>
      <c r="C1" s="832"/>
      <c r="D1" s="832"/>
      <c r="E1" s="832"/>
      <c r="F1" s="832"/>
      <c r="G1" s="832"/>
      <c r="H1" s="832"/>
      <c r="I1" s="832"/>
      <c r="J1" s="832"/>
      <c r="K1" s="832"/>
      <c r="L1" s="832"/>
    </row>
    <row r="2" spans="1:12" ht="13.2" customHeight="1">
      <c r="A2" s="768"/>
    </row>
    <row r="3" spans="1:12" ht="11.25" customHeight="1">
      <c r="A3" s="156"/>
      <c r="B3" s="156"/>
      <c r="C3" s="156"/>
      <c r="D3" s="156"/>
      <c r="E3" s="156"/>
      <c r="F3" s="156"/>
      <c r="G3" s="156"/>
      <c r="H3" s="156"/>
      <c r="I3" s="156"/>
      <c r="J3" s="156"/>
      <c r="K3" s="156"/>
      <c r="L3" s="164"/>
    </row>
    <row r="4" spans="1:12" ht="11.25" customHeight="1">
      <c r="A4" s="156"/>
      <c r="B4" s="769"/>
      <c r="C4" s="156"/>
      <c r="D4" s="156"/>
      <c r="E4" s="156"/>
      <c r="F4" s="156"/>
      <c r="G4" s="156"/>
      <c r="H4" s="156"/>
      <c r="I4" s="156"/>
      <c r="J4" s="156"/>
      <c r="K4" s="156"/>
      <c r="L4" s="14"/>
    </row>
    <row r="5" spans="1:12" ht="11.25" customHeight="1">
      <c r="A5" s="156"/>
      <c r="B5" s="156"/>
      <c r="C5" s="156"/>
      <c r="D5" s="156"/>
      <c r="E5" s="156"/>
      <c r="F5" s="156"/>
      <c r="G5" s="156"/>
      <c r="H5" s="156"/>
      <c r="I5" s="156"/>
      <c r="J5" s="156"/>
      <c r="K5" s="156"/>
      <c r="L5" s="14"/>
    </row>
    <row r="6" spans="1:12" ht="11.25" customHeight="1">
      <c r="A6" s="156"/>
      <c r="B6" s="156"/>
      <c r="C6" s="156"/>
      <c r="D6" s="156"/>
      <c r="E6" s="156"/>
      <c r="F6" s="156"/>
      <c r="G6" s="156"/>
      <c r="H6" s="156"/>
      <c r="I6" s="156"/>
      <c r="J6" s="156"/>
      <c r="K6" s="156"/>
      <c r="L6" s="14"/>
    </row>
    <row r="7" spans="1:12" ht="11.25" customHeight="1">
      <c r="A7" s="156"/>
      <c r="B7" s="157"/>
      <c r="C7" s="156"/>
      <c r="D7" s="156"/>
      <c r="E7" s="156"/>
      <c r="F7" s="156"/>
      <c r="G7" s="156"/>
      <c r="H7" s="156"/>
      <c r="I7" s="156"/>
      <c r="J7" s="156"/>
      <c r="K7" s="156"/>
      <c r="L7" s="14"/>
    </row>
    <row r="8" spans="1:12" ht="11.25" customHeight="1">
      <c r="A8" s="156"/>
      <c r="B8" s="157"/>
      <c r="C8" s="156"/>
      <c r="D8" s="156"/>
      <c r="E8" s="156"/>
      <c r="F8" s="156"/>
      <c r="G8" s="156"/>
      <c r="H8" s="156"/>
      <c r="I8" s="156"/>
      <c r="J8" s="156"/>
      <c r="K8" s="156"/>
      <c r="L8" s="14"/>
    </row>
    <row r="9" spans="1:12" ht="11.25" customHeight="1">
      <c r="A9" s="156"/>
      <c r="B9" s="157"/>
      <c r="C9" s="156"/>
      <c r="D9" s="156"/>
      <c r="E9" s="156"/>
      <c r="F9" s="156"/>
      <c r="G9" s="156"/>
      <c r="H9" s="156"/>
      <c r="I9" s="156"/>
      <c r="J9" s="156"/>
      <c r="K9" s="156"/>
      <c r="L9" s="14"/>
    </row>
    <row r="10" spans="1:12" ht="11.25" customHeight="1">
      <c r="A10" s="156"/>
      <c r="B10" s="156"/>
      <c r="C10" s="156"/>
      <c r="D10" s="156"/>
      <c r="E10" s="156"/>
      <c r="F10" s="156"/>
      <c r="G10" s="156"/>
      <c r="H10" s="156"/>
      <c r="I10" s="156"/>
      <c r="J10" s="156"/>
      <c r="K10" s="156"/>
      <c r="L10" s="14"/>
    </row>
    <row r="11" spans="1:12" ht="11.25" customHeight="1">
      <c r="A11" s="156"/>
      <c r="B11" s="156"/>
      <c r="C11" s="156"/>
      <c r="D11" s="156"/>
      <c r="E11" s="156"/>
      <c r="F11" s="156"/>
      <c r="G11" s="156"/>
      <c r="H11" s="156"/>
      <c r="I11" s="156"/>
      <c r="J11" s="156"/>
      <c r="K11" s="156"/>
      <c r="L11" s="14"/>
    </row>
    <row r="12" spans="1:12" ht="11.25" customHeight="1">
      <c r="A12" s="156"/>
      <c r="B12" s="156"/>
      <c r="C12" s="156"/>
      <c r="D12" s="156"/>
      <c r="E12" s="156"/>
      <c r="F12" s="156"/>
      <c r="G12" s="156"/>
      <c r="H12" s="156"/>
      <c r="I12" s="156"/>
      <c r="J12" s="156"/>
      <c r="K12" s="156"/>
      <c r="L12" s="14"/>
    </row>
    <row r="13" spans="1:12" ht="11.25" customHeight="1">
      <c r="A13" s="156"/>
      <c r="B13" s="156"/>
      <c r="C13" s="156"/>
      <c r="D13" s="156"/>
      <c r="E13" s="156"/>
      <c r="F13" s="156"/>
      <c r="G13" s="156"/>
      <c r="H13" s="156"/>
      <c r="I13" s="156"/>
      <c r="J13" s="156"/>
      <c r="K13" s="156"/>
      <c r="L13" s="14"/>
    </row>
    <row r="14" spans="1:12" ht="11.25" customHeight="1">
      <c r="A14" s="156"/>
      <c r="B14" s="156"/>
      <c r="C14" s="156"/>
      <c r="D14" s="156"/>
      <c r="E14" s="156"/>
      <c r="F14" s="156"/>
      <c r="G14" s="156"/>
      <c r="H14" s="156"/>
      <c r="I14" s="156"/>
      <c r="J14" s="156"/>
      <c r="K14" s="156"/>
      <c r="L14" s="14"/>
    </row>
    <row r="15" spans="1:12" ht="11.25" customHeight="1">
      <c r="A15" s="156"/>
      <c r="B15" s="156"/>
      <c r="C15" s="156"/>
      <c r="D15" s="156"/>
      <c r="E15" s="156"/>
      <c r="F15" s="156"/>
      <c r="G15" s="156"/>
      <c r="H15" s="156"/>
      <c r="I15" s="156"/>
      <c r="J15" s="156"/>
      <c r="K15" s="156"/>
      <c r="L15" s="14"/>
    </row>
    <row r="16" spans="1:12" ht="11.25" customHeight="1">
      <c r="A16" s="156"/>
      <c r="B16" s="156"/>
      <c r="C16" s="156"/>
      <c r="D16" s="156"/>
      <c r="E16" s="156"/>
      <c r="F16" s="156"/>
      <c r="G16" s="156"/>
      <c r="H16" s="156"/>
      <c r="I16" s="156"/>
      <c r="J16" s="156"/>
      <c r="K16" s="156"/>
      <c r="L16" s="14"/>
    </row>
    <row r="17" spans="1:12" ht="11.25" customHeight="1">
      <c r="A17" s="156"/>
      <c r="B17" s="156"/>
      <c r="C17" s="156"/>
      <c r="D17" s="156"/>
      <c r="E17" s="156"/>
      <c r="F17" s="156"/>
      <c r="G17" s="156"/>
      <c r="H17" s="156"/>
      <c r="I17" s="156"/>
      <c r="J17" s="156"/>
      <c r="K17" s="156"/>
      <c r="L17" s="14"/>
    </row>
    <row r="18" spans="1:12" ht="11.25" customHeight="1">
      <c r="A18" s="156"/>
      <c r="B18" s="156"/>
      <c r="C18" s="156"/>
      <c r="D18" s="156"/>
      <c r="E18" s="156"/>
      <c r="F18" s="156"/>
      <c r="G18" s="156"/>
      <c r="H18" s="156"/>
      <c r="I18" s="156"/>
      <c r="J18" s="156"/>
      <c r="K18" s="156"/>
      <c r="L18" s="164"/>
    </row>
    <row r="19" spans="1:12" ht="11.25" customHeight="1">
      <c r="A19" s="156"/>
      <c r="B19" s="156"/>
      <c r="C19" s="156"/>
      <c r="D19" s="156"/>
      <c r="E19" s="156"/>
      <c r="F19" s="156"/>
      <c r="G19" s="156"/>
      <c r="H19" s="156"/>
      <c r="I19" s="156"/>
      <c r="J19" s="156"/>
      <c r="K19" s="156"/>
      <c r="L19" s="164"/>
    </row>
    <row r="20" spans="1:12" ht="11.25" customHeight="1">
      <c r="A20" s="156"/>
      <c r="B20" s="156"/>
      <c r="C20" s="156"/>
      <c r="D20" s="156"/>
      <c r="E20" s="156"/>
      <c r="F20" s="156"/>
      <c r="G20" s="156"/>
      <c r="H20" s="156"/>
      <c r="I20" s="156"/>
      <c r="J20" s="156"/>
      <c r="K20" s="156"/>
      <c r="L20" s="164"/>
    </row>
    <row r="21" spans="1:12" ht="11.25" customHeight="1">
      <c r="A21" s="156"/>
      <c r="B21" s="156"/>
      <c r="C21" s="156"/>
      <c r="D21" s="156"/>
      <c r="E21" s="156"/>
      <c r="F21" s="156"/>
      <c r="G21" s="156"/>
      <c r="H21" s="156"/>
      <c r="I21" s="156"/>
      <c r="J21" s="156"/>
      <c r="K21" s="156"/>
      <c r="L21" s="164"/>
    </row>
    <row r="22" spans="1:12" ht="11.25" customHeight="1">
      <c r="A22" s="156"/>
      <c r="B22" s="156"/>
      <c r="C22" s="156"/>
      <c r="D22" s="156"/>
      <c r="E22" s="156"/>
      <c r="F22" s="156"/>
      <c r="G22" s="156"/>
      <c r="H22" s="156"/>
      <c r="I22" s="156"/>
      <c r="J22" s="156"/>
      <c r="K22" s="156"/>
      <c r="L22" s="164"/>
    </row>
    <row r="23" spans="1:12" ht="11.25" customHeight="1">
      <c r="A23" s="156"/>
      <c r="B23" s="156"/>
      <c r="C23" s="156"/>
      <c r="D23" s="156"/>
      <c r="E23" s="156"/>
      <c r="F23" s="156"/>
      <c r="G23" s="156"/>
      <c r="H23" s="156"/>
      <c r="I23" s="156"/>
      <c r="J23" s="156"/>
      <c r="K23" s="156"/>
      <c r="L23" s="164"/>
    </row>
    <row r="24" spans="1:12" ht="11.25" customHeight="1">
      <c r="A24" s="156"/>
      <c r="B24" s="156"/>
      <c r="C24" s="156"/>
      <c r="D24" s="156"/>
      <c r="E24" s="156"/>
      <c r="F24" s="156"/>
      <c r="G24" s="156"/>
      <c r="H24" s="156"/>
      <c r="I24" s="156"/>
      <c r="J24" s="156"/>
      <c r="K24" s="156"/>
      <c r="L24" s="164"/>
    </row>
    <row r="25" spans="1:12" ht="11.25" customHeight="1">
      <c r="A25" s="156"/>
      <c r="B25" s="156"/>
      <c r="C25" s="156"/>
      <c r="D25" s="156"/>
      <c r="E25" s="156"/>
      <c r="F25" s="156"/>
      <c r="G25" s="156"/>
      <c r="H25" s="156"/>
      <c r="I25" s="156"/>
      <c r="J25" s="156"/>
      <c r="K25" s="156"/>
      <c r="L25" s="164"/>
    </row>
    <row r="26" spans="1:12" ht="11.25" customHeight="1">
      <c r="A26" s="156"/>
      <c r="B26" s="156"/>
      <c r="C26" s="156"/>
      <c r="D26" s="156"/>
      <c r="E26" s="156"/>
      <c r="F26" s="156"/>
      <c r="G26" s="156"/>
      <c r="H26" s="156"/>
      <c r="I26" s="156"/>
      <c r="J26" s="156"/>
      <c r="K26" s="156"/>
      <c r="L26" s="164"/>
    </row>
    <row r="27" spans="1:12" ht="11.25" customHeight="1">
      <c r="A27" s="156"/>
      <c r="B27" s="156"/>
      <c r="C27" s="156"/>
      <c r="D27" s="156"/>
      <c r="E27" s="156"/>
      <c r="F27" s="156"/>
      <c r="G27" s="156"/>
      <c r="H27" s="156"/>
      <c r="I27" s="156"/>
      <c r="J27" s="156"/>
      <c r="K27" s="156"/>
      <c r="L27" s="164"/>
    </row>
    <row r="28" spans="1:12" ht="11.25" customHeight="1">
      <c r="A28" s="156"/>
      <c r="B28" s="156"/>
      <c r="C28" s="156"/>
      <c r="D28" s="156"/>
      <c r="E28" s="156"/>
      <c r="F28" s="156"/>
      <c r="G28" s="156"/>
      <c r="H28" s="156"/>
      <c r="I28" s="156"/>
      <c r="J28" s="156"/>
      <c r="K28" s="156"/>
      <c r="L28" s="164"/>
    </row>
    <row r="29" spans="1:12" ht="11.25" customHeight="1">
      <c r="A29" s="156"/>
      <c r="B29" s="156"/>
      <c r="C29" s="156"/>
      <c r="D29" s="156"/>
      <c r="E29" s="156"/>
      <c r="F29" s="156"/>
      <c r="G29" s="156"/>
      <c r="H29" s="156"/>
      <c r="I29" s="156"/>
      <c r="J29" s="156"/>
      <c r="K29" s="156"/>
      <c r="L29" s="164"/>
    </row>
    <row r="30" spans="1:12" ht="11.25" customHeight="1">
      <c r="A30" s="156"/>
      <c r="B30" s="156"/>
      <c r="C30" s="156"/>
      <c r="D30" s="156"/>
      <c r="E30" s="156"/>
      <c r="F30" s="156"/>
      <c r="G30" s="156"/>
      <c r="H30" s="156"/>
      <c r="I30" s="156"/>
      <c r="J30" s="156"/>
      <c r="K30" s="156"/>
      <c r="L30" s="164"/>
    </row>
    <row r="31" spans="1:12" ht="11.25" customHeight="1">
      <c r="A31" s="156"/>
      <c r="B31" s="156"/>
      <c r="C31" s="156"/>
      <c r="D31" s="156"/>
      <c r="E31" s="156"/>
      <c r="F31" s="156"/>
      <c r="G31" s="156"/>
      <c r="H31" s="156"/>
      <c r="I31" s="156"/>
      <c r="J31" s="156"/>
      <c r="K31" s="156"/>
      <c r="L31" s="164"/>
    </row>
    <row r="32" spans="1:12" ht="11.25" customHeight="1">
      <c r="A32" s="156"/>
      <c r="B32" s="156"/>
      <c r="C32" s="156"/>
      <c r="D32" s="156"/>
      <c r="E32" s="156"/>
      <c r="F32" s="156"/>
      <c r="G32" s="156"/>
      <c r="H32" s="156"/>
      <c r="I32" s="156"/>
      <c r="J32" s="156"/>
      <c r="K32" s="156"/>
      <c r="L32" s="67"/>
    </row>
    <row r="33" spans="1:12" ht="11.25" customHeight="1">
      <c r="A33" s="156"/>
      <c r="B33" s="156"/>
      <c r="C33" s="156"/>
      <c r="D33" s="156"/>
      <c r="E33" s="156"/>
      <c r="F33" s="156"/>
      <c r="G33" s="156"/>
      <c r="H33" s="156"/>
      <c r="I33" s="156"/>
      <c r="J33" s="156"/>
      <c r="K33" s="156"/>
      <c r="L33" s="67"/>
    </row>
    <row r="34" spans="1:12" ht="11.25" customHeight="1">
      <c r="A34" s="156"/>
      <c r="B34" s="156"/>
      <c r="C34" s="156"/>
      <c r="D34" s="156"/>
      <c r="E34" s="156"/>
      <c r="F34" s="156"/>
      <c r="G34" s="156"/>
      <c r="H34" s="156"/>
      <c r="I34" s="156"/>
      <c r="J34" s="156"/>
      <c r="K34" s="156"/>
      <c r="L34" s="67"/>
    </row>
    <row r="35" spans="1:12" ht="11.25" customHeight="1">
      <c r="A35" s="156"/>
      <c r="B35" s="156"/>
      <c r="C35" s="156"/>
      <c r="D35" s="156"/>
      <c r="E35" s="156"/>
      <c r="F35" s="156"/>
      <c r="G35" s="156"/>
      <c r="H35" s="156"/>
      <c r="I35" s="156"/>
      <c r="J35" s="156"/>
      <c r="K35" s="156"/>
      <c r="L35" s="67"/>
    </row>
    <row r="36" spans="1:12" ht="11.25" customHeight="1">
      <c r="A36" s="156"/>
      <c r="B36" s="156"/>
      <c r="C36" s="156"/>
      <c r="D36" s="156"/>
      <c r="E36" s="156"/>
      <c r="F36" s="156"/>
      <c r="G36" s="156"/>
      <c r="H36" s="156"/>
      <c r="I36" s="156"/>
      <c r="J36" s="156"/>
      <c r="K36" s="156"/>
      <c r="L36" s="67"/>
    </row>
    <row r="37" spans="1:12" ht="11.25" customHeight="1">
      <c r="A37" s="156"/>
      <c r="B37" s="156"/>
      <c r="C37" s="156"/>
      <c r="D37" s="156"/>
      <c r="E37" s="156"/>
      <c r="F37" s="156"/>
      <c r="G37" s="156"/>
      <c r="H37" s="156"/>
      <c r="I37" s="156"/>
      <c r="J37" s="156"/>
      <c r="K37" s="156"/>
      <c r="L37" s="67"/>
    </row>
    <row r="38" spans="1:12" ht="11.25" customHeight="1">
      <c r="A38" s="156"/>
      <c r="B38" s="156"/>
      <c r="C38" s="156"/>
      <c r="D38" s="156"/>
      <c r="E38" s="156"/>
      <c r="F38" s="156"/>
      <c r="G38" s="156"/>
      <c r="H38" s="156"/>
      <c r="I38" s="156"/>
      <c r="J38" s="156"/>
      <c r="K38" s="156"/>
      <c r="L38" s="67"/>
    </row>
    <row r="39" spans="1:12" ht="11.25" customHeight="1">
      <c r="A39" s="156"/>
      <c r="B39" s="156"/>
      <c r="C39" s="156"/>
      <c r="D39" s="156"/>
      <c r="E39" s="156"/>
      <c r="F39" s="156"/>
      <c r="G39" s="156"/>
      <c r="H39" s="156"/>
      <c r="I39" s="156"/>
      <c r="J39" s="156"/>
      <c r="K39" s="156"/>
      <c r="L39" s="67"/>
    </row>
    <row r="40" spans="1:12" ht="11.25" customHeight="1">
      <c r="A40" s="156"/>
      <c r="B40" s="156"/>
      <c r="C40" s="156"/>
      <c r="D40" s="156"/>
      <c r="E40" s="156"/>
      <c r="F40" s="156"/>
      <c r="G40" s="156"/>
      <c r="H40" s="156"/>
      <c r="I40" s="156"/>
      <c r="J40" s="156"/>
      <c r="K40" s="156"/>
      <c r="L40" s="67"/>
    </row>
    <row r="41" spans="1:12" ht="11.25" customHeight="1">
      <c r="A41" s="156"/>
      <c r="B41" s="156"/>
      <c r="C41" s="156"/>
      <c r="D41" s="156"/>
      <c r="E41" s="156"/>
      <c r="F41" s="156"/>
      <c r="G41" s="156"/>
      <c r="H41" s="156"/>
      <c r="I41" s="156"/>
      <c r="J41" s="156"/>
      <c r="K41" s="156"/>
      <c r="L41" s="67"/>
    </row>
    <row r="42" spans="1:12" ht="11.25" customHeight="1">
      <c r="A42" s="156"/>
      <c r="B42" s="156"/>
      <c r="C42" s="156"/>
      <c r="D42" s="156"/>
      <c r="E42" s="156"/>
      <c r="F42" s="156"/>
      <c r="G42" s="156"/>
      <c r="H42" s="156"/>
      <c r="I42" s="156"/>
      <c r="J42" s="156"/>
      <c r="K42" s="156"/>
      <c r="L42" s="67"/>
    </row>
    <row r="43" spans="1:12" ht="11.25" customHeight="1">
      <c r="A43" s="156"/>
      <c r="B43" s="156"/>
      <c r="C43" s="156"/>
      <c r="D43" s="156"/>
      <c r="E43" s="156"/>
      <c r="F43" s="156"/>
      <c r="G43" s="156"/>
      <c r="H43" s="156"/>
      <c r="I43" s="156"/>
      <c r="J43" s="156"/>
      <c r="K43" s="156"/>
      <c r="L43" s="67"/>
    </row>
    <row r="44" spans="1:12" ht="11.25" customHeight="1">
      <c r="A44" s="68"/>
      <c r="B44" s="68"/>
      <c r="C44" s="68"/>
      <c r="D44" s="68"/>
      <c r="E44" s="68"/>
      <c r="F44" s="68"/>
      <c r="G44" s="68"/>
      <c r="H44" s="68"/>
      <c r="I44" s="68"/>
      <c r="J44" s="68"/>
      <c r="K44" s="156"/>
      <c r="L44" s="67"/>
    </row>
    <row r="45" spans="1:12" ht="11.25" customHeight="1">
      <c r="A45" s="68"/>
      <c r="B45" s="68"/>
      <c r="C45" s="68"/>
      <c r="D45" s="68"/>
      <c r="E45" s="68"/>
      <c r="F45" s="68"/>
      <c r="G45" s="68"/>
      <c r="H45" s="68"/>
      <c r="I45" s="68"/>
      <c r="J45" s="68"/>
      <c r="K45" s="156"/>
      <c r="L45" s="67"/>
    </row>
    <row r="46" spans="1:12" ht="11.25" customHeight="1">
      <c r="A46" s="68"/>
      <c r="B46" s="68"/>
      <c r="C46" s="68"/>
      <c r="D46" s="68"/>
      <c r="E46" s="68"/>
      <c r="F46" s="68"/>
      <c r="G46" s="68"/>
      <c r="H46" s="68"/>
      <c r="I46" s="68"/>
      <c r="J46" s="68"/>
      <c r="K46" s="156"/>
      <c r="L46" s="67"/>
    </row>
    <row r="47" spans="1:12" ht="11.25" customHeight="1">
      <c r="A47" s="68"/>
      <c r="B47" s="68"/>
      <c r="C47" s="68"/>
      <c r="D47" s="68"/>
      <c r="E47" s="68"/>
      <c r="F47" s="68"/>
      <c r="G47" s="68"/>
      <c r="H47" s="68"/>
      <c r="I47" s="68"/>
      <c r="J47" s="68"/>
      <c r="K47" s="156"/>
      <c r="L47" s="67"/>
    </row>
    <row r="48" spans="1:12" ht="11.25" customHeight="1">
      <c r="A48" s="68"/>
      <c r="B48" s="68"/>
      <c r="C48" s="68"/>
      <c r="D48" s="68"/>
      <c r="E48" s="68"/>
      <c r="F48" s="68"/>
      <c r="G48" s="68"/>
      <c r="H48" s="68"/>
      <c r="I48" s="68"/>
      <c r="J48" s="68"/>
      <c r="K48" s="156"/>
      <c r="L48" s="67"/>
    </row>
    <row r="49" spans="1:12" ht="11.25" customHeight="1">
      <c r="A49" s="68"/>
      <c r="B49" s="68"/>
      <c r="C49" s="68"/>
      <c r="D49" s="68"/>
      <c r="E49" s="68"/>
      <c r="F49" s="68"/>
      <c r="G49" s="68"/>
      <c r="H49" s="68"/>
      <c r="I49" s="68"/>
      <c r="J49" s="68"/>
      <c r="K49" s="156"/>
      <c r="L49" s="67"/>
    </row>
    <row r="50" spans="1:12" ht="13.2">
      <c r="A50" s="68"/>
      <c r="B50" s="68"/>
      <c r="C50" s="68"/>
      <c r="D50" s="68"/>
      <c r="E50" s="68"/>
      <c r="F50" s="68"/>
      <c r="G50" s="68"/>
      <c r="H50" s="68"/>
      <c r="I50" s="68"/>
      <c r="J50" s="68"/>
      <c r="K50" s="156"/>
      <c r="L50" s="67"/>
    </row>
    <row r="51" spans="1:12" ht="13.2">
      <c r="A51" s="68"/>
      <c r="B51" s="68"/>
      <c r="C51" s="68"/>
      <c r="D51" s="68"/>
      <c r="E51" s="68"/>
      <c r="F51" s="68"/>
      <c r="G51" s="68"/>
      <c r="H51" s="68"/>
      <c r="I51" s="68"/>
      <c r="J51" s="68"/>
      <c r="K51" s="156"/>
      <c r="L51" s="67"/>
    </row>
    <row r="52" spans="1:12" ht="13.2">
      <c r="A52" s="68"/>
      <c r="B52" s="68"/>
      <c r="C52" s="68"/>
      <c r="D52" s="68"/>
      <c r="E52" s="68"/>
      <c r="F52" s="68"/>
      <c r="G52" s="68"/>
      <c r="H52" s="68"/>
      <c r="I52" s="68"/>
      <c r="J52" s="68"/>
      <c r="K52" s="156"/>
      <c r="L52" s="67"/>
    </row>
    <row r="53" spans="1:12" ht="13.2">
      <c r="A53" s="68"/>
      <c r="B53" s="68"/>
      <c r="C53" s="68"/>
      <c r="D53" s="68"/>
      <c r="E53" s="68"/>
      <c r="F53" s="68"/>
      <c r="G53" s="68"/>
      <c r="H53" s="68"/>
      <c r="I53" s="68"/>
      <c r="J53" s="68"/>
      <c r="K53" s="156"/>
      <c r="L53" s="67"/>
    </row>
    <row r="54" spans="1:12" ht="13.2">
      <c r="A54" s="68"/>
      <c r="B54" s="68"/>
      <c r="C54" s="68"/>
      <c r="D54" s="68"/>
      <c r="E54" s="68"/>
      <c r="F54" s="68"/>
      <c r="G54" s="68"/>
      <c r="H54" s="68"/>
      <c r="I54" s="68"/>
      <c r="J54" s="68"/>
      <c r="K54" s="156"/>
      <c r="L54" s="67"/>
    </row>
    <row r="55" spans="1:12" ht="13.2">
      <c r="A55" s="68"/>
      <c r="B55" s="68"/>
      <c r="C55" s="68"/>
      <c r="D55" s="68"/>
      <c r="E55" s="68"/>
      <c r="F55" s="68"/>
      <c r="G55" s="68"/>
      <c r="H55" s="68"/>
      <c r="I55" s="68"/>
      <c r="J55" s="68"/>
      <c r="K55" s="156"/>
      <c r="L55" s="67"/>
    </row>
    <row r="56" spans="1:12" ht="13.2">
      <c r="A56" s="68"/>
      <c r="B56" s="68"/>
      <c r="C56" s="68"/>
      <c r="D56" s="68"/>
      <c r="E56" s="68"/>
      <c r="F56" s="68"/>
      <c r="G56" s="68"/>
      <c r="H56" s="68"/>
      <c r="I56" s="68"/>
      <c r="J56" s="68"/>
      <c r="K56" s="156"/>
      <c r="L56" s="67"/>
    </row>
    <row r="57" spans="1:12" ht="13.2">
      <c r="A57" s="68"/>
      <c r="B57" s="68"/>
      <c r="C57" s="68"/>
      <c r="D57" s="68"/>
      <c r="E57" s="68"/>
      <c r="F57" s="68"/>
      <c r="G57" s="68"/>
      <c r="H57" s="68"/>
      <c r="I57" s="68"/>
      <c r="J57" s="68"/>
      <c r="K57" s="156"/>
      <c r="L57" s="67"/>
    </row>
    <row r="58" spans="1:12" ht="13.2">
      <c r="A58" s="68"/>
      <c r="B58" s="68"/>
      <c r="C58" s="68"/>
      <c r="D58" s="68"/>
      <c r="E58" s="68"/>
      <c r="F58" s="68"/>
      <c r="G58" s="68"/>
      <c r="H58" s="68"/>
      <c r="I58" s="68"/>
      <c r="J58" s="68"/>
      <c r="K58" s="156"/>
      <c r="L58" s="67"/>
    </row>
    <row r="59" spans="1:12" ht="13.2">
      <c r="A59" s="68"/>
      <c r="B59" s="68"/>
      <c r="C59" s="68"/>
      <c r="D59" s="68"/>
      <c r="E59" s="68"/>
      <c r="F59" s="68"/>
      <c r="G59" s="68"/>
      <c r="H59" s="68"/>
      <c r="I59" s="68"/>
      <c r="J59" s="68"/>
      <c r="K59" s="156"/>
      <c r="L59" s="67"/>
    </row>
    <row r="60" spans="1:12" ht="13.2">
      <c r="A60" s="68"/>
      <c r="B60" s="68"/>
      <c r="C60" s="68"/>
      <c r="D60" s="68"/>
      <c r="E60" s="68"/>
      <c r="F60" s="68"/>
      <c r="G60" s="68"/>
      <c r="H60" s="68"/>
      <c r="I60" s="68"/>
      <c r="J60" s="68"/>
      <c r="K60" s="156"/>
      <c r="L60" s="67"/>
    </row>
    <row r="61" spans="1:12" ht="13.2">
      <c r="A61" s="68"/>
      <c r="B61" s="68"/>
      <c r="C61" s="68"/>
      <c r="D61" s="68"/>
      <c r="E61" s="68"/>
      <c r="F61" s="68"/>
      <c r="G61" s="68"/>
      <c r="H61" s="68"/>
      <c r="I61" s="68"/>
      <c r="J61" s="68"/>
      <c r="K61" s="156"/>
      <c r="L61" s="67"/>
    </row>
    <row r="62" spans="1:12" ht="13.2">
      <c r="A62" s="68"/>
      <c r="B62" s="68"/>
      <c r="C62" s="68"/>
      <c r="D62" s="68"/>
      <c r="E62" s="68"/>
      <c r="F62" s="68"/>
      <c r="G62" s="68"/>
      <c r="H62" s="68"/>
      <c r="I62" s="68"/>
      <c r="J62" s="68"/>
      <c r="K62" s="156"/>
      <c r="L62" s="67"/>
    </row>
    <row r="63" spans="1:12" ht="13.2">
      <c r="A63" s="68"/>
      <c r="B63" s="68"/>
      <c r="C63" s="68"/>
      <c r="D63" s="68"/>
      <c r="E63" s="68"/>
      <c r="F63" s="68"/>
      <c r="G63" s="68"/>
      <c r="H63" s="68"/>
      <c r="I63" s="68"/>
      <c r="J63" s="68"/>
      <c r="K63" s="156"/>
      <c r="L63" s="67"/>
    </row>
    <row r="64" spans="1:12" ht="13.2">
      <c r="A64" s="68"/>
      <c r="B64" s="68"/>
      <c r="C64" s="68"/>
      <c r="D64" s="68"/>
      <c r="E64" s="68"/>
      <c r="F64" s="68"/>
      <c r="G64" s="68"/>
      <c r="H64" s="68"/>
      <c r="I64" s="68"/>
      <c r="J64" s="68"/>
      <c r="K64" s="156"/>
      <c r="L64" s="67"/>
    </row>
    <row r="65" spans="1:12" ht="13.2">
      <c r="A65" s="68"/>
      <c r="B65" s="68"/>
      <c r="C65" s="68"/>
      <c r="D65" s="68"/>
      <c r="E65" s="68"/>
      <c r="F65" s="68"/>
      <c r="G65" s="68"/>
      <c r="H65" s="68"/>
      <c r="I65" s="68"/>
      <c r="J65" s="68"/>
      <c r="K65" s="156"/>
      <c r="L65" s="67"/>
    </row>
    <row r="66" spans="1:12" ht="13.2">
      <c r="A66" s="68"/>
      <c r="B66" s="68"/>
      <c r="C66" s="68"/>
      <c r="D66" s="68"/>
      <c r="E66" s="68"/>
      <c r="F66" s="68"/>
      <c r="G66" s="68"/>
      <c r="H66" s="68"/>
      <c r="I66" s="68"/>
      <c r="J66" s="68"/>
      <c r="K66" s="156"/>
      <c r="L66" s="67"/>
    </row>
    <row r="67" spans="1:12" ht="13.2">
      <c r="A67" s="68"/>
      <c r="B67" s="68"/>
      <c r="C67" s="68"/>
      <c r="D67" s="68"/>
      <c r="E67" s="68"/>
      <c r="F67" s="68"/>
      <c r="G67" s="68"/>
      <c r="H67" s="68"/>
      <c r="I67" s="68"/>
      <c r="J67" s="68"/>
      <c r="K67" s="156"/>
      <c r="L67" s="67"/>
    </row>
    <row r="68" spans="1:12" ht="13.2">
      <c r="A68" s="68"/>
      <c r="B68" s="68"/>
      <c r="C68" s="68"/>
      <c r="D68" s="68"/>
      <c r="E68" s="68"/>
      <c r="F68" s="68"/>
      <c r="G68" s="68"/>
      <c r="H68" s="68"/>
      <c r="I68" s="68"/>
      <c r="J68" s="68"/>
      <c r="K68" s="156"/>
      <c r="L68" s="67"/>
    </row>
    <row r="69" spans="1:12" ht="13.2">
      <c r="A69" s="68"/>
      <c r="B69" s="68"/>
      <c r="C69" s="68"/>
      <c r="D69" s="68"/>
      <c r="E69" s="68"/>
      <c r="F69" s="68"/>
      <c r="G69" s="68"/>
      <c r="H69" s="68"/>
      <c r="I69" s="68"/>
      <c r="J69" s="68"/>
      <c r="K69" s="156"/>
      <c r="L69" s="67"/>
    </row>
    <row r="70" spans="1:12" ht="13.2">
      <c r="A70" s="165"/>
      <c r="B70" s="165"/>
      <c r="C70" s="165"/>
      <c r="D70" s="165"/>
      <c r="E70" s="165"/>
      <c r="F70" s="165"/>
      <c r="G70" s="165"/>
      <c r="H70" s="165"/>
      <c r="I70" s="165"/>
      <c r="J70" s="165"/>
      <c r="K70" s="156"/>
      <c r="L70" s="67"/>
    </row>
    <row r="71" spans="1:12" ht="13.2">
      <c r="A71" s="68"/>
      <c r="B71" s="67"/>
      <c r="C71" s="67"/>
      <c r="D71" s="67"/>
      <c r="E71" s="67"/>
      <c r="F71" s="67"/>
      <c r="G71" s="67"/>
      <c r="H71" s="67"/>
      <c r="I71" s="67"/>
      <c r="J71" s="67"/>
      <c r="K71" s="156"/>
      <c r="L71" s="67"/>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2"/>
  <sheetViews>
    <sheetView showGridLines="0" view="pageBreakPreview" zoomScale="115" zoomScaleNormal="100" zoomScaleSheetLayoutView="115" zoomScalePageLayoutView="115" workbookViewId="0">
      <selection activeCell="K7" sqref="K7"/>
    </sheetView>
  </sheetViews>
  <sheetFormatPr defaultColWidth="9.28515625" defaultRowHeight="10.199999999999999"/>
  <cols>
    <col min="1" max="1" width="12.85546875" style="40" customWidth="1"/>
    <col min="2" max="2" width="19.28515625" style="40" customWidth="1"/>
    <col min="3" max="3" width="25.7109375" style="40" customWidth="1"/>
    <col min="4" max="6" width="11.42578125" style="40" customWidth="1"/>
    <col min="7" max="7" width="10.85546875" style="40" customWidth="1"/>
    <col min="8" max="8" width="11.42578125" style="40" customWidth="1"/>
    <col min="9" max="9" width="9.28515625" style="40"/>
    <col min="10" max="11" width="9.28515625" style="40" customWidth="1"/>
    <col min="12" max="16384" width="9.28515625" style="40"/>
  </cols>
  <sheetData>
    <row r="1" spans="1:12" ht="4.5" customHeight="1"/>
    <row r="2" spans="1:12" ht="32.4" customHeight="1">
      <c r="A2" s="871" t="s">
        <v>299</v>
      </c>
      <c r="B2" s="871"/>
      <c r="C2" s="871"/>
      <c r="D2" s="871"/>
      <c r="E2" s="871"/>
      <c r="F2" s="871"/>
      <c r="G2" s="871"/>
      <c r="H2" s="871"/>
      <c r="I2" s="172"/>
      <c r="J2" s="172"/>
      <c r="K2" s="172"/>
    </row>
    <row r="3" spans="1:12" ht="3" customHeight="1">
      <c r="A3" s="70"/>
      <c r="B3" s="70"/>
      <c r="C3" s="70"/>
      <c r="D3" s="70"/>
      <c r="E3" s="70"/>
      <c r="F3" s="70"/>
      <c r="G3" s="70"/>
      <c r="H3" s="70"/>
      <c r="I3" s="173"/>
      <c r="J3" s="173"/>
      <c r="K3" s="173"/>
      <c r="L3" s="31"/>
    </row>
    <row r="4" spans="1:12" ht="15" customHeight="1">
      <c r="A4" s="870" t="s">
        <v>339</v>
      </c>
      <c r="B4" s="870"/>
      <c r="C4" s="870"/>
      <c r="D4" s="870"/>
      <c r="E4" s="870"/>
      <c r="F4" s="870"/>
      <c r="G4" s="870"/>
      <c r="H4" s="870"/>
      <c r="I4" s="167"/>
      <c r="J4" s="167"/>
      <c r="K4" s="167"/>
      <c r="L4" s="31"/>
    </row>
    <row r="5" spans="1:12" ht="11.25" customHeight="1">
      <c r="A5" s="70"/>
      <c r="B5" s="150"/>
      <c r="C5" s="71"/>
      <c r="D5" s="72"/>
      <c r="E5" s="72"/>
      <c r="F5" s="73"/>
      <c r="G5" s="69"/>
      <c r="H5" s="69"/>
      <c r="I5" s="168"/>
      <c r="J5" s="168"/>
      <c r="K5" s="168"/>
      <c r="L5" s="174"/>
    </row>
    <row r="6" spans="1:12" ht="30.75" customHeight="1">
      <c r="A6" s="343" t="s">
        <v>136</v>
      </c>
      <c r="B6" s="341" t="s">
        <v>137</v>
      </c>
      <c r="C6" s="341" t="s">
        <v>138</v>
      </c>
      <c r="D6" s="340" t="str">
        <f>UPPER('1. Resumen'!Q4)&amp;"
 "&amp;'1. Resumen'!Q5</f>
        <v>FEBRERO
 2025</v>
      </c>
      <c r="E6" s="340" t="str">
        <f>UPPER('1. Resumen'!Q4)&amp;"
 "&amp;'1. Resumen'!Q5-1</f>
        <v>FEBRERO
 2024</v>
      </c>
      <c r="F6" s="340" t="str">
        <f>UPPER('1. Resumen'!Q4)&amp;"
 "&amp;'1. Resumen'!Q5-2</f>
        <v>FEBRERO
 2023</v>
      </c>
      <c r="G6" s="341" t="s">
        <v>761</v>
      </c>
      <c r="H6" s="342" t="s">
        <v>397</v>
      </c>
      <c r="I6" s="168"/>
      <c r="J6" s="168"/>
      <c r="K6" s="168"/>
      <c r="L6" s="151"/>
    </row>
    <row r="7" spans="1:12" ht="17.399999999999999" customHeight="1">
      <c r="A7" s="872" t="s">
        <v>726</v>
      </c>
      <c r="B7" s="751" t="s">
        <v>719</v>
      </c>
      <c r="C7" s="482" t="s">
        <v>720</v>
      </c>
      <c r="D7" s="483">
        <v>38.433333333333337</v>
      </c>
      <c r="E7" s="483"/>
      <c r="F7" s="483">
        <v>51.38333333333334</v>
      </c>
      <c r="G7" s="594"/>
      <c r="H7" s="594"/>
      <c r="I7" s="168"/>
      <c r="J7" s="168"/>
      <c r="K7" s="168"/>
      <c r="L7" s="52"/>
    </row>
    <row r="8" spans="1:12" ht="17.399999999999999" customHeight="1">
      <c r="A8" s="873"/>
      <c r="B8" s="614" t="s">
        <v>995</v>
      </c>
      <c r="C8" s="482" t="s">
        <v>721</v>
      </c>
      <c r="D8" s="483">
        <v>9.8666666666666671</v>
      </c>
      <c r="E8" s="483">
        <v>10.566666666666665</v>
      </c>
      <c r="F8" s="483">
        <v>1.3000000000000007</v>
      </c>
      <c r="G8" s="594">
        <f t="shared" ref="G8:G13" si="0">+D8/E8-1</f>
        <v>-6.6246056782334195E-2</v>
      </c>
      <c r="H8" s="594">
        <f t="shared" ref="H8:H11" si="1">+E8/F8-1</f>
        <v>7.1282051282051224</v>
      </c>
      <c r="I8" s="168"/>
      <c r="J8" s="168"/>
      <c r="K8" s="168"/>
      <c r="L8" s="52"/>
    </row>
    <row r="9" spans="1:12" ht="17.399999999999999" customHeight="1">
      <c r="A9" s="872" t="s">
        <v>139</v>
      </c>
      <c r="B9" s="614" t="s">
        <v>996</v>
      </c>
      <c r="C9" s="482" t="s">
        <v>997</v>
      </c>
      <c r="D9" s="483"/>
      <c r="E9" s="483"/>
      <c r="F9" s="483">
        <v>7.0666666666666655</v>
      </c>
      <c r="G9" s="594"/>
      <c r="H9" s="594"/>
      <c r="I9" s="168"/>
      <c r="J9" s="168"/>
      <c r="K9" s="168"/>
      <c r="L9" s="52"/>
    </row>
    <row r="10" spans="1:12" ht="17.399999999999999" customHeight="1">
      <c r="A10" s="874"/>
      <c r="B10" s="614" t="s">
        <v>998</v>
      </c>
      <c r="C10" s="482" t="s">
        <v>999</v>
      </c>
      <c r="D10" s="483"/>
      <c r="E10" s="483"/>
      <c r="F10" s="483">
        <v>8.4833333333333325</v>
      </c>
      <c r="G10" s="594"/>
      <c r="H10" s="594"/>
      <c r="I10" s="168"/>
      <c r="J10" s="168"/>
      <c r="K10" s="168"/>
      <c r="L10" s="52"/>
    </row>
    <row r="11" spans="1:12" ht="17.399999999999999" customHeight="1">
      <c r="A11" s="874"/>
      <c r="B11" s="614" t="s">
        <v>724</v>
      </c>
      <c r="C11" s="482" t="s">
        <v>725</v>
      </c>
      <c r="D11" s="483">
        <v>1.6500000000000021</v>
      </c>
      <c r="E11" s="483">
        <v>0.86666666666666625</v>
      </c>
      <c r="F11" s="483">
        <v>1.0333333333333323</v>
      </c>
      <c r="G11" s="594">
        <f t="shared" si="0"/>
        <v>0.9038461538461573</v>
      </c>
      <c r="H11" s="594">
        <f t="shared" si="1"/>
        <v>-0.1612903225806448</v>
      </c>
      <c r="I11" s="168"/>
      <c r="J11" s="168"/>
      <c r="K11" s="168"/>
      <c r="L11" s="52"/>
    </row>
    <row r="12" spans="1:12" ht="17.399999999999999" customHeight="1">
      <c r="A12" s="874"/>
      <c r="B12" s="614" t="s">
        <v>1000</v>
      </c>
      <c r="C12" s="482" t="s">
        <v>565</v>
      </c>
      <c r="D12" s="483">
        <v>16.366666666666667</v>
      </c>
      <c r="E12" s="483"/>
      <c r="F12" s="483"/>
      <c r="G12" s="594"/>
      <c r="H12" s="594"/>
      <c r="I12" s="168"/>
      <c r="J12" s="168"/>
      <c r="K12" s="168"/>
      <c r="L12" s="52"/>
    </row>
    <row r="13" spans="1:12" ht="17.399999999999999" customHeight="1">
      <c r="A13" s="874"/>
      <c r="B13" s="614" t="s">
        <v>708</v>
      </c>
      <c r="C13" s="482" t="s">
        <v>709</v>
      </c>
      <c r="D13" s="483">
        <v>11.683333333333334</v>
      </c>
      <c r="E13" s="483">
        <v>2.6</v>
      </c>
      <c r="F13" s="483"/>
      <c r="G13" s="594">
        <f t="shared" si="0"/>
        <v>3.4935897435897436</v>
      </c>
      <c r="H13" s="594"/>
      <c r="I13" s="168"/>
      <c r="J13" s="168"/>
      <c r="K13" s="168"/>
      <c r="L13" s="52"/>
    </row>
    <row r="14" spans="1:12" ht="17.399999999999999" customHeight="1">
      <c r="A14" s="874"/>
      <c r="B14" s="614" t="s">
        <v>1001</v>
      </c>
      <c r="C14" s="482" t="s">
        <v>1002</v>
      </c>
      <c r="D14" s="483"/>
      <c r="E14" s="483"/>
      <c r="F14" s="483">
        <v>1.9499999999999984</v>
      </c>
      <c r="G14" s="594"/>
      <c r="H14" s="594"/>
      <c r="I14" s="168"/>
      <c r="J14" s="168"/>
      <c r="K14" s="168"/>
      <c r="L14" s="52"/>
    </row>
    <row r="15" spans="1:12" ht="17.399999999999999" customHeight="1">
      <c r="A15" s="873"/>
      <c r="B15" s="614" t="s">
        <v>722</v>
      </c>
      <c r="C15" s="482" t="s">
        <v>723</v>
      </c>
      <c r="D15" s="483">
        <v>0.49999999999999822</v>
      </c>
      <c r="E15" s="483"/>
      <c r="F15" s="483"/>
      <c r="G15" s="594"/>
      <c r="H15" s="594"/>
      <c r="I15" s="168"/>
      <c r="J15" s="168"/>
      <c r="K15" s="168"/>
      <c r="L15" s="52"/>
    </row>
    <row r="16" spans="1:12" ht="18.75" customHeight="1">
      <c r="A16" s="334" t="s">
        <v>140</v>
      </c>
      <c r="B16" s="335"/>
      <c r="C16" s="336"/>
      <c r="D16" s="337">
        <f>SUM(D7:D15)</f>
        <v>78.5</v>
      </c>
      <c r="E16" s="337">
        <f>SUM(E7:E15)</f>
        <v>14.03333333333333</v>
      </c>
      <c r="F16" s="337">
        <f>SUM(F7:F15)</f>
        <v>71.216666666666669</v>
      </c>
      <c r="G16" s="451"/>
      <c r="H16" s="451"/>
      <c r="I16" s="168"/>
      <c r="J16" s="168"/>
      <c r="K16" s="169"/>
      <c r="L16" s="175"/>
    </row>
    <row r="17" spans="1:12" ht="11.25" customHeight="1">
      <c r="A17" s="230" t="str">
        <f>"Cuadro N° 14: Horas de operación de los principales equipos de congestión en "&amp;'1. Resumen'!Q4</f>
        <v>Cuadro N° 14: Horas de operación de los principales equipos de congestión en febrero</v>
      </c>
      <c r="B17" s="177"/>
      <c r="C17" s="178"/>
      <c r="D17" s="179"/>
      <c r="E17" s="179"/>
      <c r="F17" s="180"/>
      <c r="G17" s="69"/>
      <c r="H17" s="74"/>
      <c r="I17" s="168"/>
      <c r="J17" s="168"/>
      <c r="K17" s="169"/>
      <c r="L17" s="175"/>
    </row>
    <row r="18" spans="1:12" ht="11.25" customHeight="1">
      <c r="A18" s="129"/>
      <c r="B18" s="177"/>
      <c r="C18" s="178"/>
      <c r="D18" s="179"/>
      <c r="E18" s="179"/>
      <c r="F18" s="180"/>
      <c r="G18" s="69"/>
      <c r="H18" s="69"/>
      <c r="I18" s="168"/>
      <c r="J18" s="168"/>
      <c r="K18" s="169"/>
      <c r="L18" s="175"/>
    </row>
    <row r="19" spans="1:12" ht="11.25" customHeight="1">
      <c r="A19" s="129"/>
      <c r="B19" s="177"/>
      <c r="C19" s="178"/>
      <c r="D19" s="179"/>
      <c r="E19" s="179"/>
      <c r="F19" s="180"/>
      <c r="G19" s="69"/>
      <c r="H19" s="69"/>
      <c r="I19" s="168"/>
      <c r="J19" s="168"/>
      <c r="K19" s="169"/>
      <c r="L19" s="175"/>
    </row>
    <row r="20" spans="1:12" ht="11.25" customHeight="1">
      <c r="A20" s="70"/>
      <c r="B20" s="150"/>
      <c r="C20" s="71"/>
      <c r="D20" s="72"/>
      <c r="E20" s="72"/>
      <c r="F20" s="73"/>
      <c r="G20" s="69"/>
      <c r="H20" s="69"/>
      <c r="I20" s="168"/>
      <c r="J20" s="168"/>
      <c r="K20" s="169"/>
      <c r="L20" s="175"/>
    </row>
    <row r="21" spans="1:12" ht="11.25" customHeight="1">
      <c r="A21" s="70"/>
      <c r="B21" s="150"/>
      <c r="C21" s="71"/>
      <c r="D21" s="72"/>
      <c r="E21" s="72"/>
      <c r="F21" s="73"/>
      <c r="G21" s="69"/>
      <c r="H21" s="69"/>
      <c r="I21" s="168"/>
      <c r="J21" s="168"/>
      <c r="K21" s="169"/>
      <c r="L21" s="175"/>
    </row>
    <row r="22" spans="1:12" ht="11.25" customHeight="1">
      <c r="A22" s="70"/>
      <c r="B22" s="150"/>
      <c r="C22" s="71"/>
      <c r="D22" s="72"/>
      <c r="E22" s="72"/>
      <c r="F22" s="73"/>
      <c r="G22" s="69"/>
      <c r="H22" s="69"/>
      <c r="I22" s="168"/>
      <c r="J22" s="168"/>
      <c r="K22" s="169"/>
      <c r="L22" s="176"/>
    </row>
    <row r="23" spans="1:12" ht="11.25" customHeight="1">
      <c r="A23" s="70"/>
      <c r="B23" s="150"/>
      <c r="C23" s="71"/>
      <c r="D23" s="72"/>
      <c r="E23" s="72"/>
      <c r="F23" s="73"/>
      <c r="G23" s="69"/>
      <c r="H23" s="69"/>
      <c r="I23" s="168"/>
      <c r="J23" s="168"/>
      <c r="K23" s="169"/>
      <c r="L23" s="175"/>
    </row>
    <row r="24" spans="1:12" ht="11.25" customHeight="1">
      <c r="A24" s="70"/>
      <c r="B24" s="150"/>
      <c r="C24" s="71"/>
      <c r="D24" s="72"/>
      <c r="E24" s="72"/>
      <c r="F24" s="73"/>
      <c r="G24" s="69"/>
      <c r="H24" s="69"/>
      <c r="I24" s="168"/>
      <c r="J24" s="168"/>
      <c r="K24" s="169"/>
      <c r="L24" s="175"/>
    </row>
    <row r="25" spans="1:12" ht="11.25" customHeight="1">
      <c r="A25" s="70"/>
      <c r="B25" s="150"/>
      <c r="C25" s="71"/>
      <c r="D25" s="72"/>
      <c r="E25" s="72"/>
      <c r="F25" s="73"/>
      <c r="G25" s="69"/>
      <c r="H25" s="69"/>
      <c r="I25" s="168"/>
      <c r="J25" s="168"/>
      <c r="K25" s="168"/>
      <c r="L25" s="52"/>
    </row>
    <row r="26" spans="1:12" ht="11.25" customHeight="1">
      <c r="A26" s="70"/>
      <c r="B26" s="150"/>
      <c r="C26" s="71"/>
      <c r="D26" s="72"/>
      <c r="E26" s="72"/>
      <c r="F26" s="73"/>
      <c r="G26" s="69"/>
      <c r="H26" s="69"/>
      <c r="I26" s="168"/>
      <c r="J26" s="168"/>
      <c r="K26" s="169"/>
      <c r="L26" s="175"/>
    </row>
    <row r="27" spans="1:12" ht="11.25" customHeight="1">
      <c r="A27" s="70"/>
      <c r="B27" s="150"/>
      <c r="C27" s="71"/>
      <c r="D27" s="72"/>
      <c r="E27" s="72"/>
      <c r="F27" s="73"/>
      <c r="G27" s="69"/>
      <c r="H27" s="69"/>
      <c r="I27" s="168"/>
      <c r="J27" s="168"/>
      <c r="K27" s="170"/>
      <c r="L27" s="175"/>
    </row>
    <row r="28" spans="1:12" ht="11.25" customHeight="1">
      <c r="A28" s="70"/>
      <c r="B28" s="150"/>
      <c r="C28" s="71"/>
      <c r="D28" s="72"/>
      <c r="E28" s="72"/>
      <c r="F28" s="73"/>
      <c r="G28" s="69"/>
      <c r="H28" s="69"/>
      <c r="I28" s="168"/>
      <c r="J28" s="168"/>
      <c r="K28" s="170"/>
      <c r="L28" s="175"/>
    </row>
    <row r="29" spans="1:12" ht="11.25" customHeight="1">
      <c r="A29" s="70"/>
      <c r="B29" s="70"/>
      <c r="C29" s="70"/>
      <c r="D29" s="70"/>
      <c r="E29" s="70"/>
      <c r="F29" s="70"/>
      <c r="G29" s="70"/>
      <c r="H29" s="70"/>
      <c r="I29" s="168"/>
      <c r="J29" s="168"/>
      <c r="K29" s="170"/>
      <c r="L29" s="175"/>
    </row>
    <row r="30" spans="1:12" ht="11.25" customHeight="1">
      <c r="A30" s="70"/>
      <c r="B30" s="70"/>
      <c r="C30" s="70"/>
      <c r="D30" s="70"/>
      <c r="E30" s="70"/>
      <c r="F30" s="70"/>
      <c r="G30" s="70"/>
      <c r="H30" s="70"/>
      <c r="I30" s="168"/>
      <c r="J30" s="168"/>
      <c r="K30" s="170"/>
      <c r="L30" s="175"/>
    </row>
    <row r="31" spans="1:12" ht="11.25" customHeight="1">
      <c r="A31" s="70"/>
      <c r="B31" s="70"/>
      <c r="C31" s="70"/>
      <c r="D31" s="70"/>
      <c r="E31" s="70"/>
      <c r="F31" s="70"/>
      <c r="G31" s="70"/>
      <c r="H31" s="70"/>
      <c r="I31" s="168"/>
      <c r="J31" s="168"/>
      <c r="K31" s="170"/>
      <c r="L31" s="175"/>
    </row>
    <row r="32" spans="1:12" ht="11.25" customHeight="1">
      <c r="A32" s="70"/>
      <c r="B32" s="70"/>
      <c r="C32" s="70"/>
      <c r="D32" s="70"/>
      <c r="E32" s="70"/>
      <c r="F32" s="70"/>
      <c r="G32" s="70"/>
      <c r="H32" s="70"/>
      <c r="I32" s="168"/>
      <c r="J32" s="168"/>
      <c r="K32" s="170"/>
      <c r="L32" s="175"/>
    </row>
    <row r="33" spans="1:12" ht="11.25" customHeight="1">
      <c r="A33" s="70"/>
      <c r="B33" s="70"/>
      <c r="C33" s="70"/>
      <c r="D33" s="70"/>
      <c r="E33" s="70"/>
      <c r="F33" s="70"/>
      <c r="G33" s="70"/>
      <c r="H33" s="70"/>
      <c r="I33" s="168"/>
      <c r="J33" s="168"/>
      <c r="K33" s="170"/>
      <c r="L33" s="175"/>
    </row>
    <row r="34" spans="1:12" ht="11.25" customHeight="1">
      <c r="A34" s="70"/>
      <c r="B34" s="70"/>
      <c r="C34" s="70"/>
      <c r="D34" s="70"/>
      <c r="E34" s="70"/>
      <c r="F34" s="70"/>
      <c r="G34" s="70"/>
      <c r="H34" s="70"/>
      <c r="I34" s="168"/>
      <c r="J34" s="168"/>
      <c r="K34" s="170"/>
      <c r="L34" s="175"/>
    </row>
    <row r="35" spans="1:12" ht="11.25" customHeight="1">
      <c r="A35" s="70"/>
      <c r="B35" s="70"/>
      <c r="C35" s="70"/>
      <c r="D35" s="70"/>
      <c r="E35" s="70"/>
      <c r="F35" s="70"/>
      <c r="G35" s="70"/>
      <c r="H35" s="70"/>
      <c r="I35" s="168"/>
      <c r="J35" s="168"/>
      <c r="K35" s="170"/>
      <c r="L35" s="175"/>
    </row>
    <row r="36" spans="1:12" ht="11.25" customHeight="1">
      <c r="A36" s="70"/>
      <c r="B36" s="70"/>
      <c r="C36" s="70"/>
      <c r="D36" s="70"/>
      <c r="E36" s="70"/>
      <c r="F36" s="70"/>
      <c r="G36" s="70"/>
      <c r="H36" s="70"/>
      <c r="I36" s="168"/>
      <c r="J36" s="168"/>
      <c r="K36" s="170"/>
      <c r="L36" s="175"/>
    </row>
    <row r="37" spans="1:12" ht="11.25" customHeight="1">
      <c r="A37" s="70"/>
      <c r="B37" s="70"/>
      <c r="C37" s="70"/>
      <c r="D37" s="70"/>
      <c r="E37" s="70"/>
      <c r="F37" s="70"/>
      <c r="G37" s="70"/>
      <c r="H37" s="70"/>
      <c r="I37" s="168"/>
      <c r="J37" s="168"/>
      <c r="K37" s="170"/>
      <c r="L37" s="175"/>
    </row>
    <row r="38" spans="1:12" ht="11.25" customHeight="1">
      <c r="A38" s="70"/>
      <c r="B38" s="70"/>
      <c r="C38" s="70"/>
      <c r="D38" s="70"/>
      <c r="E38" s="70"/>
      <c r="F38" s="70"/>
      <c r="G38" s="70"/>
      <c r="H38" s="70"/>
      <c r="I38" s="168"/>
      <c r="J38" s="168"/>
      <c r="K38" s="170"/>
      <c r="L38" s="175"/>
    </row>
    <row r="39" spans="1:12" ht="11.25" customHeight="1">
      <c r="A39" s="70"/>
      <c r="B39" s="70"/>
      <c r="C39" s="70"/>
      <c r="D39" s="70"/>
      <c r="E39" s="70"/>
      <c r="F39" s="70"/>
      <c r="G39" s="70"/>
      <c r="H39" s="70"/>
      <c r="I39" s="168"/>
      <c r="J39" s="168"/>
      <c r="K39" s="170"/>
      <c r="L39" s="175"/>
    </row>
    <row r="40" spans="1:12" ht="11.25" customHeight="1">
      <c r="A40" s="70"/>
      <c r="B40" s="70"/>
      <c r="C40" s="70"/>
      <c r="D40" s="70"/>
      <c r="E40" s="70"/>
      <c r="F40" s="70"/>
      <c r="G40" s="70"/>
      <c r="H40" s="70"/>
      <c r="I40" s="168"/>
      <c r="J40" s="168"/>
      <c r="K40" s="171"/>
      <c r="L40" s="53"/>
    </row>
    <row r="41" spans="1:12" ht="11.25" customHeight="1">
      <c r="A41" s="70"/>
      <c r="B41" s="70"/>
      <c r="C41" s="70"/>
      <c r="D41" s="70"/>
      <c r="E41" s="70"/>
      <c r="F41" s="70"/>
      <c r="G41" s="70"/>
      <c r="H41" s="70"/>
      <c r="I41" s="168"/>
      <c r="J41" s="168"/>
      <c r="K41" s="171"/>
      <c r="L41" s="53"/>
    </row>
    <row r="42" spans="1:12" ht="11.25" customHeight="1">
      <c r="A42" s="70"/>
      <c r="B42" s="70"/>
      <c r="C42" s="70"/>
      <c r="D42" s="70"/>
      <c r="E42" s="70"/>
      <c r="F42" s="70"/>
      <c r="G42" s="70"/>
      <c r="H42" s="70"/>
      <c r="I42" s="168"/>
      <c r="J42" s="168"/>
      <c r="K42" s="171"/>
      <c r="L42" s="53"/>
    </row>
    <row r="43" spans="1:12" ht="11.25" customHeight="1">
      <c r="A43" s="70"/>
      <c r="B43" s="70"/>
      <c r="C43" s="70"/>
      <c r="D43" s="70"/>
      <c r="E43" s="70"/>
      <c r="F43" s="70"/>
      <c r="G43" s="70"/>
      <c r="H43" s="70"/>
      <c r="I43" s="168"/>
      <c r="J43" s="168"/>
      <c r="K43" s="171"/>
      <c r="L43" s="53"/>
    </row>
    <row r="44" spans="1:12" ht="11.25" customHeight="1">
      <c r="A44" s="70"/>
      <c r="B44" s="70"/>
      <c r="C44" s="70"/>
      <c r="D44" s="70"/>
      <c r="E44" s="70"/>
      <c r="F44" s="70"/>
      <c r="G44" s="70"/>
      <c r="H44" s="70"/>
      <c r="I44" s="168"/>
      <c r="J44" s="168"/>
      <c r="K44" s="171"/>
      <c r="L44" s="53"/>
    </row>
    <row r="45" spans="1:12" ht="11.25" customHeight="1">
      <c r="A45" s="70"/>
      <c r="B45" s="70"/>
      <c r="C45" s="70"/>
      <c r="D45" s="70"/>
      <c r="E45" s="70"/>
      <c r="F45" s="70"/>
      <c r="G45" s="70"/>
      <c r="H45" s="70"/>
      <c r="I45" s="168"/>
      <c r="J45" s="168"/>
      <c r="K45" s="171"/>
      <c r="L45" s="53"/>
    </row>
    <row r="46" spans="1:12" ht="11.25" customHeight="1">
      <c r="A46" s="70"/>
      <c r="B46" s="70"/>
      <c r="C46" s="70"/>
      <c r="D46" s="70"/>
      <c r="E46" s="70"/>
      <c r="F46" s="70"/>
      <c r="G46" s="70"/>
      <c r="H46" s="70"/>
      <c r="I46" s="168"/>
      <c r="J46" s="168"/>
      <c r="K46" s="171"/>
      <c r="L46" s="53"/>
    </row>
    <row r="47" spans="1:12">
      <c r="B47" s="27"/>
      <c r="C47" s="27"/>
      <c r="D47" s="27"/>
      <c r="E47" s="27"/>
      <c r="F47" s="27"/>
      <c r="G47" s="27"/>
      <c r="H47" s="169"/>
      <c r="I47" s="169"/>
      <c r="J47" s="169"/>
      <c r="K47" s="169"/>
    </row>
    <row r="52" spans="1:1">
      <c r="A52" s="230" t="str">
        <f>"Gráfico N° 23: Comparación de las horas de operación de los principales equipos de congestión en "&amp;'1. Resumen'!Q4&amp;"."</f>
        <v>Gráfico N° 23: Comparación de las horas de operación de los principales equipos de congestión en febrero.</v>
      </c>
    </row>
  </sheetData>
  <mergeCells count="4">
    <mergeCell ref="A4:H4"/>
    <mergeCell ref="A2:H2"/>
    <mergeCell ref="A7:A8"/>
    <mergeCell ref="A9:A1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2"/>
  <sheetViews>
    <sheetView showGridLines="0" view="pageBreakPreview" zoomScale="130" zoomScaleNormal="160" zoomScaleSheetLayoutView="130" zoomScalePageLayoutView="110" workbookViewId="0">
      <selection activeCell="K7" sqref="K7"/>
    </sheetView>
  </sheetViews>
  <sheetFormatPr defaultColWidth="9.28515625" defaultRowHeight="10.199999999999999"/>
  <cols>
    <col min="1" max="1" width="23.570312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1.7109375" customWidth="1"/>
    <col min="11" max="11" width="9.28515625" customWidth="1"/>
  </cols>
  <sheetData>
    <row r="1" spans="1:12" ht="11.25" customHeight="1"/>
    <row r="2" spans="1:12" ht="32.25" customHeight="1">
      <c r="A2" s="882" t="s">
        <v>324</v>
      </c>
      <c r="B2" s="882"/>
      <c r="C2" s="882"/>
      <c r="D2" s="882"/>
      <c r="E2" s="882"/>
      <c r="F2" s="882"/>
      <c r="G2" s="882"/>
      <c r="H2" s="882"/>
      <c r="I2" s="882"/>
      <c r="J2" s="882"/>
      <c r="K2" s="149"/>
    </row>
    <row r="3" spans="1:12" ht="6.75" customHeight="1">
      <c r="A3" s="14"/>
      <c r="B3" s="148"/>
      <c r="C3" s="181"/>
      <c r="D3" s="15"/>
      <c r="E3" s="15"/>
      <c r="F3" s="164"/>
      <c r="G3" s="60"/>
      <c r="H3" s="60"/>
      <c r="I3" s="65"/>
      <c r="J3" s="149"/>
      <c r="K3" s="149"/>
      <c r="L3" s="31"/>
    </row>
    <row r="4" spans="1:12" ht="15" customHeight="1">
      <c r="A4" s="883" t="s">
        <v>338</v>
      </c>
      <c r="B4" s="883"/>
      <c r="C4" s="883"/>
      <c r="D4" s="883"/>
      <c r="E4" s="883"/>
      <c r="F4" s="883"/>
      <c r="G4" s="883"/>
      <c r="H4" s="883"/>
      <c r="I4" s="883"/>
      <c r="J4" s="883"/>
      <c r="K4" s="149"/>
      <c r="L4" s="31"/>
    </row>
    <row r="5" spans="1:12" ht="38.25" customHeight="1">
      <c r="A5" s="880" t="s">
        <v>141</v>
      </c>
      <c r="B5" s="344" t="s">
        <v>142</v>
      </c>
      <c r="C5" s="345" t="s">
        <v>143</v>
      </c>
      <c r="D5" s="345" t="s">
        <v>144</v>
      </c>
      <c r="E5" s="345" t="s">
        <v>145</v>
      </c>
      <c r="F5" s="345" t="s">
        <v>146</v>
      </c>
      <c r="G5" s="345" t="s">
        <v>147</v>
      </c>
      <c r="H5" s="345" t="s">
        <v>148</v>
      </c>
      <c r="I5" s="346" t="s">
        <v>149</v>
      </c>
      <c r="J5" s="347" t="s">
        <v>150</v>
      </c>
      <c r="K5" s="123"/>
    </row>
    <row r="6" spans="1:12" ht="11.25" customHeight="1">
      <c r="A6" s="881"/>
      <c r="B6" s="437" t="s">
        <v>151</v>
      </c>
      <c r="C6" s="346" t="s">
        <v>152</v>
      </c>
      <c r="D6" s="346" t="s">
        <v>153</v>
      </c>
      <c r="E6" s="346" t="s">
        <v>154</v>
      </c>
      <c r="F6" s="346" t="s">
        <v>155</v>
      </c>
      <c r="G6" s="346" t="s">
        <v>156</v>
      </c>
      <c r="H6" s="346" t="s">
        <v>157</v>
      </c>
      <c r="I6" s="438"/>
      <c r="J6" s="439" t="s">
        <v>158</v>
      </c>
      <c r="K6" s="16"/>
    </row>
    <row r="7" spans="1:12" ht="10.8" customHeight="1">
      <c r="A7" s="443" t="s">
        <v>116</v>
      </c>
      <c r="B7" s="444"/>
      <c r="C7" s="444"/>
      <c r="D7" s="444"/>
      <c r="E7" s="444">
        <v>1</v>
      </c>
      <c r="F7" s="444"/>
      <c r="G7" s="444"/>
      <c r="H7" s="444"/>
      <c r="I7" s="445">
        <f>+SUM(B7:H7)</f>
        <v>1</v>
      </c>
      <c r="J7" s="446">
        <v>32.950000000000003</v>
      </c>
      <c r="K7" s="19"/>
    </row>
    <row r="8" spans="1:12" ht="10.8" customHeight="1">
      <c r="A8" s="443" t="s">
        <v>1003</v>
      </c>
      <c r="B8" s="444"/>
      <c r="C8" s="444"/>
      <c r="D8" s="444"/>
      <c r="E8" s="444"/>
      <c r="F8" s="444"/>
      <c r="G8" s="444"/>
      <c r="H8" s="444">
        <v>1</v>
      </c>
      <c r="I8" s="445">
        <f t="shared" ref="I8:I15" si="0">+SUM(B8:H8)</f>
        <v>1</v>
      </c>
      <c r="J8" s="446">
        <v>7.0000000000000007E-2</v>
      </c>
      <c r="K8" s="19"/>
    </row>
    <row r="9" spans="1:12" ht="10.8" customHeight="1">
      <c r="A9" s="443" t="s">
        <v>1004</v>
      </c>
      <c r="B9" s="444">
        <v>2</v>
      </c>
      <c r="C9" s="444"/>
      <c r="D9" s="444"/>
      <c r="E9" s="444"/>
      <c r="F9" s="444"/>
      <c r="G9" s="444"/>
      <c r="H9" s="444"/>
      <c r="I9" s="445">
        <f t="shared" si="0"/>
        <v>2</v>
      </c>
      <c r="J9" s="446">
        <v>2.0299999999999998</v>
      </c>
      <c r="K9" s="19"/>
    </row>
    <row r="10" spans="1:12" ht="10.8" customHeight="1">
      <c r="A10" s="443" t="s">
        <v>710</v>
      </c>
      <c r="B10" s="444"/>
      <c r="C10" s="444"/>
      <c r="D10" s="444">
        <v>1</v>
      </c>
      <c r="E10" s="444"/>
      <c r="F10" s="444"/>
      <c r="G10" s="444"/>
      <c r="H10" s="444"/>
      <c r="I10" s="445">
        <f t="shared" si="0"/>
        <v>1</v>
      </c>
      <c r="J10" s="446">
        <v>1.69</v>
      </c>
      <c r="K10" s="19"/>
    </row>
    <row r="11" spans="1:12" ht="10.8" customHeight="1">
      <c r="A11" s="443" t="s">
        <v>1005</v>
      </c>
      <c r="B11" s="444"/>
      <c r="C11" s="444">
        <v>1</v>
      </c>
      <c r="D11" s="444"/>
      <c r="E11" s="444"/>
      <c r="F11" s="444"/>
      <c r="G11" s="444"/>
      <c r="H11" s="444"/>
      <c r="I11" s="445">
        <f t="shared" si="0"/>
        <v>1</v>
      </c>
      <c r="J11" s="446">
        <v>0.87</v>
      </c>
      <c r="K11" s="19"/>
    </row>
    <row r="12" spans="1:12" ht="10.8" customHeight="1">
      <c r="A12" s="443" t="s">
        <v>696</v>
      </c>
      <c r="B12" s="444">
        <v>35</v>
      </c>
      <c r="C12" s="444">
        <v>5</v>
      </c>
      <c r="D12" s="444">
        <v>5</v>
      </c>
      <c r="E12" s="444">
        <v>8</v>
      </c>
      <c r="F12" s="444">
        <v>4</v>
      </c>
      <c r="G12" s="444">
        <v>5</v>
      </c>
      <c r="H12" s="444"/>
      <c r="I12" s="445">
        <f t="shared" si="0"/>
        <v>62</v>
      </c>
      <c r="J12" s="446">
        <v>1136.1300000000001</v>
      </c>
      <c r="K12" s="19"/>
    </row>
    <row r="13" spans="1:12" ht="10.8" customHeight="1">
      <c r="A13" s="443" t="s">
        <v>727</v>
      </c>
      <c r="B13" s="444"/>
      <c r="C13" s="444"/>
      <c r="D13" s="444"/>
      <c r="E13" s="444">
        <v>1</v>
      </c>
      <c r="F13" s="444">
        <v>2</v>
      </c>
      <c r="G13" s="444"/>
      <c r="H13" s="444"/>
      <c r="I13" s="445">
        <f t="shared" si="0"/>
        <v>3</v>
      </c>
      <c r="J13" s="446">
        <v>17.079999999999998</v>
      </c>
      <c r="K13" s="19"/>
    </row>
    <row r="14" spans="1:12" ht="10.8" customHeight="1">
      <c r="A14" s="443" t="s">
        <v>728</v>
      </c>
      <c r="B14" s="444"/>
      <c r="C14" s="444"/>
      <c r="D14" s="444"/>
      <c r="E14" s="444"/>
      <c r="F14" s="444">
        <v>1</v>
      </c>
      <c r="G14" s="444"/>
      <c r="H14" s="444"/>
      <c r="I14" s="445">
        <f t="shared" si="0"/>
        <v>1</v>
      </c>
      <c r="J14" s="446">
        <v>371.46</v>
      </c>
      <c r="K14" s="19"/>
    </row>
    <row r="15" spans="1:12" ht="10.8" customHeight="1">
      <c r="A15" s="443" t="s">
        <v>711</v>
      </c>
      <c r="B15" s="444"/>
      <c r="C15" s="444">
        <v>2</v>
      </c>
      <c r="D15" s="444"/>
      <c r="E15" s="444">
        <v>1</v>
      </c>
      <c r="F15" s="444"/>
      <c r="G15" s="444"/>
      <c r="H15" s="444"/>
      <c r="I15" s="445">
        <f t="shared" si="0"/>
        <v>3</v>
      </c>
      <c r="J15" s="446">
        <v>195.34</v>
      </c>
      <c r="K15" s="19"/>
    </row>
    <row r="16" spans="1:12" ht="14.25" customHeight="1">
      <c r="A16" s="442" t="s">
        <v>149</v>
      </c>
      <c r="B16" s="440">
        <f t="shared" ref="B16:J16" si="1">+SUM(B7:B15)</f>
        <v>37</v>
      </c>
      <c r="C16" s="440">
        <f t="shared" si="1"/>
        <v>8</v>
      </c>
      <c r="D16" s="440">
        <f t="shared" si="1"/>
        <v>6</v>
      </c>
      <c r="E16" s="440">
        <f t="shared" si="1"/>
        <v>11</v>
      </c>
      <c r="F16" s="440">
        <f t="shared" si="1"/>
        <v>7</v>
      </c>
      <c r="G16" s="440">
        <f t="shared" si="1"/>
        <v>5</v>
      </c>
      <c r="H16" s="440">
        <f t="shared" si="1"/>
        <v>1</v>
      </c>
      <c r="I16" s="440">
        <f t="shared" si="1"/>
        <v>75</v>
      </c>
      <c r="J16" s="613">
        <f t="shared" si="1"/>
        <v>1757.62</v>
      </c>
      <c r="K16" s="19"/>
    </row>
    <row r="17" spans="1:12" ht="11.25" customHeight="1">
      <c r="A17" s="88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2025</v>
      </c>
      <c r="B17" s="884"/>
      <c r="C17" s="884"/>
      <c r="D17" s="884"/>
      <c r="E17" s="884"/>
      <c r="F17" s="884"/>
      <c r="G17" s="884"/>
      <c r="H17" s="884"/>
      <c r="I17" s="884"/>
      <c r="J17" s="884"/>
      <c r="K17" s="19"/>
    </row>
    <row r="18" spans="1:12" ht="11.25" customHeight="1">
      <c r="K18" s="19"/>
    </row>
    <row r="19" spans="1:12" ht="11.25" customHeight="1">
      <c r="A19" s="14"/>
      <c r="B19" s="183"/>
      <c r="C19" s="182"/>
      <c r="D19" s="182"/>
      <c r="E19" s="182"/>
      <c r="F19" s="182"/>
      <c r="G19" s="153"/>
      <c r="H19" s="153"/>
      <c r="I19" s="130"/>
      <c r="J19" s="22"/>
      <c r="K19" s="22"/>
      <c r="L19" s="19"/>
    </row>
    <row r="20" spans="1:12" ht="11.25" customHeight="1">
      <c r="A20" s="877" t="str">
        <f>"FALLAS  POR TIPO DE CAUSA  -  "&amp;UPPER('1. Resumen'!Q4)&amp;" "&amp;'1. Resumen'!Q5</f>
        <v>FALLAS  POR TIPO DE CAUSA  -  FEBRERO 2025</v>
      </c>
      <c r="B20" s="877"/>
      <c r="C20" s="877"/>
      <c r="D20" s="877"/>
      <c r="E20" s="877" t="str">
        <f>"FALLAS  POR TIPO DE EQUIPO  -  "&amp;UPPER('1. Resumen'!Q4)&amp;" "&amp;'1. Resumen'!Q5</f>
        <v>FALLAS  POR TIPO DE EQUIPO  -  FEBRERO 2025</v>
      </c>
      <c r="F20" s="877"/>
      <c r="G20" s="877"/>
      <c r="H20" s="877"/>
      <c r="I20" s="877"/>
      <c r="J20" s="877"/>
      <c r="K20" s="22"/>
      <c r="L20" s="19"/>
    </row>
    <row r="21" spans="1:12" ht="11.25" customHeight="1">
      <c r="A21" s="14"/>
      <c r="E21" s="182"/>
      <c r="F21" s="182"/>
      <c r="G21" s="153"/>
      <c r="H21" s="153"/>
      <c r="I21" s="130"/>
      <c r="J21" s="103"/>
      <c r="K21" s="103"/>
      <c r="L21" s="19"/>
    </row>
    <row r="22" spans="1:12" ht="11.25" customHeight="1">
      <c r="A22" s="14"/>
      <c r="B22" s="183"/>
      <c r="C22" s="182"/>
      <c r="D22" s="182"/>
      <c r="E22" s="182"/>
      <c r="F22" s="182"/>
      <c r="G22" s="153"/>
      <c r="H22" s="153"/>
      <c r="I22" s="130"/>
      <c r="J22" s="103"/>
      <c r="K22" s="103"/>
      <c r="L22" s="26"/>
    </row>
    <row r="23" spans="1:12" ht="11.25" customHeight="1">
      <c r="A23" s="14"/>
      <c r="B23" s="183"/>
      <c r="C23" s="182"/>
      <c r="D23" s="182"/>
      <c r="E23" s="182"/>
      <c r="F23" s="182"/>
      <c r="G23" s="153"/>
      <c r="H23" s="153"/>
      <c r="I23" s="130"/>
      <c r="J23" s="103"/>
      <c r="K23" s="103"/>
      <c r="L23" s="19"/>
    </row>
    <row r="24" spans="1:12" ht="11.25" customHeight="1">
      <c r="A24" s="14"/>
      <c r="B24" s="183"/>
      <c r="C24" s="182"/>
      <c r="D24" s="182"/>
      <c r="E24" s="182"/>
      <c r="F24" s="182"/>
      <c r="G24" s="153"/>
      <c r="H24" s="153"/>
      <c r="I24" s="130"/>
      <c r="J24" s="103"/>
      <c r="K24" s="103"/>
      <c r="L24" s="19"/>
    </row>
    <row r="25" spans="1:12" ht="11.25" customHeight="1">
      <c r="A25" s="14"/>
      <c r="B25" s="183"/>
      <c r="C25" s="182"/>
      <c r="D25" s="182"/>
      <c r="E25" s="182"/>
      <c r="F25" s="182"/>
      <c r="G25" s="153"/>
      <c r="H25" s="153"/>
      <c r="I25" s="130"/>
      <c r="J25" s="103"/>
      <c r="K25" s="103"/>
      <c r="L25" s="19"/>
    </row>
    <row r="26" spans="1:12" ht="11.25" customHeight="1">
      <c r="A26" s="14"/>
      <c r="B26" s="183"/>
      <c r="C26" s="182"/>
      <c r="D26" s="182"/>
      <c r="E26" s="182"/>
      <c r="F26" s="182"/>
      <c r="G26" s="153"/>
      <c r="H26" s="153"/>
      <c r="I26" s="130"/>
      <c r="J26" s="103"/>
      <c r="K26" s="103"/>
      <c r="L26" s="26"/>
    </row>
    <row r="27" spans="1:12" ht="11.25" customHeight="1">
      <c r="A27" s="14"/>
      <c r="B27" s="183"/>
      <c r="C27" s="182"/>
      <c r="D27" s="182"/>
      <c r="E27" s="182"/>
      <c r="F27" s="182"/>
      <c r="G27" s="153"/>
      <c r="H27" s="153"/>
      <c r="I27" s="130"/>
      <c r="J27" s="103"/>
      <c r="K27" s="103"/>
      <c r="L27" s="19"/>
    </row>
    <row r="28" spans="1:12" ht="11.25" customHeight="1">
      <c r="A28" s="14"/>
      <c r="B28" s="183"/>
      <c r="C28" s="182"/>
      <c r="D28" s="182"/>
      <c r="E28" s="182"/>
      <c r="F28" s="182"/>
      <c r="G28" s="153"/>
      <c r="H28" s="153"/>
      <c r="I28" s="130"/>
      <c r="J28" s="103"/>
      <c r="K28" s="103"/>
      <c r="L28" s="19"/>
    </row>
    <row r="29" spans="1:12" ht="11.25" customHeight="1">
      <c r="A29" s="14"/>
      <c r="B29" s="183"/>
      <c r="C29" s="182"/>
      <c r="D29" s="182"/>
      <c r="E29" s="182"/>
      <c r="F29" s="182"/>
      <c r="G29" s="153"/>
      <c r="H29" s="153"/>
      <c r="I29" s="130"/>
      <c r="J29" s="103"/>
      <c r="K29" s="103"/>
      <c r="L29" s="19"/>
    </row>
    <row r="30" spans="1:12" ht="11.25" customHeight="1">
      <c r="A30" s="14"/>
      <c r="B30" s="183"/>
      <c r="C30" s="182"/>
      <c r="D30" s="182"/>
      <c r="E30" s="182"/>
      <c r="F30" s="182"/>
      <c r="G30" s="153"/>
      <c r="H30" s="153"/>
      <c r="I30" s="130"/>
      <c r="J30" s="103"/>
      <c r="K30" s="103"/>
      <c r="L30" s="19"/>
    </row>
    <row r="31" spans="1:12" ht="11.25" customHeight="1">
      <c r="A31" s="14"/>
      <c r="B31" s="183"/>
      <c r="C31" s="182"/>
      <c r="D31" s="182"/>
      <c r="E31" s="182"/>
      <c r="F31" s="182"/>
      <c r="G31" s="153"/>
      <c r="H31" s="153"/>
      <c r="I31" s="130"/>
      <c r="J31" s="103"/>
      <c r="K31" s="103"/>
      <c r="L31" s="19"/>
    </row>
    <row r="32" spans="1:12" ht="11.25" customHeight="1">
      <c r="A32" s="14"/>
      <c r="B32" s="183"/>
      <c r="C32" s="182"/>
      <c r="D32" s="182"/>
      <c r="E32" s="182"/>
      <c r="F32" s="182"/>
      <c r="G32" s="153"/>
      <c r="H32" s="153"/>
      <c r="I32" s="130"/>
      <c r="J32" s="103"/>
      <c r="K32" s="103"/>
      <c r="L32" s="19"/>
    </row>
    <row r="33" spans="1:12" ht="11.25" customHeight="1">
      <c r="A33" s="14"/>
      <c r="B33" s="183"/>
      <c r="C33" s="182"/>
      <c r="D33" s="182"/>
      <c r="E33" s="182"/>
      <c r="F33" s="182"/>
      <c r="G33" s="153"/>
      <c r="H33" s="153"/>
      <c r="I33" s="130"/>
      <c r="J33" s="103"/>
      <c r="K33" s="103"/>
      <c r="L33" s="19"/>
    </row>
    <row r="34" spans="1:12" ht="11.25" customHeight="1">
      <c r="A34" s="14"/>
      <c r="B34" s="183"/>
      <c r="C34" s="182"/>
      <c r="D34" s="182"/>
      <c r="E34" s="182"/>
      <c r="F34" s="182"/>
      <c r="G34" s="153"/>
      <c r="H34" s="153"/>
      <c r="I34" s="130"/>
      <c r="J34" s="103"/>
      <c r="K34" s="103"/>
      <c r="L34" s="19"/>
    </row>
    <row r="35" spans="1:12" ht="11.25" customHeight="1">
      <c r="A35" s="14"/>
      <c r="B35" s="183"/>
      <c r="C35" s="182"/>
      <c r="D35" s="182"/>
      <c r="E35" s="182"/>
      <c r="F35" s="182"/>
      <c r="G35" s="153"/>
      <c r="H35" s="153"/>
      <c r="I35" s="130"/>
      <c r="J35" s="103"/>
      <c r="K35" s="103"/>
      <c r="L35" s="19"/>
    </row>
    <row r="36" spans="1:12" ht="11.25" customHeight="1">
      <c r="A36" s="14"/>
      <c r="B36" s="183"/>
      <c r="C36" s="182"/>
      <c r="D36" s="182"/>
      <c r="E36" s="182"/>
      <c r="F36" s="182"/>
      <c r="G36" s="153"/>
      <c r="H36" s="153"/>
      <c r="I36" s="130"/>
      <c r="J36" s="103"/>
      <c r="K36" s="103"/>
      <c r="L36" s="19"/>
    </row>
    <row r="37" spans="1:12" ht="23.25" customHeight="1">
      <c r="A37" s="876" t="s">
        <v>314</v>
      </c>
      <c r="B37" s="876"/>
      <c r="C37" s="876"/>
      <c r="D37" s="232"/>
      <c r="E37" s="879" t="s">
        <v>315</v>
      </c>
      <c r="F37" s="879"/>
      <c r="G37" s="879"/>
      <c r="H37" s="879"/>
      <c r="I37" s="879"/>
      <c r="J37" s="879"/>
      <c r="K37" s="22"/>
      <c r="L37" s="19"/>
    </row>
    <row r="38" spans="1:12" ht="11.25" customHeight="1">
      <c r="A38" s="14"/>
      <c r="B38" s="124"/>
      <c r="C38" s="124"/>
      <c r="D38" s="124"/>
      <c r="E38" s="124"/>
      <c r="F38" s="124"/>
      <c r="G38" s="22"/>
      <c r="H38" s="22"/>
      <c r="I38" s="22"/>
      <c r="J38" s="22"/>
      <c r="K38" s="22"/>
      <c r="L38" s="19"/>
    </row>
    <row r="39" spans="1:12" ht="6.75" customHeight="1">
      <c r="A39" s="14"/>
      <c r="B39" s="124"/>
      <c r="C39" s="124"/>
      <c r="D39" s="124"/>
      <c r="E39" s="124"/>
      <c r="F39" s="124"/>
      <c r="G39" s="22"/>
      <c r="H39" s="22"/>
      <c r="I39" s="22"/>
      <c r="J39" s="22"/>
      <c r="K39" s="22"/>
      <c r="L39" s="184"/>
    </row>
    <row r="40" spans="1:12" ht="11.25" customHeight="1">
      <c r="A40" s="878" t="str">
        <f>"ENERGÍA INTERRUMPIDA APROXIMADA POR TIPO DE EQUIPO (MWh)  -  "&amp;UPPER('1. Resumen'!Q4)&amp;" "&amp;'1. Resumen'!Q5</f>
        <v>ENERGÍA INTERRUMPIDA APROXIMADA POR TIPO DE EQUIPO (MWh)  -  FEBRERO 2025</v>
      </c>
      <c r="B40" s="878"/>
      <c r="C40" s="878"/>
      <c r="D40" s="878"/>
      <c r="E40" s="878"/>
      <c r="F40" s="878"/>
      <c r="G40" s="878"/>
      <c r="H40" s="878"/>
      <c r="I40" s="878"/>
      <c r="J40" s="878"/>
      <c r="K40" s="22"/>
      <c r="L40" s="184"/>
    </row>
    <row r="41" spans="1:12" ht="11.25" customHeight="1">
      <c r="A41" s="14"/>
      <c r="B41" s="124"/>
      <c r="C41" s="124"/>
      <c r="D41" s="124"/>
      <c r="E41" s="124"/>
      <c r="F41" s="124"/>
      <c r="G41" s="22"/>
      <c r="H41" s="22"/>
      <c r="I41" s="22"/>
      <c r="J41" s="22"/>
      <c r="K41" s="22"/>
      <c r="L41" s="184"/>
    </row>
    <row r="42" spans="1:12" ht="11.25" customHeight="1">
      <c r="A42" s="14"/>
      <c r="B42" s="124"/>
      <c r="C42" s="22"/>
      <c r="D42" s="22"/>
      <c r="E42" s="22"/>
      <c r="F42" s="22"/>
      <c r="G42" s="22"/>
      <c r="H42" s="22"/>
      <c r="I42" s="22"/>
      <c r="J42" s="22"/>
      <c r="K42" s="22"/>
      <c r="L42" s="184"/>
    </row>
    <row r="43" spans="1:12" ht="11.25" customHeight="1">
      <c r="A43" s="14"/>
      <c r="B43" s="124"/>
      <c r="C43" s="22"/>
      <c r="D43" s="22"/>
      <c r="E43" s="22"/>
      <c r="F43" s="22"/>
      <c r="G43" s="22"/>
      <c r="H43" s="22"/>
    </row>
    <row r="44" spans="1:12" ht="13.2">
      <c r="A44" s="14"/>
      <c r="B44" s="124"/>
      <c r="J44" s="22"/>
      <c r="K44" s="22"/>
      <c r="L44" s="184"/>
    </row>
    <row r="45" spans="1:12" ht="13.2">
      <c r="A45" s="14"/>
      <c r="B45" s="124"/>
      <c r="J45" s="22"/>
      <c r="K45" s="22"/>
      <c r="L45" s="184"/>
    </row>
    <row r="46" spans="1:12" ht="13.2">
      <c r="A46" s="14"/>
      <c r="B46" s="124"/>
      <c r="J46" s="22"/>
      <c r="K46" s="22"/>
      <c r="L46" s="184"/>
    </row>
    <row r="47" spans="1:12" ht="13.2">
      <c r="A47" s="14"/>
      <c r="B47" s="124"/>
      <c r="J47" s="22"/>
      <c r="K47" s="22"/>
      <c r="L47" s="184"/>
    </row>
    <row r="48" spans="1:12" ht="13.2">
      <c r="A48" s="14"/>
      <c r="B48" s="124"/>
      <c r="C48" s="124"/>
      <c r="D48" s="124"/>
      <c r="E48" s="124"/>
      <c r="F48" s="124"/>
      <c r="G48" s="22"/>
      <c r="H48" s="22"/>
      <c r="I48" s="22"/>
      <c r="J48" s="22"/>
      <c r="K48" s="22"/>
      <c r="L48" s="184"/>
    </row>
    <row r="49" spans="1:12" ht="13.2">
      <c r="A49" s="149"/>
      <c r="B49" s="22"/>
      <c r="C49" s="22"/>
      <c r="D49" s="22"/>
      <c r="E49" s="22"/>
      <c r="F49" s="22"/>
      <c r="G49" s="22"/>
      <c r="H49" s="22"/>
      <c r="I49" s="22"/>
      <c r="J49" s="22"/>
      <c r="K49" s="22"/>
      <c r="L49" s="184"/>
    </row>
    <row r="50" spans="1:12" ht="13.2">
      <c r="A50" s="149"/>
      <c r="B50" s="22"/>
      <c r="C50" s="22"/>
      <c r="D50" s="22"/>
      <c r="E50" s="22"/>
      <c r="F50" s="22"/>
      <c r="G50" s="22"/>
      <c r="H50" s="22"/>
      <c r="I50" s="22"/>
      <c r="J50" s="22"/>
      <c r="K50" s="22"/>
      <c r="L50" s="184"/>
    </row>
    <row r="51" spans="1:12" ht="13.2">
      <c r="A51" s="149"/>
      <c r="B51" s="22"/>
      <c r="C51" s="22"/>
      <c r="D51" s="22"/>
      <c r="E51" s="22"/>
      <c r="F51" s="22"/>
      <c r="G51" s="22"/>
      <c r="H51" s="22"/>
      <c r="I51" s="22"/>
      <c r="J51" s="22"/>
      <c r="K51" s="22"/>
      <c r="L51" s="184"/>
    </row>
    <row r="52" spans="1:12" ht="13.2">
      <c r="A52" s="149"/>
      <c r="B52" s="22"/>
      <c r="C52" s="22"/>
      <c r="D52" s="22"/>
      <c r="E52" s="22"/>
      <c r="F52" s="22"/>
      <c r="G52" s="22"/>
      <c r="H52" s="22"/>
      <c r="I52" s="22"/>
      <c r="J52" s="22"/>
      <c r="K52" s="22"/>
      <c r="L52" s="184"/>
    </row>
    <row r="53" spans="1:12" ht="13.2">
      <c r="A53" s="149"/>
      <c r="B53" s="22"/>
      <c r="C53" s="22"/>
      <c r="D53" s="22"/>
      <c r="E53" s="22"/>
      <c r="F53" s="22"/>
      <c r="G53" s="22"/>
      <c r="H53" s="22"/>
      <c r="I53" s="22"/>
      <c r="J53" s="22"/>
      <c r="K53" s="22"/>
      <c r="L53" s="184"/>
    </row>
    <row r="54" spans="1:12" ht="9" customHeight="1">
      <c r="A54" s="149"/>
      <c r="B54" s="22"/>
      <c r="C54" s="22"/>
      <c r="D54" s="22"/>
      <c r="E54" s="22"/>
      <c r="F54" s="22"/>
      <c r="G54" s="22"/>
      <c r="H54" s="22"/>
      <c r="I54" s="22"/>
      <c r="J54" s="22"/>
      <c r="K54" s="22"/>
      <c r="L54" s="184"/>
    </row>
    <row r="55" spans="1:12" ht="22.2" customHeight="1">
      <c r="A55" s="232" t="str">
        <f>"Gráfico N°26: Comparación de la energía interrumpida aproximada por tipo de equipo en "&amp;'1. Resumen'!Q4&amp;" "&amp;'1. Resumen'!Q5</f>
        <v>Gráfico N°26: Comparación de la energía interrumpida aproximada por tipo de equipo en febrero 2025</v>
      </c>
      <c r="B55" s="22"/>
      <c r="C55" s="22"/>
      <c r="D55" s="22"/>
      <c r="E55" s="22"/>
      <c r="F55" s="22"/>
      <c r="G55" s="22"/>
      <c r="H55" s="22"/>
      <c r="I55" s="22"/>
      <c r="J55" s="22"/>
      <c r="K55" s="22"/>
      <c r="L55" s="184"/>
    </row>
    <row r="56" spans="1:12" ht="15" customHeight="1">
      <c r="B56" s="22"/>
      <c r="C56" s="22"/>
      <c r="D56" s="22"/>
      <c r="E56" s="22"/>
      <c r="F56" s="22"/>
      <c r="G56" s="22"/>
      <c r="H56" s="22"/>
      <c r="I56" s="22"/>
      <c r="J56" s="22"/>
      <c r="K56" s="22"/>
      <c r="L56" s="184"/>
    </row>
    <row r="57" spans="1:12" ht="24" customHeight="1">
      <c r="A57" s="885" t="s">
        <v>159</v>
      </c>
      <c r="B57" s="885"/>
      <c r="C57" s="885"/>
      <c r="D57" s="885"/>
      <c r="E57" s="885"/>
      <c r="F57" s="885"/>
      <c r="G57" s="885"/>
      <c r="H57" s="885"/>
      <c r="I57" s="885"/>
      <c r="J57" s="885"/>
      <c r="K57" s="22"/>
      <c r="L57" s="184"/>
    </row>
    <row r="58" spans="1:12" ht="11.25" customHeight="1">
      <c r="A58" s="875" t="s">
        <v>160</v>
      </c>
      <c r="B58" s="875"/>
      <c r="C58" s="875"/>
      <c r="D58" s="875"/>
      <c r="E58" s="875"/>
      <c r="F58" s="875"/>
      <c r="G58" s="875"/>
      <c r="H58" s="875"/>
      <c r="I58" s="875"/>
      <c r="J58" s="875"/>
      <c r="K58" s="22"/>
      <c r="L58" s="184"/>
    </row>
    <row r="59" spans="1:12" ht="13.2">
      <c r="A59" s="149"/>
      <c r="B59" s="22"/>
      <c r="C59" s="22"/>
      <c r="D59" s="22"/>
      <c r="E59" s="22"/>
      <c r="F59" s="22"/>
      <c r="G59" s="22"/>
      <c r="H59" s="22"/>
      <c r="I59" s="22"/>
      <c r="J59" s="22"/>
      <c r="K59" s="22"/>
      <c r="L59" s="184"/>
    </row>
    <row r="60" spans="1:12" ht="13.2">
      <c r="A60" s="149"/>
      <c r="B60" s="22"/>
      <c r="C60" s="22"/>
      <c r="D60" s="22"/>
      <c r="E60" s="22"/>
      <c r="F60" s="22"/>
      <c r="G60" s="22"/>
      <c r="H60" s="22"/>
      <c r="I60" s="22"/>
      <c r="J60" s="22"/>
      <c r="K60" s="22"/>
      <c r="L60" s="184"/>
    </row>
    <row r="61" spans="1:12" ht="13.2">
      <c r="A61" s="149"/>
      <c r="B61" s="22"/>
      <c r="C61" s="22"/>
      <c r="D61" s="22"/>
      <c r="E61" s="22"/>
      <c r="F61" s="22"/>
      <c r="G61" s="22"/>
      <c r="H61" s="22"/>
      <c r="I61" s="22"/>
      <c r="J61" s="22"/>
      <c r="K61" s="22"/>
      <c r="L61" s="184"/>
    </row>
    <row r="62" spans="1:12" ht="13.2">
      <c r="A62" s="149"/>
      <c r="B62" s="22"/>
      <c r="C62" s="22"/>
      <c r="D62" s="22"/>
      <c r="E62" s="22"/>
      <c r="F62" s="22"/>
      <c r="G62" s="22"/>
      <c r="H62" s="22"/>
      <c r="I62" s="22"/>
      <c r="J62" s="22"/>
      <c r="K62" s="22"/>
      <c r="L62" s="184"/>
    </row>
    <row r="63" spans="1:12" ht="13.2">
      <c r="A63" s="149"/>
      <c r="B63" s="22"/>
      <c r="C63" s="22"/>
      <c r="D63" s="22"/>
      <c r="E63" s="22"/>
      <c r="F63" s="22"/>
      <c r="G63" s="22"/>
      <c r="H63" s="22"/>
      <c r="I63" s="22"/>
      <c r="J63" s="22"/>
      <c r="K63" s="22"/>
      <c r="L63" s="184"/>
    </row>
    <row r="64" spans="1:12" ht="13.2">
      <c r="A64" s="149"/>
      <c r="B64" s="22"/>
      <c r="C64" s="22"/>
      <c r="D64" s="22"/>
      <c r="E64" s="22"/>
      <c r="F64" s="22"/>
      <c r="G64" s="22"/>
      <c r="H64" s="22"/>
      <c r="I64" s="22"/>
      <c r="J64" s="22"/>
      <c r="K64" s="22"/>
      <c r="L64" s="184"/>
    </row>
    <row r="65" spans="1:12" ht="13.2">
      <c r="A65" s="149"/>
      <c r="B65" s="22"/>
      <c r="C65" s="22"/>
      <c r="D65" s="22"/>
      <c r="E65" s="22"/>
      <c r="F65" s="22"/>
      <c r="G65" s="22"/>
      <c r="H65" s="22"/>
      <c r="I65" s="22"/>
      <c r="J65" s="22"/>
      <c r="K65" s="22"/>
      <c r="L65" s="184"/>
    </row>
    <row r="66" spans="1:12" ht="13.2">
      <c r="A66" s="149"/>
      <c r="B66" s="22"/>
      <c r="C66" s="22"/>
      <c r="D66" s="22"/>
      <c r="E66" s="22"/>
      <c r="F66" s="22"/>
      <c r="G66" s="22"/>
      <c r="H66" s="22"/>
      <c r="I66" s="22"/>
      <c r="J66" s="22"/>
      <c r="K66" s="22"/>
      <c r="L66" s="184"/>
    </row>
    <row r="67" spans="1:12" ht="13.2">
      <c r="A67" s="149"/>
      <c r="B67" s="22"/>
      <c r="C67" s="22"/>
      <c r="D67" s="22"/>
      <c r="E67" s="22"/>
      <c r="F67" s="22"/>
      <c r="G67" s="22"/>
      <c r="H67" s="22"/>
      <c r="I67" s="22"/>
      <c r="J67" s="22"/>
      <c r="K67" s="22"/>
      <c r="L67" s="184"/>
    </row>
    <row r="68" spans="1:12" ht="13.2">
      <c r="A68" s="149"/>
      <c r="B68" s="22"/>
      <c r="C68" s="22"/>
      <c r="D68" s="22"/>
      <c r="E68" s="22"/>
      <c r="F68" s="22"/>
      <c r="G68" s="22"/>
      <c r="H68" s="22"/>
      <c r="I68" s="22"/>
      <c r="J68" s="22"/>
      <c r="K68" s="22"/>
      <c r="L68" s="184"/>
    </row>
    <row r="69" spans="1:12" ht="13.2">
      <c r="A69" s="149"/>
      <c r="B69" s="22"/>
      <c r="J69" s="22"/>
      <c r="K69" s="22"/>
      <c r="L69" s="184"/>
    </row>
    <row r="70" spans="1:12" ht="13.2">
      <c r="A70" s="149"/>
      <c r="B70" s="22"/>
      <c r="J70" s="22"/>
      <c r="K70" s="22"/>
      <c r="L70" s="184"/>
    </row>
    <row r="71" spans="1:12" ht="13.2">
      <c r="A71" s="149"/>
      <c r="B71" s="22"/>
      <c r="J71" s="22"/>
      <c r="K71" s="22"/>
      <c r="L71" s="184"/>
    </row>
    <row r="72" spans="1:12" ht="13.2">
      <c r="A72" s="149"/>
      <c r="B72" s="22"/>
      <c r="J72" s="22"/>
      <c r="K72" s="22"/>
      <c r="L72" s="184"/>
    </row>
    <row r="73" spans="1:12">
      <c r="B73" s="184"/>
      <c r="C73" s="184"/>
      <c r="D73" s="184"/>
      <c r="E73" s="184"/>
      <c r="F73" s="184"/>
      <c r="G73" s="184"/>
      <c r="H73" s="184"/>
      <c r="I73" s="184"/>
      <c r="J73" s="184"/>
      <c r="K73" s="184"/>
      <c r="L73" s="184"/>
    </row>
    <row r="74" spans="1:12">
      <c r="B74" s="184"/>
      <c r="C74" s="184"/>
      <c r="D74" s="184"/>
      <c r="E74" s="184"/>
      <c r="F74" s="184"/>
      <c r="G74" s="184"/>
      <c r="H74" s="184"/>
      <c r="I74" s="184"/>
      <c r="J74" s="184"/>
      <c r="K74" s="184"/>
      <c r="L74" s="184"/>
    </row>
    <row r="75" spans="1:12">
      <c r="B75" s="184"/>
      <c r="C75" s="184"/>
      <c r="D75" s="184"/>
      <c r="E75" s="184"/>
      <c r="F75" s="184"/>
      <c r="G75" s="184"/>
      <c r="H75" s="184"/>
      <c r="I75" s="184"/>
      <c r="J75" s="184"/>
      <c r="K75" s="184"/>
      <c r="L75" s="184"/>
    </row>
    <row r="76" spans="1:12">
      <c r="B76" s="184"/>
      <c r="C76" s="184"/>
      <c r="D76" s="184"/>
      <c r="E76" s="184"/>
      <c r="F76" s="184"/>
      <c r="G76" s="184"/>
      <c r="H76" s="184"/>
      <c r="I76" s="184"/>
      <c r="J76" s="184"/>
      <c r="K76" s="184"/>
      <c r="L76" s="184"/>
    </row>
    <row r="77" spans="1:12">
      <c r="B77" s="184"/>
      <c r="C77" s="184"/>
      <c r="D77" s="184"/>
      <c r="E77" s="184"/>
      <c r="F77" s="184"/>
      <c r="G77" s="184"/>
      <c r="H77" s="184"/>
      <c r="I77" s="184"/>
      <c r="J77" s="184"/>
      <c r="K77" s="184"/>
      <c r="L77" s="184"/>
    </row>
    <row r="78" spans="1:12">
      <c r="B78" s="184"/>
      <c r="C78" s="184"/>
      <c r="D78" s="184"/>
      <c r="E78" s="184"/>
      <c r="F78" s="184"/>
      <c r="G78" s="184"/>
      <c r="H78" s="184"/>
      <c r="I78" s="184"/>
      <c r="J78" s="184"/>
      <c r="K78" s="184"/>
      <c r="L78" s="184"/>
    </row>
    <row r="79" spans="1:12">
      <c r="B79" s="184"/>
      <c r="C79" s="184"/>
      <c r="D79" s="184"/>
      <c r="E79" s="184"/>
      <c r="F79" s="184"/>
      <c r="G79" s="184"/>
      <c r="H79" s="184"/>
      <c r="I79" s="184"/>
      <c r="J79" s="184"/>
      <c r="K79" s="184"/>
      <c r="L79" s="184"/>
    </row>
    <row r="80" spans="1:12">
      <c r="B80" s="184"/>
      <c r="C80" s="184"/>
      <c r="D80" s="184"/>
      <c r="E80" s="184"/>
      <c r="F80" s="184"/>
      <c r="G80" s="184"/>
      <c r="H80" s="184"/>
      <c r="I80" s="184"/>
      <c r="J80" s="184"/>
      <c r="K80" s="184"/>
      <c r="L80" s="184"/>
    </row>
    <row r="81" spans="2:12">
      <c r="B81" s="184"/>
      <c r="C81" s="184"/>
      <c r="D81" s="184"/>
      <c r="E81" s="184"/>
      <c r="F81" s="184"/>
      <c r="G81" s="184"/>
      <c r="H81" s="184"/>
      <c r="I81" s="184"/>
      <c r="J81" s="184"/>
      <c r="K81" s="184"/>
      <c r="L81" s="184"/>
    </row>
    <row r="82" spans="2:12">
      <c r="B82" s="184"/>
      <c r="C82" s="184"/>
      <c r="D82" s="184"/>
      <c r="E82" s="184"/>
      <c r="F82" s="184"/>
      <c r="G82" s="184"/>
      <c r="H82" s="184"/>
      <c r="I82" s="184"/>
      <c r="J82" s="184"/>
      <c r="K82" s="184"/>
      <c r="L82" s="184"/>
    </row>
    <row r="83" spans="2:12">
      <c r="B83" s="184"/>
      <c r="C83" s="184"/>
      <c r="D83" s="184"/>
      <c r="E83" s="184"/>
      <c r="F83" s="184"/>
      <c r="G83" s="184"/>
      <c r="H83" s="184"/>
      <c r="I83" s="184"/>
      <c r="J83" s="184"/>
      <c r="K83" s="184"/>
      <c r="L83" s="184"/>
    </row>
    <row r="84" spans="2:12">
      <c r="B84" s="184"/>
      <c r="C84" s="184"/>
      <c r="D84" s="184"/>
      <c r="E84" s="184"/>
      <c r="F84" s="184"/>
      <c r="G84" s="184"/>
      <c r="H84" s="184"/>
      <c r="I84" s="184"/>
      <c r="J84" s="184"/>
      <c r="K84" s="184"/>
      <c r="L84" s="184"/>
    </row>
    <row r="85" spans="2:12">
      <c r="B85" s="184"/>
      <c r="C85" s="184"/>
      <c r="D85" s="184"/>
      <c r="E85" s="184"/>
      <c r="F85" s="184"/>
      <c r="G85" s="184"/>
      <c r="H85" s="184"/>
      <c r="I85" s="184"/>
      <c r="J85" s="184"/>
      <c r="K85" s="184"/>
      <c r="L85" s="184"/>
    </row>
    <row r="86" spans="2:12">
      <c r="B86" s="184"/>
      <c r="C86" s="184"/>
      <c r="D86" s="184"/>
      <c r="E86" s="184"/>
      <c r="F86" s="184"/>
      <c r="G86" s="184"/>
      <c r="H86" s="184"/>
      <c r="I86" s="184"/>
      <c r="J86" s="184"/>
      <c r="K86" s="184"/>
      <c r="L86" s="184"/>
    </row>
    <row r="87" spans="2:12">
      <c r="B87" s="184"/>
      <c r="C87" s="184"/>
      <c r="D87" s="184"/>
      <c r="E87" s="184"/>
      <c r="F87" s="184"/>
      <c r="G87" s="184"/>
      <c r="H87" s="184"/>
      <c r="I87" s="184"/>
      <c r="J87" s="184"/>
      <c r="K87" s="184"/>
      <c r="L87" s="184"/>
    </row>
    <row r="88" spans="2:12">
      <c r="B88" s="184"/>
      <c r="C88" s="184"/>
      <c r="D88" s="184"/>
      <c r="E88" s="184"/>
      <c r="F88" s="184"/>
      <c r="G88" s="184"/>
      <c r="H88" s="184"/>
      <c r="I88" s="184"/>
      <c r="J88" s="184"/>
      <c r="K88" s="184"/>
      <c r="L88" s="184"/>
    </row>
    <row r="89" spans="2:12">
      <c r="B89" s="184"/>
      <c r="C89" s="184"/>
      <c r="D89" s="184"/>
      <c r="E89" s="184"/>
      <c r="F89" s="184"/>
      <c r="G89" s="184"/>
      <c r="H89" s="184"/>
      <c r="I89" s="184"/>
      <c r="J89" s="184"/>
      <c r="K89" s="184"/>
      <c r="L89" s="184"/>
    </row>
    <row r="90" spans="2:12">
      <c r="B90" s="184"/>
      <c r="C90" s="184"/>
      <c r="D90" s="184"/>
      <c r="E90" s="184"/>
      <c r="F90" s="184"/>
      <c r="G90" s="184"/>
      <c r="H90" s="184"/>
      <c r="I90" s="184"/>
      <c r="J90" s="184"/>
      <c r="K90" s="184"/>
      <c r="L90" s="184"/>
    </row>
    <row r="91" spans="2:12">
      <c r="B91" s="184"/>
      <c r="C91" s="184"/>
      <c r="D91" s="184"/>
      <c r="E91" s="184"/>
      <c r="F91" s="184"/>
      <c r="G91" s="184"/>
      <c r="H91" s="184"/>
      <c r="I91" s="184"/>
      <c r="J91" s="184"/>
      <c r="K91" s="184"/>
      <c r="L91" s="184"/>
    </row>
    <row r="92" spans="2:12">
      <c r="B92" s="184"/>
      <c r="C92" s="184"/>
      <c r="D92" s="184"/>
      <c r="E92" s="184"/>
      <c r="F92" s="184"/>
      <c r="G92" s="184"/>
      <c r="H92" s="184"/>
      <c r="I92" s="184"/>
      <c r="J92" s="184"/>
      <c r="K92" s="184"/>
      <c r="L92" s="184"/>
    </row>
    <row r="93" spans="2:12">
      <c r="B93" s="184"/>
      <c r="C93" s="184"/>
      <c r="D93" s="184"/>
      <c r="E93" s="184"/>
      <c r="F93" s="184"/>
      <c r="G93" s="184"/>
      <c r="H93" s="184"/>
      <c r="I93" s="184"/>
      <c r="J93" s="184"/>
      <c r="K93" s="184"/>
      <c r="L93" s="184"/>
    </row>
    <row r="94" spans="2:12">
      <c r="B94" s="184"/>
      <c r="C94" s="184"/>
      <c r="D94" s="184"/>
      <c r="E94" s="184"/>
      <c r="F94" s="184"/>
      <c r="G94" s="184"/>
      <c r="H94" s="184"/>
      <c r="I94" s="184"/>
      <c r="J94" s="184"/>
      <c r="K94" s="184"/>
      <c r="L94" s="184"/>
    </row>
    <row r="95" spans="2:12">
      <c r="B95" s="184"/>
      <c r="C95" s="184"/>
      <c r="D95" s="184"/>
      <c r="E95" s="184"/>
      <c r="F95" s="184"/>
      <c r="G95" s="184"/>
      <c r="H95" s="184"/>
      <c r="I95" s="184"/>
      <c r="J95" s="184"/>
      <c r="K95" s="184"/>
      <c r="L95" s="184"/>
    </row>
    <row r="96" spans="2:12">
      <c r="B96" s="184"/>
      <c r="C96" s="184"/>
      <c r="D96" s="184"/>
      <c r="E96" s="184"/>
      <c r="F96" s="184"/>
      <c r="G96" s="184"/>
      <c r="H96" s="184"/>
      <c r="I96" s="184"/>
      <c r="J96" s="184"/>
      <c r="K96" s="184"/>
      <c r="L96" s="184"/>
    </row>
    <row r="97" spans="2:12">
      <c r="B97" s="184"/>
      <c r="C97" s="184"/>
      <c r="D97" s="184"/>
      <c r="E97" s="184"/>
      <c r="F97" s="184"/>
      <c r="G97" s="184"/>
      <c r="H97" s="184"/>
      <c r="I97" s="184"/>
      <c r="J97" s="184"/>
      <c r="K97" s="184"/>
      <c r="L97" s="184"/>
    </row>
    <row r="98" spans="2:12">
      <c r="B98" s="184"/>
      <c r="C98" s="184"/>
      <c r="D98" s="184"/>
      <c r="E98" s="184"/>
      <c r="F98" s="184"/>
      <c r="G98" s="184"/>
      <c r="H98" s="184"/>
      <c r="I98" s="184"/>
      <c r="J98" s="184"/>
      <c r="K98" s="184"/>
      <c r="L98" s="184"/>
    </row>
    <row r="99" spans="2:12">
      <c r="B99" s="184"/>
      <c r="C99" s="184"/>
      <c r="D99" s="184"/>
      <c r="E99" s="184"/>
      <c r="F99" s="184"/>
      <c r="G99" s="184"/>
      <c r="H99" s="184"/>
      <c r="I99" s="184"/>
      <c r="J99" s="184"/>
      <c r="K99" s="184"/>
      <c r="L99" s="184"/>
    </row>
    <row r="100" spans="2:12">
      <c r="B100" s="184"/>
      <c r="C100" s="184"/>
      <c r="D100" s="184"/>
      <c r="E100" s="184"/>
      <c r="F100" s="184"/>
      <c r="G100" s="184"/>
      <c r="H100" s="184"/>
      <c r="I100" s="184"/>
      <c r="J100" s="184"/>
      <c r="K100" s="184"/>
      <c r="L100" s="184"/>
    </row>
    <row r="101" spans="2:12">
      <c r="B101" s="184"/>
      <c r="C101" s="184"/>
      <c r="D101" s="184"/>
      <c r="E101" s="184"/>
      <c r="F101" s="184"/>
      <c r="G101" s="184"/>
      <c r="H101" s="184"/>
      <c r="I101" s="184"/>
      <c r="J101" s="184"/>
      <c r="K101" s="184"/>
      <c r="L101" s="184"/>
    </row>
    <row r="102" spans="2:12">
      <c r="B102" s="184"/>
      <c r="C102" s="184"/>
      <c r="D102" s="184"/>
      <c r="E102" s="184"/>
      <c r="F102" s="184"/>
      <c r="G102" s="184"/>
      <c r="H102" s="184"/>
      <c r="I102" s="184"/>
      <c r="J102" s="184"/>
      <c r="K102" s="184"/>
      <c r="L102" s="184"/>
    </row>
    <row r="103" spans="2:12">
      <c r="B103" s="184"/>
      <c r="C103" s="184"/>
      <c r="D103" s="184"/>
      <c r="E103" s="184"/>
      <c r="F103" s="184"/>
      <c r="G103" s="184"/>
      <c r="H103" s="184"/>
      <c r="I103" s="184"/>
      <c r="J103" s="184"/>
      <c r="K103" s="184"/>
      <c r="L103" s="184"/>
    </row>
    <row r="104" spans="2:12">
      <c r="B104" s="184"/>
      <c r="C104" s="184"/>
      <c r="D104" s="184"/>
      <c r="E104" s="184"/>
      <c r="F104" s="184"/>
      <c r="G104" s="184"/>
      <c r="H104" s="184"/>
      <c r="I104" s="184"/>
      <c r="J104" s="184"/>
      <c r="K104" s="184"/>
      <c r="L104" s="184"/>
    </row>
    <row r="105" spans="2:12">
      <c r="B105" s="184"/>
      <c r="C105" s="184"/>
      <c r="D105" s="184"/>
      <c r="E105" s="184"/>
      <c r="F105" s="184"/>
      <c r="G105" s="184"/>
      <c r="H105" s="184"/>
      <c r="I105" s="184"/>
      <c r="J105" s="184"/>
      <c r="K105" s="184"/>
      <c r="L105" s="184"/>
    </row>
    <row r="106" spans="2:12">
      <c r="B106" s="184"/>
      <c r="C106" s="184"/>
      <c r="D106" s="184"/>
      <c r="E106" s="184"/>
      <c r="F106" s="184"/>
      <c r="G106" s="184"/>
      <c r="H106" s="184"/>
      <c r="I106" s="184"/>
      <c r="J106" s="184"/>
      <c r="K106" s="184"/>
      <c r="L106" s="184"/>
    </row>
    <row r="107" spans="2:12">
      <c r="B107" s="184"/>
      <c r="C107" s="184"/>
      <c r="D107" s="184"/>
      <c r="E107" s="184"/>
      <c r="F107" s="184"/>
      <c r="G107" s="184"/>
      <c r="H107" s="184"/>
      <c r="I107" s="184"/>
      <c r="J107" s="184"/>
      <c r="K107" s="184"/>
      <c r="L107" s="184"/>
    </row>
    <row r="108" spans="2:12">
      <c r="B108" s="184"/>
      <c r="C108" s="184"/>
      <c r="D108" s="184"/>
      <c r="E108" s="184"/>
      <c r="F108" s="184"/>
      <c r="G108" s="184"/>
      <c r="H108" s="184"/>
      <c r="I108" s="184"/>
      <c r="J108" s="184"/>
      <c r="K108" s="184"/>
      <c r="L108" s="184"/>
    </row>
    <row r="109" spans="2:12">
      <c r="B109" s="184"/>
      <c r="C109" s="184"/>
      <c r="D109" s="184"/>
      <c r="E109" s="184"/>
      <c r="F109" s="184"/>
      <c r="G109" s="184"/>
      <c r="H109" s="184"/>
      <c r="I109" s="184"/>
      <c r="J109" s="184"/>
      <c r="K109" s="184"/>
      <c r="L109" s="184"/>
    </row>
    <row r="110" spans="2:12">
      <c r="B110" s="184"/>
      <c r="C110" s="184"/>
      <c r="D110" s="184"/>
      <c r="E110" s="184"/>
      <c r="F110" s="184"/>
      <c r="G110" s="184"/>
      <c r="H110" s="184"/>
      <c r="I110" s="184"/>
      <c r="J110" s="184"/>
      <c r="K110" s="184"/>
      <c r="L110" s="184"/>
    </row>
    <row r="111" spans="2:12">
      <c r="B111" s="184"/>
      <c r="C111" s="184"/>
      <c r="D111" s="184"/>
      <c r="E111" s="184"/>
      <c r="F111" s="184"/>
      <c r="G111" s="184"/>
      <c r="H111" s="184"/>
      <c r="I111" s="184"/>
      <c r="J111" s="184"/>
      <c r="K111" s="184"/>
      <c r="L111" s="184"/>
    </row>
    <row r="112" spans="2:12">
      <c r="B112" s="184"/>
      <c r="C112" s="184"/>
      <c r="D112" s="184"/>
      <c r="E112" s="184"/>
      <c r="F112" s="184"/>
      <c r="G112" s="184"/>
      <c r="H112" s="184"/>
      <c r="I112" s="184"/>
      <c r="J112" s="184"/>
      <c r="K112" s="184"/>
      <c r="L112" s="184"/>
    </row>
    <row r="113" spans="2:12">
      <c r="B113" s="184"/>
      <c r="C113" s="184"/>
      <c r="D113" s="184"/>
      <c r="E113" s="184"/>
      <c r="F113" s="184"/>
      <c r="G113" s="184"/>
      <c r="H113" s="184"/>
      <c r="I113" s="184"/>
      <c r="J113" s="184"/>
      <c r="K113" s="184"/>
      <c r="L113" s="184"/>
    </row>
    <row r="114" spans="2:12">
      <c r="B114" s="184"/>
      <c r="C114" s="184"/>
      <c r="D114" s="184"/>
      <c r="E114" s="184"/>
      <c r="F114" s="184"/>
      <c r="G114" s="184"/>
      <c r="H114" s="184"/>
      <c r="I114" s="184"/>
      <c r="J114" s="184"/>
      <c r="K114" s="184"/>
      <c r="L114" s="184"/>
    </row>
    <row r="115" spans="2:12">
      <c r="B115" s="184"/>
      <c r="C115" s="184"/>
      <c r="D115" s="184"/>
      <c r="E115" s="184"/>
      <c r="F115" s="184"/>
      <c r="G115" s="184"/>
      <c r="H115" s="184"/>
      <c r="I115" s="184"/>
      <c r="J115" s="184"/>
      <c r="K115" s="184"/>
      <c r="L115" s="184"/>
    </row>
    <row r="116" spans="2:12">
      <c r="B116" s="184"/>
      <c r="C116" s="184"/>
      <c r="D116" s="184"/>
      <c r="E116" s="184"/>
      <c r="F116" s="184"/>
      <c r="G116" s="184"/>
      <c r="H116" s="184"/>
      <c r="I116" s="184"/>
      <c r="J116" s="184"/>
      <c r="K116" s="184"/>
      <c r="L116" s="184"/>
    </row>
    <row r="117" spans="2:12">
      <c r="B117" s="184"/>
      <c r="C117" s="184"/>
      <c r="D117" s="184"/>
      <c r="E117" s="184"/>
      <c r="F117" s="184"/>
      <c r="G117" s="184"/>
      <c r="H117" s="184"/>
      <c r="I117" s="184"/>
      <c r="J117" s="184"/>
      <c r="K117" s="184"/>
      <c r="L117" s="184"/>
    </row>
    <row r="118" spans="2:12">
      <c r="B118" s="184"/>
      <c r="C118" s="184"/>
      <c r="D118" s="184"/>
      <c r="E118" s="184"/>
      <c r="F118" s="184"/>
      <c r="G118" s="184"/>
      <c r="H118" s="184"/>
      <c r="I118" s="184"/>
      <c r="J118" s="184"/>
      <c r="K118" s="184"/>
      <c r="L118" s="184"/>
    </row>
    <row r="119" spans="2:12">
      <c r="B119" s="184"/>
      <c r="C119" s="184"/>
      <c r="D119" s="184"/>
      <c r="E119" s="184"/>
      <c r="F119" s="184"/>
      <c r="G119" s="184"/>
      <c r="H119" s="184"/>
      <c r="I119" s="184"/>
      <c r="J119" s="184"/>
      <c r="K119" s="184"/>
      <c r="L119" s="184"/>
    </row>
    <row r="120" spans="2:12">
      <c r="B120" s="184"/>
      <c r="C120" s="184"/>
      <c r="D120" s="184"/>
      <c r="E120" s="184"/>
      <c r="F120" s="184"/>
      <c r="G120" s="184"/>
      <c r="H120" s="184"/>
      <c r="I120" s="184"/>
      <c r="J120" s="184"/>
      <c r="K120" s="184"/>
      <c r="L120" s="184"/>
    </row>
    <row r="121" spans="2:12">
      <c r="B121" s="184"/>
      <c r="C121" s="184"/>
      <c r="D121" s="184"/>
      <c r="E121" s="184"/>
      <c r="F121" s="184"/>
      <c r="G121" s="184"/>
      <c r="H121" s="184"/>
      <c r="I121" s="184"/>
      <c r="J121" s="184"/>
      <c r="K121" s="184"/>
      <c r="L121" s="184"/>
    </row>
    <row r="122" spans="2:12">
      <c r="B122" s="184"/>
      <c r="C122" s="184"/>
      <c r="D122" s="184"/>
      <c r="E122" s="184"/>
      <c r="F122" s="184"/>
      <c r="G122" s="184"/>
      <c r="H122" s="184"/>
      <c r="I122" s="184"/>
      <c r="J122" s="184"/>
      <c r="K122" s="184"/>
      <c r="L122" s="184"/>
    </row>
    <row r="123" spans="2:12">
      <c r="B123" s="184"/>
      <c r="C123" s="184"/>
      <c r="D123" s="184"/>
      <c r="E123" s="184"/>
      <c r="F123" s="184"/>
      <c r="G123" s="184"/>
      <c r="H123" s="184"/>
      <c r="I123" s="184"/>
      <c r="J123" s="184"/>
      <c r="K123" s="184"/>
      <c r="L123" s="184"/>
    </row>
    <row r="124" spans="2:12">
      <c r="B124" s="184"/>
      <c r="C124" s="184"/>
      <c r="D124" s="184"/>
      <c r="E124" s="184"/>
      <c r="F124" s="184"/>
      <c r="G124" s="184"/>
      <c r="H124" s="184"/>
      <c r="I124" s="184"/>
      <c r="J124" s="184"/>
      <c r="K124" s="184"/>
      <c r="L124" s="184"/>
    </row>
    <row r="125" spans="2:12">
      <c r="B125" s="184"/>
      <c r="C125" s="184"/>
      <c r="D125" s="184"/>
      <c r="E125" s="184"/>
      <c r="F125" s="184"/>
      <c r="G125" s="184"/>
      <c r="H125" s="184"/>
      <c r="I125" s="184"/>
      <c r="J125" s="184"/>
      <c r="K125" s="184"/>
      <c r="L125" s="184"/>
    </row>
    <row r="126" spans="2:12">
      <c r="B126" s="184"/>
      <c r="C126" s="184"/>
      <c r="D126" s="184"/>
      <c r="E126" s="184"/>
      <c r="F126" s="184"/>
      <c r="G126" s="184"/>
      <c r="H126" s="184"/>
      <c r="I126" s="184"/>
      <c r="J126" s="184"/>
      <c r="K126" s="184"/>
      <c r="L126" s="184"/>
    </row>
    <row r="127" spans="2:12">
      <c r="B127" s="184"/>
      <c r="C127" s="184"/>
      <c r="D127" s="184"/>
      <c r="E127" s="184"/>
      <c r="F127" s="184"/>
      <c r="G127" s="184"/>
      <c r="H127" s="184"/>
      <c r="I127" s="184"/>
      <c r="J127" s="184"/>
      <c r="K127" s="184"/>
      <c r="L127" s="184"/>
    </row>
    <row r="128" spans="2:12">
      <c r="B128" s="184"/>
      <c r="C128" s="184"/>
      <c r="D128" s="184"/>
      <c r="E128" s="184"/>
      <c r="F128" s="184"/>
      <c r="G128" s="184"/>
      <c r="H128" s="184"/>
      <c r="I128" s="184"/>
      <c r="J128" s="184"/>
      <c r="K128" s="184"/>
      <c r="L128" s="184"/>
    </row>
    <row r="129" spans="2:12">
      <c r="B129" s="184"/>
      <c r="C129" s="184"/>
      <c r="D129" s="184"/>
      <c r="E129" s="184"/>
      <c r="F129" s="184"/>
      <c r="G129" s="184"/>
      <c r="H129" s="184"/>
      <c r="I129" s="184"/>
      <c r="J129" s="184"/>
      <c r="K129" s="184"/>
      <c r="L129" s="184"/>
    </row>
    <row r="130" spans="2:12">
      <c r="B130" s="184"/>
      <c r="C130" s="184"/>
      <c r="D130" s="184"/>
      <c r="E130" s="184"/>
      <c r="F130" s="184"/>
      <c r="G130" s="184"/>
      <c r="H130" s="184"/>
      <c r="I130" s="184"/>
      <c r="J130" s="184"/>
      <c r="K130" s="184"/>
      <c r="L130" s="184"/>
    </row>
    <row r="131" spans="2:12">
      <c r="B131" s="184"/>
      <c r="C131" s="184"/>
      <c r="D131" s="184"/>
      <c r="E131" s="184"/>
      <c r="F131" s="184"/>
      <c r="G131" s="184"/>
      <c r="H131" s="184"/>
      <c r="I131" s="184"/>
      <c r="J131" s="184"/>
      <c r="K131" s="184"/>
      <c r="L131" s="184"/>
    </row>
    <row r="132" spans="2:12">
      <c r="B132" s="184"/>
      <c r="C132" s="184"/>
      <c r="D132" s="184"/>
      <c r="E132" s="184"/>
      <c r="F132" s="184"/>
      <c r="G132" s="184"/>
      <c r="H132" s="184"/>
      <c r="I132" s="184"/>
      <c r="J132" s="184"/>
      <c r="K132" s="184"/>
      <c r="L132" s="184"/>
    </row>
    <row r="133" spans="2:12">
      <c r="B133" s="184"/>
      <c r="C133" s="184"/>
      <c r="D133" s="184"/>
      <c r="E133" s="184"/>
      <c r="F133" s="184"/>
      <c r="G133" s="184"/>
      <c r="H133" s="184"/>
      <c r="I133" s="184"/>
      <c r="J133" s="184"/>
      <c r="K133" s="184"/>
      <c r="L133" s="184"/>
    </row>
    <row r="134" spans="2:12">
      <c r="B134" s="184"/>
      <c r="C134" s="184"/>
      <c r="D134" s="184"/>
      <c r="E134" s="184"/>
      <c r="F134" s="184"/>
      <c r="G134" s="184"/>
      <c r="H134" s="184"/>
      <c r="I134" s="184"/>
      <c r="J134" s="184"/>
      <c r="K134" s="184"/>
      <c r="L134" s="184"/>
    </row>
    <row r="135" spans="2:12">
      <c r="B135" s="184"/>
      <c r="C135" s="184"/>
      <c r="D135" s="184"/>
      <c r="E135" s="184"/>
      <c r="F135" s="184"/>
      <c r="G135" s="184"/>
      <c r="H135" s="184"/>
      <c r="I135" s="184"/>
      <c r="J135" s="184"/>
      <c r="K135" s="184"/>
      <c r="L135" s="184"/>
    </row>
    <row r="136" spans="2:12">
      <c r="B136" s="184"/>
      <c r="C136" s="184"/>
      <c r="D136" s="184"/>
      <c r="E136" s="184"/>
      <c r="F136" s="184"/>
      <c r="G136" s="184"/>
      <c r="H136" s="184"/>
      <c r="I136" s="184"/>
      <c r="J136" s="184"/>
      <c r="K136" s="184"/>
      <c r="L136" s="184"/>
    </row>
    <row r="137" spans="2:12">
      <c r="B137" s="184"/>
      <c r="C137" s="184"/>
      <c r="D137" s="184"/>
      <c r="E137" s="184"/>
      <c r="F137" s="184"/>
      <c r="G137" s="184"/>
      <c r="H137" s="184"/>
      <c r="I137" s="184"/>
      <c r="J137" s="184"/>
      <c r="K137" s="184"/>
      <c r="L137" s="184"/>
    </row>
    <row r="138" spans="2:12">
      <c r="B138" s="184"/>
      <c r="C138" s="184"/>
      <c r="D138" s="184"/>
      <c r="E138" s="184"/>
      <c r="F138" s="184"/>
      <c r="G138" s="184"/>
      <c r="H138" s="184"/>
      <c r="I138" s="184"/>
      <c r="J138" s="184"/>
      <c r="K138" s="184"/>
      <c r="L138" s="184"/>
    </row>
    <row r="139" spans="2:12">
      <c r="B139" s="184"/>
      <c r="C139" s="184"/>
      <c r="D139" s="184"/>
      <c r="E139" s="184"/>
      <c r="F139" s="184"/>
      <c r="G139" s="184"/>
      <c r="H139" s="184"/>
      <c r="I139" s="184"/>
      <c r="J139" s="184"/>
      <c r="K139" s="184"/>
      <c r="L139" s="184"/>
    </row>
    <row r="140" spans="2:12">
      <c r="B140" s="184"/>
      <c r="C140" s="184"/>
      <c r="D140" s="184"/>
      <c r="E140" s="184"/>
      <c r="F140" s="184"/>
      <c r="G140" s="184"/>
      <c r="H140" s="184"/>
      <c r="I140" s="184"/>
      <c r="J140" s="184"/>
      <c r="K140" s="184"/>
      <c r="L140" s="184"/>
    </row>
    <row r="141" spans="2:12">
      <c r="B141" s="184"/>
      <c r="C141" s="184"/>
      <c r="D141" s="184"/>
      <c r="E141" s="184"/>
      <c r="F141" s="184"/>
      <c r="G141" s="184"/>
      <c r="H141" s="184"/>
      <c r="I141" s="184"/>
      <c r="J141" s="184"/>
      <c r="K141" s="184"/>
      <c r="L141" s="184"/>
    </row>
    <row r="142" spans="2:12">
      <c r="B142" s="184"/>
      <c r="C142" s="184"/>
      <c r="D142" s="184"/>
      <c r="E142" s="184"/>
      <c r="F142" s="184"/>
      <c r="G142" s="184"/>
      <c r="H142" s="184"/>
      <c r="I142" s="184"/>
      <c r="J142" s="184"/>
      <c r="K142" s="184"/>
      <c r="L142" s="184"/>
    </row>
    <row r="143" spans="2:12">
      <c r="B143" s="184"/>
      <c r="C143" s="184"/>
      <c r="D143" s="184"/>
      <c r="E143" s="184"/>
      <c r="F143" s="184"/>
      <c r="G143" s="184"/>
      <c r="H143" s="184"/>
      <c r="I143" s="184"/>
      <c r="J143" s="184"/>
      <c r="K143" s="184"/>
      <c r="L143" s="184"/>
    </row>
    <row r="144" spans="2:12">
      <c r="B144" s="184"/>
      <c r="C144" s="184"/>
      <c r="D144" s="184"/>
      <c r="E144" s="184"/>
      <c r="F144" s="184"/>
      <c r="G144" s="184"/>
      <c r="H144" s="184"/>
      <c r="I144" s="184"/>
      <c r="J144" s="184"/>
      <c r="K144" s="184"/>
      <c r="L144" s="184"/>
    </row>
    <row r="145" spans="2:12">
      <c r="B145" s="184"/>
      <c r="C145" s="184"/>
      <c r="D145" s="184"/>
      <c r="E145" s="184"/>
      <c r="F145" s="184"/>
      <c r="G145" s="184"/>
      <c r="H145" s="184"/>
      <c r="I145" s="184"/>
      <c r="J145" s="184"/>
      <c r="K145" s="184"/>
      <c r="L145" s="184"/>
    </row>
    <row r="146" spans="2:12">
      <c r="B146" s="184"/>
      <c r="C146" s="184"/>
      <c r="D146" s="184"/>
      <c r="E146" s="184"/>
      <c r="F146" s="184"/>
      <c r="G146" s="184"/>
      <c r="H146" s="184"/>
      <c r="I146" s="184"/>
      <c r="J146" s="184"/>
      <c r="K146" s="184"/>
      <c r="L146" s="184"/>
    </row>
    <row r="147" spans="2:12">
      <c r="B147" s="184"/>
      <c r="C147" s="184"/>
      <c r="D147" s="184"/>
      <c r="E147" s="184"/>
      <c r="F147" s="184"/>
      <c r="G147" s="184"/>
      <c r="H147" s="184"/>
      <c r="I147" s="184"/>
      <c r="J147" s="184"/>
      <c r="K147" s="184"/>
      <c r="L147" s="184"/>
    </row>
    <row r="148" spans="2:12">
      <c r="B148" s="184"/>
      <c r="C148" s="184"/>
      <c r="D148" s="184"/>
      <c r="E148" s="184"/>
      <c r="F148" s="184"/>
      <c r="G148" s="184"/>
      <c r="H148" s="184"/>
      <c r="I148" s="184"/>
      <c r="J148" s="184"/>
      <c r="K148" s="184"/>
      <c r="L148" s="184"/>
    </row>
    <row r="149" spans="2:12">
      <c r="B149" s="184"/>
      <c r="C149" s="184"/>
      <c r="D149" s="184"/>
      <c r="E149" s="184"/>
      <c r="F149" s="184"/>
      <c r="G149" s="184"/>
      <c r="H149" s="184"/>
      <c r="I149" s="184"/>
      <c r="J149" s="184"/>
      <c r="K149" s="184"/>
      <c r="L149" s="184"/>
    </row>
    <row r="150" spans="2:12">
      <c r="B150" s="184"/>
      <c r="C150" s="184"/>
      <c r="D150" s="184"/>
      <c r="E150" s="184"/>
      <c r="F150" s="184"/>
      <c r="G150" s="184"/>
      <c r="H150" s="184"/>
      <c r="I150" s="184"/>
      <c r="J150" s="184"/>
      <c r="K150" s="184"/>
      <c r="L150" s="184"/>
    </row>
    <row r="151" spans="2:12">
      <c r="B151" s="184"/>
      <c r="C151" s="184"/>
      <c r="D151" s="184"/>
      <c r="E151" s="184"/>
      <c r="F151" s="184"/>
      <c r="G151" s="184"/>
      <c r="H151" s="184"/>
      <c r="I151" s="184"/>
      <c r="J151" s="184"/>
      <c r="K151" s="184"/>
      <c r="L151" s="184"/>
    </row>
    <row r="152" spans="2:12">
      <c r="B152" s="184"/>
      <c r="C152" s="184"/>
      <c r="D152" s="184"/>
      <c r="E152" s="184"/>
      <c r="F152" s="184"/>
      <c r="G152" s="184"/>
      <c r="H152" s="184"/>
      <c r="I152" s="184"/>
      <c r="J152" s="184"/>
      <c r="K152" s="184"/>
      <c r="L152" s="184"/>
    </row>
    <row r="153" spans="2:12">
      <c r="B153" s="184"/>
      <c r="C153" s="184"/>
      <c r="D153" s="184"/>
      <c r="E153" s="184"/>
      <c r="F153" s="184"/>
      <c r="G153" s="184"/>
      <c r="H153" s="184"/>
      <c r="I153" s="184"/>
      <c r="J153" s="184"/>
      <c r="K153" s="184"/>
      <c r="L153" s="184"/>
    </row>
    <row r="154" spans="2:12">
      <c r="B154" s="184"/>
      <c r="C154" s="184"/>
      <c r="D154" s="184"/>
      <c r="E154" s="184"/>
      <c r="F154" s="184"/>
      <c r="G154" s="184"/>
      <c r="H154" s="184"/>
      <c r="I154" s="184"/>
      <c r="J154" s="184"/>
      <c r="K154" s="184"/>
      <c r="L154" s="184"/>
    </row>
    <row r="155" spans="2:12">
      <c r="B155" s="184"/>
      <c r="C155" s="184"/>
      <c r="D155" s="184"/>
      <c r="E155" s="184"/>
      <c r="F155" s="184"/>
      <c r="G155" s="184"/>
      <c r="H155" s="184"/>
      <c r="I155" s="184"/>
      <c r="J155" s="184"/>
      <c r="K155" s="184"/>
      <c r="L155" s="184"/>
    </row>
    <row r="156" spans="2:12">
      <c r="B156" s="184"/>
      <c r="C156" s="184"/>
      <c r="D156" s="184"/>
      <c r="E156" s="184"/>
      <c r="F156" s="184"/>
      <c r="G156" s="184"/>
      <c r="H156" s="184"/>
      <c r="I156" s="184"/>
      <c r="J156" s="184"/>
      <c r="K156" s="184"/>
      <c r="L156" s="184"/>
    </row>
    <row r="157" spans="2:12">
      <c r="B157" s="184"/>
      <c r="C157" s="184"/>
      <c r="D157" s="184"/>
      <c r="E157" s="184"/>
      <c r="F157" s="184"/>
      <c r="G157" s="184"/>
      <c r="H157" s="184"/>
      <c r="I157" s="184"/>
      <c r="J157" s="184"/>
      <c r="K157" s="184"/>
      <c r="L157" s="184"/>
    </row>
    <row r="158" spans="2:12">
      <c r="B158" s="184"/>
      <c r="C158" s="184"/>
      <c r="D158" s="184"/>
      <c r="E158" s="184"/>
      <c r="F158" s="184"/>
      <c r="G158" s="184"/>
      <c r="H158" s="184"/>
      <c r="I158" s="184"/>
      <c r="J158" s="184"/>
      <c r="K158" s="184"/>
      <c r="L158" s="184"/>
    </row>
    <row r="159" spans="2:12">
      <c r="B159" s="184"/>
      <c r="C159" s="184"/>
      <c r="D159" s="184"/>
      <c r="E159" s="184"/>
      <c r="F159" s="184"/>
      <c r="G159" s="184"/>
      <c r="H159" s="184"/>
      <c r="I159" s="184"/>
      <c r="J159" s="184"/>
      <c r="K159" s="184"/>
      <c r="L159" s="184"/>
    </row>
    <row r="160" spans="2:12">
      <c r="B160" s="184"/>
      <c r="C160" s="184"/>
      <c r="D160" s="184"/>
      <c r="E160" s="184"/>
      <c r="F160" s="184"/>
      <c r="G160" s="184"/>
      <c r="H160" s="184"/>
      <c r="I160" s="184"/>
      <c r="J160" s="184"/>
      <c r="K160" s="184"/>
      <c r="L160" s="184"/>
    </row>
    <row r="161" spans="2:12">
      <c r="B161" s="184"/>
      <c r="C161" s="184"/>
      <c r="D161" s="184"/>
      <c r="E161" s="184"/>
      <c r="F161" s="184"/>
      <c r="G161" s="184"/>
      <c r="H161" s="184"/>
      <c r="I161" s="184"/>
      <c r="J161" s="184"/>
      <c r="K161" s="184"/>
      <c r="L161" s="184"/>
    </row>
    <row r="162" spans="2:12">
      <c r="B162" s="184"/>
      <c r="C162" s="184"/>
      <c r="D162" s="184"/>
      <c r="E162" s="184"/>
      <c r="F162" s="184"/>
      <c r="G162" s="184"/>
      <c r="H162" s="184"/>
      <c r="I162" s="184"/>
      <c r="J162" s="184"/>
      <c r="K162" s="184"/>
      <c r="L162" s="184"/>
    </row>
    <row r="163" spans="2:12">
      <c r="B163" s="184"/>
      <c r="C163" s="184"/>
      <c r="D163" s="184"/>
      <c r="E163" s="184"/>
      <c r="F163" s="184"/>
      <c r="G163" s="184"/>
      <c r="H163" s="184"/>
      <c r="I163" s="184"/>
      <c r="J163" s="184"/>
      <c r="K163" s="184"/>
      <c r="L163" s="184"/>
    </row>
    <row r="164" spans="2:12">
      <c r="B164" s="184"/>
      <c r="C164" s="184"/>
      <c r="D164" s="184"/>
      <c r="E164" s="184"/>
      <c r="F164" s="184"/>
      <c r="G164" s="184"/>
      <c r="H164" s="184"/>
      <c r="I164" s="184"/>
      <c r="J164" s="184"/>
      <c r="K164" s="184"/>
      <c r="L164" s="184"/>
    </row>
    <row r="165" spans="2:12">
      <c r="B165" s="184"/>
      <c r="C165" s="184"/>
      <c r="D165" s="184"/>
      <c r="E165" s="184"/>
      <c r="F165" s="184"/>
      <c r="G165" s="184"/>
      <c r="H165" s="184"/>
      <c r="I165" s="184"/>
      <c r="J165" s="184"/>
      <c r="K165" s="184"/>
      <c r="L165" s="184"/>
    </row>
    <row r="166" spans="2:12">
      <c r="B166" s="184"/>
      <c r="C166" s="184"/>
      <c r="D166" s="184"/>
      <c r="E166" s="184"/>
      <c r="F166" s="184"/>
      <c r="G166" s="184"/>
      <c r="H166" s="184"/>
      <c r="I166" s="184"/>
      <c r="J166" s="184"/>
      <c r="K166" s="184"/>
      <c r="L166" s="184"/>
    </row>
    <row r="167" spans="2:12">
      <c r="B167" s="184"/>
      <c r="C167" s="184"/>
      <c r="D167" s="184"/>
      <c r="E167" s="184"/>
      <c r="F167" s="184"/>
      <c r="G167" s="184"/>
      <c r="H167" s="184"/>
      <c r="I167" s="184"/>
      <c r="J167" s="184"/>
      <c r="K167" s="184"/>
      <c r="L167" s="184"/>
    </row>
    <row r="168" spans="2:12">
      <c r="B168" s="184"/>
      <c r="C168" s="184"/>
      <c r="D168" s="184"/>
      <c r="E168" s="184"/>
      <c r="F168" s="184"/>
      <c r="G168" s="184"/>
      <c r="H168" s="184"/>
      <c r="I168" s="184"/>
      <c r="J168" s="184"/>
      <c r="K168" s="184"/>
      <c r="L168" s="184"/>
    </row>
    <row r="169" spans="2:12">
      <c r="B169" s="184"/>
      <c r="C169" s="184"/>
      <c r="D169" s="184"/>
      <c r="E169" s="184"/>
      <c r="F169" s="184"/>
      <c r="G169" s="184"/>
      <c r="H169" s="184"/>
      <c r="I169" s="184"/>
      <c r="J169" s="184"/>
      <c r="K169" s="184"/>
      <c r="L169" s="184"/>
    </row>
    <row r="170" spans="2:12">
      <c r="B170" s="184"/>
      <c r="C170" s="184"/>
      <c r="D170" s="184"/>
      <c r="E170" s="184"/>
      <c r="F170" s="184"/>
      <c r="G170" s="184"/>
      <c r="H170" s="184"/>
      <c r="I170" s="184"/>
      <c r="J170" s="184"/>
      <c r="K170" s="184"/>
      <c r="L170" s="184"/>
    </row>
    <row r="171" spans="2:12">
      <c r="B171" s="184"/>
      <c r="C171" s="184"/>
      <c r="D171" s="184"/>
      <c r="E171" s="184"/>
      <c r="F171" s="184"/>
      <c r="G171" s="184"/>
      <c r="H171" s="184"/>
      <c r="I171" s="184"/>
      <c r="J171" s="184"/>
      <c r="K171" s="184"/>
      <c r="L171" s="184"/>
    </row>
    <row r="172" spans="2:12">
      <c r="B172" s="184"/>
      <c r="C172" s="184"/>
      <c r="D172" s="184"/>
      <c r="E172" s="184"/>
      <c r="F172" s="184"/>
      <c r="G172" s="184"/>
      <c r="H172" s="184"/>
      <c r="I172" s="184"/>
      <c r="J172" s="184"/>
      <c r="K172" s="184"/>
      <c r="L172" s="184"/>
    </row>
    <row r="173" spans="2:12">
      <c r="B173" s="184"/>
      <c r="C173" s="184"/>
      <c r="D173" s="184"/>
      <c r="E173" s="184"/>
      <c r="F173" s="184"/>
      <c r="G173" s="184"/>
      <c r="H173" s="184"/>
      <c r="I173" s="184"/>
      <c r="J173" s="184"/>
      <c r="K173" s="184"/>
      <c r="L173" s="184"/>
    </row>
    <row r="174" spans="2:12">
      <c r="B174" s="184"/>
      <c r="C174" s="184"/>
      <c r="D174" s="184"/>
      <c r="E174" s="184"/>
      <c r="F174" s="184"/>
      <c r="G174" s="184"/>
      <c r="H174" s="184"/>
      <c r="I174" s="184"/>
      <c r="J174" s="184"/>
      <c r="K174" s="184"/>
      <c r="L174" s="184"/>
    </row>
    <row r="175" spans="2:12">
      <c r="B175" s="184"/>
      <c r="C175" s="184"/>
      <c r="D175" s="184"/>
      <c r="E175" s="184"/>
      <c r="F175" s="184"/>
      <c r="G175" s="184"/>
      <c r="H175" s="184"/>
      <c r="I175" s="184"/>
      <c r="J175" s="184"/>
      <c r="K175" s="184"/>
      <c r="L175" s="184"/>
    </row>
    <row r="176" spans="2:12">
      <c r="B176" s="184"/>
      <c r="C176" s="184"/>
      <c r="D176" s="184"/>
      <c r="E176" s="184"/>
      <c r="F176" s="184"/>
      <c r="G176" s="184"/>
      <c r="H176" s="184"/>
      <c r="I176" s="184"/>
      <c r="J176" s="184"/>
      <c r="K176" s="184"/>
      <c r="L176" s="184"/>
    </row>
    <row r="177" spans="2:12">
      <c r="B177" s="184"/>
      <c r="C177" s="184"/>
      <c r="D177" s="184"/>
      <c r="E177" s="184"/>
      <c r="F177" s="184"/>
      <c r="G177" s="184"/>
      <c r="H177" s="184"/>
      <c r="I177" s="184"/>
      <c r="J177" s="184"/>
      <c r="K177" s="184"/>
      <c r="L177" s="184"/>
    </row>
    <row r="178" spans="2:12">
      <c r="B178" s="184"/>
      <c r="C178" s="184"/>
      <c r="D178" s="184"/>
      <c r="E178" s="184"/>
      <c r="F178" s="184"/>
      <c r="G178" s="184"/>
      <c r="H178" s="184"/>
      <c r="I178" s="184"/>
      <c r="J178" s="184"/>
      <c r="K178" s="184"/>
      <c r="L178" s="184"/>
    </row>
    <row r="179" spans="2:12">
      <c r="B179" s="184"/>
      <c r="C179" s="184"/>
      <c r="D179" s="184"/>
      <c r="E179" s="184"/>
      <c r="F179" s="184"/>
      <c r="G179" s="184"/>
      <c r="H179" s="184"/>
      <c r="I179" s="184"/>
      <c r="J179" s="184"/>
      <c r="K179" s="184"/>
      <c r="L179" s="184"/>
    </row>
    <row r="180" spans="2:12">
      <c r="B180" s="184"/>
      <c r="C180" s="184"/>
      <c r="D180" s="184"/>
      <c r="E180" s="184"/>
      <c r="F180" s="184"/>
      <c r="G180" s="184"/>
      <c r="H180" s="184"/>
      <c r="I180" s="184"/>
      <c r="J180" s="184"/>
      <c r="K180" s="184"/>
      <c r="L180" s="184"/>
    </row>
    <row r="181" spans="2:12">
      <c r="B181" s="184"/>
      <c r="C181" s="184"/>
      <c r="D181" s="184"/>
      <c r="E181" s="184"/>
      <c r="F181" s="184"/>
      <c r="G181" s="184"/>
      <c r="H181" s="184"/>
      <c r="I181" s="184"/>
      <c r="J181" s="184"/>
      <c r="K181" s="184"/>
      <c r="L181" s="184"/>
    </row>
    <row r="182" spans="2:12">
      <c r="B182" s="184"/>
      <c r="C182" s="184"/>
      <c r="D182" s="184"/>
      <c r="E182" s="184"/>
      <c r="F182" s="184"/>
      <c r="G182" s="184"/>
      <c r="H182" s="184"/>
      <c r="I182" s="184"/>
      <c r="J182" s="184"/>
      <c r="K182" s="184"/>
      <c r="L182" s="184"/>
    </row>
    <row r="183" spans="2:12">
      <c r="B183" s="184"/>
      <c r="C183" s="184"/>
      <c r="D183" s="184"/>
      <c r="E183" s="184"/>
      <c r="F183" s="184"/>
      <c r="G183" s="184"/>
      <c r="H183" s="184"/>
      <c r="I183" s="184"/>
      <c r="J183" s="184"/>
      <c r="K183" s="184"/>
      <c r="L183" s="184"/>
    </row>
    <row r="184" spans="2:12">
      <c r="B184" s="184"/>
      <c r="C184" s="184"/>
      <c r="D184" s="184"/>
      <c r="E184" s="184"/>
      <c r="F184" s="184"/>
      <c r="G184" s="184"/>
      <c r="H184" s="184"/>
      <c r="I184" s="184"/>
      <c r="J184" s="184"/>
      <c r="K184" s="184"/>
      <c r="L184" s="184"/>
    </row>
    <row r="185" spans="2:12">
      <c r="B185" s="184"/>
      <c r="C185" s="184"/>
      <c r="D185" s="184"/>
      <c r="E185" s="184"/>
      <c r="F185" s="184"/>
      <c r="G185" s="184"/>
      <c r="H185" s="184"/>
      <c r="I185" s="184"/>
      <c r="J185" s="184"/>
      <c r="K185" s="184"/>
      <c r="L185" s="184"/>
    </row>
    <row r="186" spans="2:12">
      <c r="B186" s="184"/>
      <c r="C186" s="184"/>
      <c r="D186" s="184"/>
      <c r="E186" s="184"/>
      <c r="F186" s="184"/>
      <c r="G186" s="184"/>
      <c r="H186" s="184"/>
      <c r="I186" s="184"/>
      <c r="J186" s="184"/>
      <c r="K186" s="184"/>
      <c r="L186" s="184"/>
    </row>
    <row r="187" spans="2:12">
      <c r="B187" s="184"/>
      <c r="C187" s="184"/>
      <c r="D187" s="184"/>
      <c r="E187" s="184"/>
      <c r="F187" s="184"/>
      <c r="G187" s="184"/>
      <c r="H187" s="184"/>
      <c r="I187" s="184"/>
      <c r="J187" s="184"/>
      <c r="K187" s="184"/>
      <c r="L187" s="184"/>
    </row>
    <row r="188" spans="2:12">
      <c r="B188" s="184"/>
      <c r="C188" s="184"/>
      <c r="D188" s="184"/>
      <c r="E188" s="184"/>
      <c r="F188" s="184"/>
      <c r="G188" s="184"/>
      <c r="H188" s="184"/>
      <c r="I188" s="184"/>
      <c r="J188" s="184"/>
      <c r="K188" s="184"/>
      <c r="L188" s="184"/>
    </row>
    <row r="189" spans="2:12">
      <c r="B189" s="184"/>
      <c r="C189" s="184"/>
      <c r="D189" s="184"/>
      <c r="E189" s="184"/>
      <c r="F189" s="184"/>
      <c r="G189" s="184"/>
      <c r="H189" s="184"/>
      <c r="I189" s="184"/>
      <c r="J189" s="184"/>
      <c r="K189" s="184"/>
      <c r="L189" s="184"/>
    </row>
    <row r="190" spans="2:12">
      <c r="B190" s="184"/>
      <c r="C190" s="184"/>
      <c r="D190" s="184"/>
      <c r="E190" s="184"/>
      <c r="F190" s="184"/>
      <c r="G190" s="184"/>
      <c r="H190" s="184"/>
      <c r="I190" s="184"/>
      <c r="J190" s="184"/>
      <c r="K190" s="184"/>
      <c r="L190" s="184"/>
    </row>
    <row r="191" spans="2:12">
      <c r="B191" s="184"/>
      <c r="C191" s="184"/>
      <c r="D191" s="184"/>
      <c r="E191" s="184"/>
      <c r="F191" s="184"/>
      <c r="G191" s="184"/>
      <c r="H191" s="184"/>
      <c r="I191" s="184"/>
      <c r="J191" s="184"/>
      <c r="K191" s="184"/>
      <c r="L191" s="184"/>
    </row>
    <row r="192" spans="2:12">
      <c r="B192" s="184"/>
      <c r="C192" s="184"/>
      <c r="D192" s="184"/>
      <c r="E192" s="184"/>
      <c r="F192" s="184"/>
      <c r="G192" s="184"/>
      <c r="H192" s="184"/>
      <c r="I192" s="184"/>
      <c r="J192" s="184"/>
      <c r="K192" s="184"/>
      <c r="L192" s="184"/>
    </row>
    <row r="193" spans="2:12">
      <c r="B193" s="184"/>
      <c r="C193" s="184"/>
      <c r="D193" s="184"/>
      <c r="E193" s="184"/>
      <c r="F193" s="184"/>
      <c r="G193" s="184"/>
      <c r="H193" s="184"/>
      <c r="I193" s="184"/>
      <c r="J193" s="184"/>
      <c r="K193" s="184"/>
      <c r="L193" s="184"/>
    </row>
    <row r="194" spans="2:12">
      <c r="B194" s="184"/>
      <c r="C194" s="184"/>
      <c r="D194" s="184"/>
      <c r="E194" s="184"/>
      <c r="F194" s="184"/>
      <c r="G194" s="184"/>
      <c r="H194" s="184"/>
      <c r="I194" s="184"/>
      <c r="J194" s="184"/>
      <c r="K194" s="184"/>
      <c r="L194" s="184"/>
    </row>
    <row r="195" spans="2:12">
      <c r="B195" s="184"/>
      <c r="C195" s="184"/>
      <c r="D195" s="184"/>
      <c r="E195" s="184"/>
      <c r="F195" s="184"/>
      <c r="G195" s="184"/>
      <c r="H195" s="184"/>
      <c r="I195" s="184"/>
      <c r="J195" s="184"/>
      <c r="K195" s="184"/>
      <c r="L195" s="184"/>
    </row>
    <row r="196" spans="2:12">
      <c r="B196" s="184"/>
      <c r="C196" s="184"/>
      <c r="D196" s="184"/>
      <c r="E196" s="184"/>
      <c r="F196" s="184"/>
      <c r="G196" s="184"/>
      <c r="H196" s="184"/>
      <c r="I196" s="184"/>
      <c r="J196" s="184"/>
      <c r="K196" s="184"/>
      <c r="L196" s="184"/>
    </row>
    <row r="197" spans="2:12">
      <c r="B197" s="184"/>
      <c r="C197" s="184"/>
      <c r="D197" s="184"/>
      <c r="E197" s="184"/>
      <c r="F197" s="184"/>
      <c r="G197" s="184"/>
      <c r="H197" s="184"/>
      <c r="I197" s="184"/>
      <c r="J197" s="184"/>
      <c r="K197" s="184"/>
      <c r="L197" s="184"/>
    </row>
    <row r="198" spans="2:12">
      <c r="B198" s="184"/>
      <c r="C198" s="184"/>
      <c r="D198" s="184"/>
      <c r="E198" s="184"/>
      <c r="F198" s="184"/>
      <c r="G198" s="184"/>
      <c r="H198" s="184"/>
      <c r="I198" s="184"/>
      <c r="J198" s="184"/>
      <c r="K198" s="184"/>
      <c r="L198" s="184"/>
    </row>
    <row r="199" spans="2:12">
      <c r="B199" s="184"/>
      <c r="C199" s="184"/>
      <c r="D199" s="184"/>
      <c r="E199" s="184"/>
      <c r="F199" s="184"/>
      <c r="G199" s="184"/>
      <c r="H199" s="184"/>
      <c r="I199" s="184"/>
      <c r="J199" s="184"/>
      <c r="K199" s="184"/>
      <c r="L199" s="184"/>
    </row>
    <row r="200" spans="2:12">
      <c r="B200" s="184"/>
      <c r="C200" s="184"/>
      <c r="D200" s="184"/>
      <c r="E200" s="184"/>
      <c r="F200" s="184"/>
      <c r="G200" s="184"/>
      <c r="H200" s="184"/>
      <c r="I200" s="184"/>
      <c r="J200" s="184"/>
      <c r="K200" s="184"/>
      <c r="L200" s="184"/>
    </row>
    <row r="201" spans="2:12">
      <c r="B201" s="184"/>
      <c r="C201" s="184"/>
      <c r="D201" s="184"/>
      <c r="E201" s="184"/>
      <c r="F201" s="184"/>
      <c r="G201" s="184"/>
      <c r="H201" s="184"/>
      <c r="I201" s="184"/>
      <c r="J201" s="184"/>
      <c r="K201" s="184"/>
      <c r="L201" s="184"/>
    </row>
    <row r="202" spans="2:12">
      <c r="B202" s="184"/>
      <c r="C202" s="184"/>
      <c r="D202" s="184"/>
      <c r="E202" s="184"/>
      <c r="F202" s="184"/>
      <c r="G202" s="184"/>
      <c r="H202" s="184"/>
      <c r="I202" s="184"/>
      <c r="J202" s="184"/>
      <c r="K202" s="184"/>
      <c r="L202" s="184"/>
    </row>
    <row r="203" spans="2:12">
      <c r="B203" s="184"/>
      <c r="C203" s="184"/>
      <c r="D203" s="184"/>
      <c r="E203" s="184"/>
      <c r="F203" s="184"/>
      <c r="G203" s="184"/>
      <c r="H203" s="184"/>
      <c r="I203" s="184"/>
      <c r="J203" s="184"/>
      <c r="K203" s="184"/>
      <c r="L203" s="184"/>
    </row>
    <row r="204" spans="2:12">
      <c r="B204" s="184"/>
      <c r="C204" s="184"/>
      <c r="D204" s="184"/>
      <c r="E204" s="184"/>
      <c r="F204" s="184"/>
      <c r="G204" s="184"/>
      <c r="H204" s="184"/>
      <c r="I204" s="184"/>
      <c r="J204" s="184"/>
      <c r="K204" s="184"/>
      <c r="L204" s="184"/>
    </row>
    <row r="205" spans="2:12">
      <c r="B205" s="184"/>
      <c r="C205" s="184"/>
      <c r="D205" s="184"/>
      <c r="E205" s="184"/>
      <c r="F205" s="184"/>
      <c r="G205" s="184"/>
      <c r="H205" s="184"/>
      <c r="I205" s="184"/>
      <c r="J205" s="184"/>
      <c r="K205" s="184"/>
      <c r="L205" s="184"/>
    </row>
    <row r="206" spans="2:12">
      <c r="B206" s="184"/>
      <c r="C206" s="184"/>
      <c r="D206" s="184"/>
      <c r="E206" s="184"/>
      <c r="F206" s="184"/>
      <c r="G206" s="184"/>
      <c r="H206" s="184"/>
      <c r="I206" s="184"/>
      <c r="J206" s="184"/>
      <c r="K206" s="184"/>
      <c r="L206" s="184"/>
    </row>
    <row r="207" spans="2:12">
      <c r="B207" s="184"/>
      <c r="C207" s="184"/>
      <c r="D207" s="184"/>
      <c r="E207" s="184"/>
      <c r="F207" s="184"/>
      <c r="G207" s="184"/>
      <c r="H207" s="184"/>
      <c r="I207" s="184"/>
      <c r="J207" s="184"/>
      <c r="K207" s="184"/>
      <c r="L207" s="184"/>
    </row>
    <row r="208" spans="2:12">
      <c r="B208" s="184"/>
      <c r="C208" s="184"/>
      <c r="D208" s="184"/>
      <c r="E208" s="184"/>
      <c r="F208" s="184"/>
      <c r="G208" s="184"/>
      <c r="H208" s="184"/>
      <c r="I208" s="184"/>
      <c r="J208" s="184"/>
      <c r="K208" s="184"/>
      <c r="L208" s="184"/>
    </row>
    <row r="209" spans="2:12">
      <c r="B209" s="184"/>
      <c r="C209" s="184"/>
      <c r="D209" s="184"/>
      <c r="E209" s="184"/>
      <c r="F209" s="184"/>
      <c r="G209" s="184"/>
      <c r="H209" s="184"/>
      <c r="I209" s="184"/>
      <c r="J209" s="184"/>
      <c r="K209" s="184"/>
      <c r="L209" s="184"/>
    </row>
    <row r="210" spans="2:12">
      <c r="B210" s="184"/>
      <c r="C210" s="184"/>
      <c r="D210" s="184"/>
      <c r="E210" s="184"/>
      <c r="F210" s="184"/>
      <c r="G210" s="184"/>
      <c r="H210" s="184"/>
      <c r="I210" s="184"/>
      <c r="J210" s="184"/>
      <c r="K210" s="184"/>
      <c r="L210" s="184"/>
    </row>
    <row r="211" spans="2:12">
      <c r="B211" s="184"/>
      <c r="C211" s="184"/>
      <c r="D211" s="184"/>
      <c r="E211" s="184"/>
      <c r="F211" s="184"/>
      <c r="G211" s="184"/>
      <c r="H211" s="184"/>
      <c r="I211" s="184"/>
      <c r="J211" s="184"/>
      <c r="K211" s="184"/>
      <c r="L211" s="184"/>
    </row>
    <row r="212" spans="2:12">
      <c r="B212" s="184"/>
      <c r="C212" s="184"/>
      <c r="D212" s="184"/>
      <c r="E212" s="184"/>
      <c r="F212" s="184"/>
      <c r="G212" s="184"/>
      <c r="H212" s="184"/>
      <c r="I212" s="184"/>
      <c r="J212" s="184"/>
      <c r="K212" s="184"/>
      <c r="L212" s="184"/>
    </row>
    <row r="213" spans="2:12">
      <c r="B213" s="184"/>
      <c r="C213" s="184"/>
      <c r="D213" s="184"/>
      <c r="E213" s="184"/>
      <c r="F213" s="184"/>
      <c r="G213" s="184"/>
      <c r="H213" s="184"/>
      <c r="I213" s="184"/>
      <c r="J213" s="184"/>
      <c r="K213" s="184"/>
      <c r="L213" s="184"/>
    </row>
    <row r="214" spans="2:12">
      <c r="B214" s="184"/>
      <c r="C214" s="184"/>
      <c r="D214" s="184"/>
      <c r="E214" s="184"/>
      <c r="F214" s="184"/>
      <c r="G214" s="184"/>
      <c r="H214" s="184"/>
      <c r="I214" s="184"/>
      <c r="J214" s="184"/>
      <c r="K214" s="184"/>
      <c r="L214" s="184"/>
    </row>
    <row r="215" spans="2:12">
      <c r="B215" s="184"/>
      <c r="C215" s="184"/>
      <c r="D215" s="184"/>
      <c r="E215" s="184"/>
      <c r="F215" s="184"/>
      <c r="G215" s="184"/>
      <c r="H215" s="184"/>
      <c r="I215" s="184"/>
      <c r="J215" s="184"/>
      <c r="K215" s="184"/>
      <c r="L215" s="184"/>
    </row>
    <row r="216" spans="2:12">
      <c r="B216" s="184"/>
      <c r="C216" s="184"/>
      <c r="D216" s="184"/>
      <c r="E216" s="184"/>
      <c r="F216" s="184"/>
      <c r="G216" s="184"/>
      <c r="H216" s="184"/>
      <c r="I216" s="184"/>
      <c r="J216" s="184"/>
      <c r="K216" s="184"/>
      <c r="L216" s="184"/>
    </row>
    <row r="217" spans="2:12">
      <c r="B217" s="184"/>
      <c r="C217" s="184"/>
      <c r="D217" s="184"/>
      <c r="E217" s="184"/>
      <c r="F217" s="184"/>
      <c r="G217" s="184"/>
      <c r="H217" s="184"/>
      <c r="I217" s="184"/>
      <c r="J217" s="184"/>
      <c r="K217" s="184"/>
      <c r="L217" s="184"/>
    </row>
    <row r="218" spans="2:12">
      <c r="B218" s="184"/>
      <c r="C218" s="184"/>
      <c r="D218" s="184"/>
      <c r="E218" s="184"/>
      <c r="F218" s="184"/>
      <c r="G218" s="184"/>
      <c r="H218" s="184"/>
      <c r="I218" s="184"/>
      <c r="J218" s="184"/>
      <c r="K218" s="184"/>
      <c r="L218" s="184"/>
    </row>
    <row r="219" spans="2:12">
      <c r="B219" s="184"/>
      <c r="C219" s="184"/>
      <c r="D219" s="184"/>
      <c r="E219" s="184"/>
      <c r="F219" s="184"/>
      <c r="G219" s="184"/>
      <c r="H219" s="184"/>
      <c r="I219" s="184"/>
      <c r="J219" s="184"/>
      <c r="K219" s="184"/>
      <c r="L219" s="184"/>
    </row>
    <row r="220" spans="2:12">
      <c r="B220" s="184"/>
      <c r="C220" s="184"/>
      <c r="D220" s="184"/>
      <c r="E220" s="184"/>
      <c r="F220" s="184"/>
      <c r="G220" s="184"/>
      <c r="H220" s="184"/>
      <c r="I220" s="184"/>
      <c r="J220" s="184"/>
      <c r="K220" s="184"/>
      <c r="L220" s="184"/>
    </row>
    <row r="221" spans="2:12">
      <c r="B221" s="184"/>
      <c r="C221" s="184"/>
      <c r="D221" s="184"/>
      <c r="E221" s="184"/>
      <c r="F221" s="184"/>
      <c r="G221" s="184"/>
      <c r="H221" s="184"/>
      <c r="I221" s="184"/>
      <c r="J221" s="184"/>
      <c r="K221" s="184"/>
      <c r="L221" s="184"/>
    </row>
    <row r="222" spans="2:12">
      <c r="B222" s="184"/>
      <c r="C222" s="184"/>
      <c r="D222" s="184"/>
      <c r="E222" s="184"/>
      <c r="F222" s="184"/>
      <c r="G222" s="184"/>
      <c r="H222" s="184"/>
      <c r="I222" s="184"/>
      <c r="J222" s="184"/>
      <c r="K222" s="184"/>
      <c r="L222" s="184"/>
    </row>
    <row r="223" spans="2:12">
      <c r="B223" s="184"/>
      <c r="C223" s="184"/>
      <c r="D223" s="184"/>
      <c r="E223" s="184"/>
      <c r="F223" s="184"/>
      <c r="G223" s="184"/>
      <c r="H223" s="184"/>
      <c r="I223" s="184"/>
      <c r="J223" s="184"/>
      <c r="K223" s="184"/>
      <c r="L223" s="184"/>
    </row>
    <row r="224" spans="2:12">
      <c r="B224" s="184"/>
      <c r="C224" s="184"/>
      <c r="D224" s="184"/>
      <c r="E224" s="184"/>
      <c r="F224" s="184"/>
      <c r="G224" s="184"/>
      <c r="H224" s="184"/>
      <c r="I224" s="184"/>
      <c r="J224" s="184"/>
      <c r="K224" s="184"/>
      <c r="L224" s="184"/>
    </row>
    <row r="225" spans="2:12">
      <c r="B225" s="184"/>
      <c r="C225" s="184"/>
      <c r="D225" s="184"/>
      <c r="E225" s="184"/>
      <c r="F225" s="184"/>
      <c r="G225" s="184"/>
      <c r="H225" s="184"/>
      <c r="I225" s="184"/>
      <c r="J225" s="184"/>
      <c r="K225" s="184"/>
      <c r="L225" s="184"/>
    </row>
    <row r="226" spans="2:12">
      <c r="B226" s="184"/>
      <c r="C226" s="184"/>
      <c r="D226" s="184"/>
      <c r="E226" s="184"/>
      <c r="F226" s="184"/>
      <c r="G226" s="184"/>
      <c r="H226" s="184"/>
      <c r="I226" s="184"/>
      <c r="J226" s="184"/>
      <c r="K226" s="184"/>
      <c r="L226" s="184"/>
    </row>
    <row r="227" spans="2:12">
      <c r="B227" s="184"/>
      <c r="C227" s="184"/>
      <c r="D227" s="184"/>
      <c r="E227" s="184"/>
      <c r="F227" s="184"/>
      <c r="G227" s="184"/>
      <c r="H227" s="184"/>
      <c r="I227" s="184"/>
      <c r="J227" s="184"/>
      <c r="K227" s="184"/>
      <c r="L227" s="184"/>
    </row>
    <row r="228" spans="2:12">
      <c r="B228" s="184"/>
      <c r="C228" s="184"/>
      <c r="D228" s="184"/>
      <c r="E228" s="184"/>
      <c r="F228" s="184"/>
      <c r="G228" s="184"/>
      <c r="H228" s="184"/>
      <c r="I228" s="184"/>
      <c r="J228" s="184"/>
      <c r="K228" s="184"/>
      <c r="L228" s="184"/>
    </row>
    <row r="229" spans="2:12">
      <c r="B229" s="184"/>
      <c r="C229" s="184"/>
      <c r="D229" s="184"/>
      <c r="E229" s="184"/>
      <c r="F229" s="184"/>
      <c r="G229" s="184"/>
      <c r="H229" s="184"/>
      <c r="I229" s="184"/>
      <c r="J229" s="184"/>
      <c r="K229" s="184"/>
      <c r="L229" s="184"/>
    </row>
    <row r="230" spans="2:12">
      <c r="B230" s="184"/>
      <c r="C230" s="184"/>
      <c r="D230" s="184"/>
      <c r="E230" s="184"/>
      <c r="F230" s="184"/>
      <c r="G230" s="184"/>
      <c r="H230" s="184"/>
      <c r="I230" s="184"/>
      <c r="J230" s="184"/>
      <c r="K230" s="184"/>
      <c r="L230" s="184"/>
    </row>
    <row r="231" spans="2:12">
      <c r="B231" s="184"/>
      <c r="C231" s="184"/>
      <c r="D231" s="184"/>
      <c r="E231" s="184"/>
      <c r="F231" s="184"/>
      <c r="G231" s="184"/>
      <c r="H231" s="184"/>
      <c r="I231" s="184"/>
      <c r="J231" s="184"/>
      <c r="K231" s="184"/>
      <c r="L231" s="184"/>
    </row>
    <row r="232" spans="2:12">
      <c r="B232" s="184"/>
      <c r="C232" s="184"/>
      <c r="D232" s="184"/>
      <c r="E232" s="184"/>
      <c r="F232" s="184"/>
      <c r="G232" s="184"/>
      <c r="H232" s="184"/>
      <c r="I232" s="184"/>
      <c r="J232" s="184"/>
      <c r="K232" s="184"/>
      <c r="L232" s="184"/>
    </row>
    <row r="233" spans="2:12">
      <c r="B233" s="184"/>
      <c r="C233" s="184"/>
      <c r="D233" s="184"/>
      <c r="E233" s="184"/>
      <c r="F233" s="184"/>
      <c r="G233" s="184"/>
      <c r="H233" s="184"/>
      <c r="I233" s="184"/>
      <c r="J233" s="184"/>
      <c r="K233" s="184"/>
      <c r="L233" s="184"/>
    </row>
    <row r="234" spans="2:12">
      <c r="B234" s="184"/>
      <c r="C234" s="184"/>
      <c r="D234" s="184"/>
      <c r="E234" s="184"/>
      <c r="F234" s="184"/>
      <c r="G234" s="184"/>
      <c r="H234" s="184"/>
      <c r="I234" s="184"/>
      <c r="J234" s="184"/>
      <c r="K234" s="184"/>
      <c r="L234" s="184"/>
    </row>
    <row r="235" spans="2:12">
      <c r="B235" s="184"/>
      <c r="C235" s="184"/>
      <c r="D235" s="184"/>
      <c r="E235" s="184"/>
      <c r="F235" s="184"/>
      <c r="G235" s="184"/>
      <c r="H235" s="184"/>
      <c r="I235" s="184"/>
      <c r="J235" s="184"/>
      <c r="K235" s="184"/>
      <c r="L235" s="184"/>
    </row>
    <row r="236" spans="2:12">
      <c r="B236" s="184"/>
      <c r="C236" s="184"/>
      <c r="D236" s="184"/>
      <c r="E236" s="184"/>
      <c r="F236" s="184"/>
      <c r="G236" s="184"/>
      <c r="H236" s="184"/>
      <c r="I236" s="184"/>
      <c r="J236" s="184"/>
      <c r="K236" s="184"/>
      <c r="L236" s="184"/>
    </row>
    <row r="237" spans="2:12">
      <c r="B237" s="184"/>
      <c r="C237" s="184"/>
      <c r="D237" s="184"/>
      <c r="E237" s="184"/>
      <c r="F237" s="184"/>
      <c r="G237" s="184"/>
      <c r="H237" s="184"/>
      <c r="I237" s="184"/>
      <c r="J237" s="184"/>
      <c r="K237" s="184"/>
      <c r="L237" s="184"/>
    </row>
    <row r="238" spans="2:12">
      <c r="B238" s="184"/>
      <c r="C238" s="184"/>
      <c r="D238" s="184"/>
      <c r="E238" s="184"/>
      <c r="F238" s="184"/>
      <c r="G238" s="184"/>
      <c r="H238" s="184"/>
      <c r="I238" s="184"/>
      <c r="J238" s="184"/>
      <c r="K238" s="184"/>
      <c r="L238" s="184"/>
    </row>
    <row r="239" spans="2:12">
      <c r="B239" s="184"/>
      <c r="C239" s="184"/>
      <c r="D239" s="184"/>
      <c r="E239" s="184"/>
      <c r="F239" s="184"/>
      <c r="G239" s="184"/>
      <c r="H239" s="184"/>
      <c r="I239" s="184"/>
      <c r="J239" s="184"/>
      <c r="K239" s="184"/>
      <c r="L239" s="184"/>
    </row>
    <row r="240" spans="2:12">
      <c r="B240" s="184"/>
      <c r="C240" s="184"/>
      <c r="D240" s="184"/>
      <c r="E240" s="184"/>
      <c r="F240" s="184"/>
      <c r="G240" s="184"/>
      <c r="H240" s="184"/>
      <c r="I240" s="184"/>
      <c r="J240" s="184"/>
      <c r="K240" s="184"/>
      <c r="L240" s="184"/>
    </row>
    <row r="241" spans="2:12">
      <c r="B241" s="184"/>
      <c r="C241" s="184"/>
      <c r="D241" s="184"/>
      <c r="E241" s="184"/>
      <c r="F241" s="184"/>
      <c r="G241" s="184"/>
      <c r="H241" s="184"/>
      <c r="I241" s="184"/>
      <c r="J241" s="184"/>
      <c r="K241" s="184"/>
      <c r="L241" s="184"/>
    </row>
    <row r="242" spans="2:12">
      <c r="B242" s="184"/>
      <c r="C242" s="184"/>
      <c r="D242" s="184"/>
      <c r="E242" s="184"/>
      <c r="F242" s="184"/>
      <c r="G242" s="184"/>
      <c r="H242" s="184"/>
      <c r="I242" s="184"/>
      <c r="J242" s="184"/>
      <c r="K242" s="184"/>
      <c r="L242" s="184"/>
    </row>
    <row r="243" spans="2:12">
      <c r="B243" s="184"/>
      <c r="C243" s="184"/>
      <c r="D243" s="184"/>
      <c r="E243" s="184"/>
      <c r="F243" s="184"/>
      <c r="G243" s="184"/>
      <c r="H243" s="184"/>
      <c r="I243" s="184"/>
      <c r="J243" s="184"/>
      <c r="K243" s="184"/>
      <c r="L243" s="184"/>
    </row>
    <row r="244" spans="2:12">
      <c r="B244" s="184"/>
      <c r="C244" s="184"/>
      <c r="D244" s="184"/>
      <c r="E244" s="184"/>
      <c r="F244" s="184"/>
      <c r="G244" s="184"/>
      <c r="H244" s="184"/>
      <c r="I244" s="184"/>
      <c r="J244" s="184"/>
      <c r="K244" s="184"/>
      <c r="L244" s="184"/>
    </row>
    <row r="245" spans="2:12">
      <c r="B245" s="184"/>
      <c r="C245" s="184"/>
      <c r="D245" s="184"/>
      <c r="E245" s="184"/>
      <c r="F245" s="184"/>
      <c r="G245" s="184"/>
      <c r="H245" s="184"/>
      <c r="I245" s="184"/>
      <c r="J245" s="184"/>
      <c r="K245" s="184"/>
      <c r="L245" s="184"/>
    </row>
    <row r="246" spans="2:12">
      <c r="B246" s="184"/>
      <c r="C246" s="184"/>
      <c r="D246" s="184"/>
      <c r="E246" s="184"/>
      <c r="F246" s="184"/>
      <c r="G246" s="184"/>
      <c r="H246" s="184"/>
      <c r="I246" s="184"/>
      <c r="J246" s="184"/>
      <c r="K246" s="184"/>
      <c r="L246" s="184"/>
    </row>
    <row r="247" spans="2:12">
      <c r="B247" s="184"/>
      <c r="C247" s="184"/>
      <c r="D247" s="184"/>
      <c r="E247" s="184"/>
      <c r="F247" s="184"/>
      <c r="G247" s="184"/>
      <c r="H247" s="184"/>
      <c r="I247" s="184"/>
      <c r="J247" s="184"/>
      <c r="K247" s="184"/>
      <c r="L247" s="184"/>
    </row>
    <row r="248" spans="2:12">
      <c r="B248" s="184"/>
      <c r="C248" s="184"/>
      <c r="D248" s="184"/>
      <c r="E248" s="184"/>
      <c r="F248" s="184"/>
      <c r="G248" s="184"/>
      <c r="H248" s="184"/>
      <c r="I248" s="184"/>
      <c r="J248" s="184"/>
      <c r="K248" s="184"/>
      <c r="L248" s="184"/>
    </row>
    <row r="249" spans="2:12">
      <c r="B249" s="184"/>
      <c r="C249" s="184"/>
      <c r="D249" s="184"/>
      <c r="E249" s="184"/>
      <c r="F249" s="184"/>
      <c r="G249" s="184"/>
      <c r="H249" s="184"/>
      <c r="I249" s="184"/>
      <c r="J249" s="184"/>
      <c r="K249" s="184"/>
      <c r="L249" s="184"/>
    </row>
    <row r="250" spans="2:12">
      <c r="B250" s="184"/>
      <c r="C250" s="184"/>
      <c r="D250" s="184"/>
      <c r="E250" s="184"/>
      <c r="F250" s="184"/>
      <c r="G250" s="184"/>
      <c r="H250" s="184"/>
      <c r="I250" s="184"/>
      <c r="J250" s="184"/>
      <c r="K250" s="184"/>
      <c r="L250" s="184"/>
    </row>
    <row r="251" spans="2:12">
      <c r="B251" s="184"/>
      <c r="C251" s="184"/>
      <c r="D251" s="184"/>
      <c r="E251" s="184"/>
      <c r="F251" s="184"/>
      <c r="G251" s="184"/>
      <c r="H251" s="184"/>
      <c r="I251" s="184"/>
      <c r="J251" s="184"/>
      <c r="K251" s="184"/>
      <c r="L251" s="184"/>
    </row>
    <row r="252" spans="2:12">
      <c r="B252" s="184"/>
      <c r="C252" s="184"/>
      <c r="D252" s="184"/>
      <c r="E252" s="184"/>
      <c r="F252" s="184"/>
      <c r="G252" s="184"/>
      <c r="H252" s="184"/>
      <c r="I252" s="184"/>
      <c r="J252" s="184"/>
      <c r="K252" s="184"/>
      <c r="L252" s="184"/>
    </row>
  </sheetData>
  <mergeCells count="11">
    <mergeCell ref="A5:A6"/>
    <mergeCell ref="A2:J2"/>
    <mergeCell ref="A4:J4"/>
    <mergeCell ref="A17:J17"/>
    <mergeCell ref="A57:J57"/>
    <mergeCell ref="A58:J58"/>
    <mergeCell ref="A37:C37"/>
    <mergeCell ref="A20:D20"/>
    <mergeCell ref="E20:J20"/>
    <mergeCell ref="A40:J40"/>
    <mergeCell ref="E37:J37"/>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K7" sqref="K7"/>
    </sheetView>
  </sheetViews>
  <sheetFormatPr defaultColWidth="9.28515625" defaultRowHeight="10.199999999999999"/>
  <cols>
    <col min="8" max="10" width="11.140625" customWidth="1"/>
    <col min="11" max="11" width="12.42578125" customWidth="1"/>
    <col min="12" max="12" width="9.28515625" customWidth="1"/>
  </cols>
  <sheetData>
    <row r="3" spans="1:12">
      <c r="A3" s="1" t="s">
        <v>0</v>
      </c>
      <c r="B3" s="1"/>
      <c r="C3" s="1"/>
      <c r="D3" s="1"/>
      <c r="E3" s="1"/>
      <c r="F3" s="1"/>
      <c r="G3" s="1"/>
      <c r="H3" s="1"/>
      <c r="I3" s="1"/>
      <c r="J3" s="1"/>
      <c r="K3" s="1"/>
      <c r="L3" s="1"/>
    </row>
    <row r="4" spans="1:12">
      <c r="A4" s="1"/>
      <c r="B4" s="1"/>
      <c r="C4" s="1"/>
      <c r="D4" s="1"/>
      <c r="E4" s="1"/>
      <c r="F4" s="1"/>
      <c r="G4" s="1"/>
      <c r="H4" s="1"/>
      <c r="I4" s="1"/>
      <c r="J4" s="1"/>
      <c r="K4" s="1"/>
      <c r="L4" s="1"/>
    </row>
    <row r="5" spans="1:12" ht="11.4">
      <c r="A5" s="4"/>
      <c r="B5" s="185"/>
      <c r="C5" s="3"/>
      <c r="D5" s="3"/>
      <c r="E5" s="32"/>
      <c r="F5" s="3"/>
      <c r="G5" s="3"/>
      <c r="H5" s="3"/>
      <c r="I5" s="3"/>
      <c r="J5" s="3"/>
      <c r="K5" s="3"/>
      <c r="L5" s="6"/>
    </row>
    <row r="6" spans="1:12" ht="11.4">
      <c r="A6" s="4"/>
      <c r="B6" s="185"/>
      <c r="C6" s="3"/>
      <c r="D6" s="3"/>
      <c r="E6" s="32"/>
      <c r="F6" s="3"/>
      <c r="G6" s="3"/>
      <c r="H6" s="3"/>
      <c r="I6" s="3"/>
      <c r="J6" s="3"/>
      <c r="K6" s="3"/>
      <c r="L6" s="5"/>
    </row>
    <row r="7" spans="1:12" ht="19.5" customHeight="1">
      <c r="A7" s="17" t="s">
        <v>309</v>
      </c>
      <c r="B7" s="186"/>
      <c r="C7" s="22"/>
      <c r="D7" s="22"/>
      <c r="E7" s="22"/>
      <c r="F7" s="22"/>
      <c r="G7" s="22"/>
      <c r="H7" s="22"/>
      <c r="I7" s="22"/>
      <c r="J7" s="22"/>
      <c r="K7" s="22"/>
      <c r="L7" s="22"/>
    </row>
    <row r="8" spans="1:12" ht="17.25" customHeight="1">
      <c r="A8" s="22"/>
      <c r="B8" s="22" t="s">
        <v>765</v>
      </c>
      <c r="C8" s="20"/>
      <c r="D8" s="20"/>
      <c r="E8" s="20"/>
      <c r="F8" s="20"/>
      <c r="G8" s="20"/>
      <c r="H8" s="20"/>
      <c r="I8" s="20"/>
      <c r="J8" s="22"/>
      <c r="K8" s="18"/>
      <c r="L8" s="21">
        <v>1</v>
      </c>
    </row>
    <row r="9" spans="1:12" ht="9.75" customHeight="1">
      <c r="A9" s="22"/>
      <c r="B9" s="22"/>
      <c r="C9" s="20"/>
      <c r="D9" s="20"/>
      <c r="E9" s="20"/>
      <c r="F9" s="20"/>
      <c r="G9" s="20"/>
      <c r="H9" s="20"/>
      <c r="I9" s="20"/>
      <c r="J9" s="22"/>
      <c r="K9" s="20"/>
      <c r="L9" s="21"/>
    </row>
    <row r="10" spans="1:12" ht="19.5" customHeight="1">
      <c r="A10" s="17" t="s">
        <v>757</v>
      </c>
      <c r="B10" s="186"/>
      <c r="C10" s="22"/>
      <c r="D10" s="22"/>
      <c r="E10" s="22"/>
      <c r="F10" s="22"/>
      <c r="G10" s="22"/>
      <c r="H10" s="22"/>
      <c r="I10" s="22"/>
      <c r="J10" s="22"/>
      <c r="K10" s="22"/>
      <c r="L10" s="19"/>
    </row>
    <row r="11" spans="1:12" ht="19.5" customHeight="1">
      <c r="A11" s="24"/>
      <c r="B11" s="22" t="s">
        <v>344</v>
      </c>
      <c r="C11" s="22"/>
      <c r="D11" s="22"/>
      <c r="E11" s="22"/>
      <c r="F11" s="18"/>
      <c r="G11" s="18"/>
      <c r="H11" s="18"/>
      <c r="I11" s="18"/>
      <c r="J11" s="18"/>
      <c r="K11" s="18"/>
      <c r="L11" s="19" t="s">
        <v>1</v>
      </c>
    </row>
    <row r="12" spans="1:12" ht="19.5" customHeight="1">
      <c r="A12" s="24"/>
      <c r="B12" s="22" t="s">
        <v>290</v>
      </c>
      <c r="C12" s="22"/>
      <c r="D12" s="22"/>
      <c r="E12" s="18"/>
      <c r="F12" s="18"/>
      <c r="G12" s="18"/>
      <c r="H12" s="18"/>
      <c r="I12" s="18"/>
      <c r="J12" s="18"/>
      <c r="K12" s="18"/>
      <c r="L12" s="19" t="s">
        <v>1</v>
      </c>
    </row>
    <row r="13" spans="1:12" ht="10.5" customHeight="1">
      <c r="A13" s="22"/>
      <c r="B13" s="20"/>
      <c r="C13" s="20"/>
      <c r="D13" s="20"/>
      <c r="E13" s="20"/>
      <c r="F13" s="20"/>
      <c r="G13" s="20"/>
      <c r="H13" s="20"/>
      <c r="I13" s="20"/>
      <c r="J13" s="20"/>
      <c r="K13" s="20"/>
      <c r="L13" s="21"/>
    </row>
    <row r="14" spans="1:12" ht="19.5" customHeight="1">
      <c r="A14" s="17" t="s">
        <v>302</v>
      </c>
      <c r="B14" s="22"/>
      <c r="C14" s="22"/>
      <c r="D14" s="22"/>
      <c r="E14" s="22"/>
      <c r="F14" s="22"/>
      <c r="G14" s="22"/>
      <c r="H14" s="22"/>
      <c r="I14" s="22"/>
      <c r="J14" s="22"/>
      <c r="K14" s="22"/>
      <c r="L14" s="19"/>
    </row>
    <row r="15" spans="1:12" ht="19.5" customHeight="1">
      <c r="A15" s="24"/>
      <c r="B15" s="22" t="s">
        <v>279</v>
      </c>
      <c r="C15" s="22"/>
      <c r="D15" s="22"/>
      <c r="E15" s="22"/>
      <c r="F15" s="18"/>
      <c r="G15" s="18"/>
      <c r="H15" s="18"/>
      <c r="I15" s="18"/>
      <c r="J15" s="18"/>
      <c r="K15" s="18"/>
      <c r="L15" s="19" t="s">
        <v>2</v>
      </c>
    </row>
    <row r="16" spans="1:12" ht="19.5" customHeight="1">
      <c r="A16" s="24"/>
      <c r="B16" s="22" t="s">
        <v>288</v>
      </c>
      <c r="C16" s="22"/>
      <c r="D16" s="22"/>
      <c r="E16" s="22"/>
      <c r="F16" s="22"/>
      <c r="G16" s="18"/>
      <c r="H16" s="18"/>
      <c r="I16" s="18"/>
      <c r="J16" s="18"/>
      <c r="K16" s="18"/>
      <c r="L16" s="19" t="s">
        <v>3</v>
      </c>
    </row>
    <row r="17" spans="1:12" ht="19.5" customHeight="1">
      <c r="A17" s="24"/>
      <c r="B17" s="22" t="s">
        <v>280</v>
      </c>
      <c r="C17" s="22"/>
      <c r="D17" s="22"/>
      <c r="E17" s="22"/>
      <c r="F17" s="22"/>
      <c r="G17" s="18"/>
      <c r="H17" s="18"/>
      <c r="I17" s="18"/>
      <c r="J17" s="18"/>
      <c r="K17" s="18"/>
      <c r="L17" s="19" t="s">
        <v>4</v>
      </c>
    </row>
    <row r="18" spans="1:12" ht="19.5" customHeight="1">
      <c r="A18" s="24"/>
      <c r="B18" s="22" t="s">
        <v>281</v>
      </c>
      <c r="C18" s="22"/>
      <c r="D18" s="22"/>
      <c r="E18" s="22"/>
      <c r="F18" s="18"/>
      <c r="G18" s="18"/>
      <c r="H18" s="18"/>
      <c r="I18" s="18"/>
      <c r="J18" s="18"/>
      <c r="K18" s="18"/>
      <c r="L18" s="19" t="s">
        <v>5</v>
      </c>
    </row>
    <row r="19" spans="1:12" ht="19.5" customHeight="1">
      <c r="A19" s="24"/>
      <c r="B19" s="22" t="s">
        <v>282</v>
      </c>
      <c r="C19" s="22"/>
      <c r="D19" s="22"/>
      <c r="E19" s="22"/>
      <c r="F19" s="22"/>
      <c r="G19" s="22"/>
      <c r="H19" s="18"/>
      <c r="I19" s="18"/>
      <c r="J19" s="18"/>
      <c r="K19" s="18"/>
      <c r="L19" s="19" t="s">
        <v>6</v>
      </c>
    </row>
    <row r="20" spans="1:12" ht="10.5" customHeight="1">
      <c r="A20" s="24"/>
      <c r="B20" s="22"/>
      <c r="C20" s="22"/>
      <c r="D20" s="22"/>
      <c r="E20" s="22"/>
      <c r="F20" s="22"/>
      <c r="G20" s="22"/>
      <c r="H20" s="22"/>
      <c r="I20" s="22"/>
      <c r="J20" s="22"/>
      <c r="K20" s="22"/>
      <c r="L20" s="19"/>
    </row>
    <row r="21" spans="1:12" ht="19.5" customHeight="1">
      <c r="A21" s="17" t="s">
        <v>301</v>
      </c>
      <c r="B21" s="22"/>
      <c r="C21" s="22"/>
      <c r="D21" s="22"/>
      <c r="E21" s="22"/>
      <c r="F21" s="22"/>
      <c r="G21" s="22"/>
      <c r="H21" s="22"/>
      <c r="I21" s="22"/>
      <c r="J21" s="22"/>
      <c r="K21" s="22"/>
      <c r="L21" s="26"/>
    </row>
    <row r="22" spans="1:12" ht="19.5" customHeight="1">
      <c r="A22" s="22"/>
      <c r="B22" s="22" t="s">
        <v>303</v>
      </c>
      <c r="C22" s="22"/>
      <c r="D22" s="22"/>
      <c r="E22" s="22"/>
      <c r="F22" s="22"/>
      <c r="G22" s="18"/>
      <c r="H22" s="18"/>
      <c r="I22" s="18"/>
      <c r="J22" s="18"/>
      <c r="K22" s="18"/>
      <c r="L22" s="19" t="s">
        <v>8</v>
      </c>
    </row>
    <row r="23" spans="1:12" ht="19.5" customHeight="1">
      <c r="A23" s="27"/>
      <c r="B23" s="22" t="s">
        <v>337</v>
      </c>
      <c r="C23" s="22"/>
      <c r="D23" s="22"/>
      <c r="E23" s="22"/>
      <c r="F23" s="22"/>
      <c r="G23" s="22"/>
      <c r="H23" s="22"/>
      <c r="I23" s="18"/>
      <c r="J23" s="18"/>
      <c r="K23" s="18"/>
      <c r="L23" s="19" t="s">
        <v>9</v>
      </c>
    </row>
    <row r="24" spans="1:12" ht="10.5" customHeight="1">
      <c r="A24" s="27"/>
      <c r="B24" s="23"/>
      <c r="C24" s="28"/>
      <c r="D24" s="23"/>
      <c r="E24" s="23"/>
      <c r="F24" s="23"/>
      <c r="G24" s="23"/>
      <c r="H24" s="23"/>
      <c r="I24" s="23"/>
      <c r="J24" s="23"/>
      <c r="K24" s="23"/>
      <c r="L24" s="19"/>
    </row>
    <row r="25" spans="1:12" ht="19.5" customHeight="1">
      <c r="A25" s="17" t="s">
        <v>201</v>
      </c>
      <c r="B25" s="22"/>
      <c r="C25" s="22"/>
      <c r="D25" s="22"/>
      <c r="E25" s="22"/>
      <c r="F25" s="22"/>
      <c r="G25" s="22"/>
      <c r="H25" s="22"/>
      <c r="I25" s="22"/>
      <c r="J25" s="22"/>
      <c r="K25" s="22"/>
      <c r="L25" s="26"/>
    </row>
    <row r="26" spans="1:12" ht="19.5" customHeight="1">
      <c r="A26" s="22"/>
      <c r="B26" s="22" t="s">
        <v>305</v>
      </c>
      <c r="C26" s="22"/>
      <c r="D26" s="22"/>
      <c r="E26" s="22"/>
      <c r="F26" s="18"/>
      <c r="G26" s="18"/>
      <c r="H26" s="18"/>
      <c r="I26" s="18"/>
      <c r="J26" s="18"/>
      <c r="K26" s="29"/>
      <c r="L26" s="19" t="s">
        <v>10</v>
      </c>
    </row>
    <row r="27" spans="1:12" ht="19.5" customHeight="1">
      <c r="A27" s="22"/>
      <c r="B27" s="22" t="s">
        <v>283</v>
      </c>
      <c r="C27" s="22"/>
      <c r="D27" s="22"/>
      <c r="E27" s="22"/>
      <c r="F27" s="22"/>
      <c r="G27" s="18"/>
      <c r="H27" s="18"/>
      <c r="I27" s="18"/>
      <c r="J27" s="18"/>
      <c r="K27" s="29"/>
      <c r="L27" s="19" t="s">
        <v>10</v>
      </c>
    </row>
    <row r="28" spans="1:12" ht="19.5" customHeight="1">
      <c r="A28" s="27"/>
      <c r="B28" s="22" t="s">
        <v>304</v>
      </c>
      <c r="C28" s="22"/>
      <c r="D28" s="22"/>
      <c r="E28" s="22"/>
      <c r="F28" s="18"/>
      <c r="G28" s="18"/>
      <c r="H28" s="29"/>
      <c r="I28" s="29"/>
      <c r="J28" s="29"/>
      <c r="K28" s="29"/>
      <c r="L28" s="19" t="s">
        <v>11</v>
      </c>
    </row>
    <row r="29" spans="1:12" ht="19.5" customHeight="1">
      <c r="A29" s="27"/>
      <c r="B29" s="22" t="s">
        <v>289</v>
      </c>
      <c r="C29" s="22"/>
      <c r="D29" s="22"/>
      <c r="E29" s="18"/>
      <c r="F29" s="29"/>
      <c r="G29" s="29"/>
      <c r="H29" s="29"/>
      <c r="I29" s="29"/>
      <c r="J29" s="29"/>
      <c r="K29" s="29"/>
      <c r="L29" s="19" t="s">
        <v>11</v>
      </c>
    </row>
    <row r="30" spans="1:12" ht="10.5" customHeight="1">
      <c r="A30" s="27"/>
      <c r="B30" s="22"/>
      <c r="C30" s="22"/>
      <c r="D30" s="22"/>
      <c r="E30" s="22"/>
      <c r="F30" s="22"/>
      <c r="G30" s="22"/>
      <c r="H30" s="22"/>
      <c r="I30" s="22"/>
      <c r="J30" s="22"/>
      <c r="K30" s="22"/>
      <c r="L30" s="19"/>
    </row>
    <row r="31" spans="1:12" ht="19.5" customHeight="1">
      <c r="A31" s="17" t="s">
        <v>294</v>
      </c>
      <c r="B31" s="22"/>
      <c r="C31" s="22"/>
      <c r="D31" s="22"/>
      <c r="E31" s="22"/>
      <c r="F31" s="22"/>
      <c r="G31" s="22"/>
      <c r="H31" s="22"/>
      <c r="I31" s="22"/>
      <c r="J31" s="22"/>
      <c r="K31" s="22"/>
      <c r="L31" s="19"/>
    </row>
    <row r="32" spans="1:12" ht="19.5" customHeight="1">
      <c r="A32" s="27"/>
      <c r="B32" s="22" t="s">
        <v>306</v>
      </c>
      <c r="C32" s="22"/>
      <c r="D32" s="22"/>
      <c r="E32" s="22"/>
      <c r="F32" s="22"/>
      <c r="G32" s="18"/>
      <c r="H32" s="18"/>
      <c r="I32" s="18"/>
      <c r="J32" s="18"/>
      <c r="K32" s="18"/>
      <c r="L32" s="19" t="s">
        <v>12</v>
      </c>
    </row>
    <row r="33" spans="1:12" ht="19.5" customHeight="1">
      <c r="A33" s="27"/>
      <c r="B33" s="22" t="s">
        <v>284</v>
      </c>
      <c r="C33" s="22"/>
      <c r="D33" s="22"/>
      <c r="E33" s="22"/>
      <c r="F33" s="22"/>
      <c r="G33" s="22"/>
      <c r="H33" s="18"/>
      <c r="I33" s="18"/>
      <c r="J33" s="18"/>
      <c r="K33" s="18"/>
      <c r="L33" s="19" t="s">
        <v>13</v>
      </c>
    </row>
    <row r="34" spans="1:12" ht="10.5" customHeight="1">
      <c r="A34" s="27"/>
      <c r="B34" s="22"/>
      <c r="C34" s="22"/>
      <c r="D34" s="22"/>
      <c r="E34" s="22"/>
      <c r="F34" s="22"/>
      <c r="G34" s="22"/>
      <c r="H34" s="22"/>
      <c r="I34" s="22"/>
      <c r="J34" s="22"/>
      <c r="K34" s="22"/>
      <c r="L34" s="19"/>
    </row>
    <row r="35" spans="1:12" ht="19.5" customHeight="1">
      <c r="A35" s="17" t="s">
        <v>285</v>
      </c>
      <c r="B35" s="23"/>
      <c r="C35" s="28"/>
      <c r="D35" s="23"/>
      <c r="E35" s="23"/>
      <c r="F35" s="23"/>
      <c r="G35" s="23"/>
      <c r="H35" s="23"/>
      <c r="I35" s="23"/>
      <c r="J35" s="23"/>
      <c r="K35" s="23"/>
      <c r="L35" s="19"/>
    </row>
    <row r="36" spans="1:12" ht="19.5" customHeight="1">
      <c r="A36" s="24"/>
      <c r="B36" s="22" t="s">
        <v>307</v>
      </c>
      <c r="C36" s="22"/>
      <c r="D36" s="22"/>
      <c r="E36" s="22"/>
      <c r="F36" s="18"/>
      <c r="G36" s="18"/>
      <c r="H36" s="18"/>
      <c r="I36" s="18"/>
      <c r="J36" s="18"/>
      <c r="K36" s="18"/>
      <c r="L36" s="19" t="s">
        <v>14</v>
      </c>
    </row>
    <row r="37" spans="1:12" ht="10.5" customHeight="1">
      <c r="A37" s="24"/>
      <c r="B37" s="22"/>
      <c r="C37" s="22"/>
      <c r="D37" s="22"/>
      <c r="E37" s="22"/>
      <c r="F37" s="22"/>
      <c r="G37" s="22"/>
      <c r="H37" s="22"/>
      <c r="I37" s="22"/>
      <c r="J37" s="22"/>
      <c r="K37" s="22"/>
      <c r="L37" s="19"/>
    </row>
    <row r="38" spans="1:12" ht="19.5" customHeight="1">
      <c r="A38" s="17" t="s">
        <v>286</v>
      </c>
      <c r="B38" s="30"/>
      <c r="C38" s="22"/>
      <c r="D38" s="22"/>
      <c r="E38" s="22"/>
      <c r="F38" s="22"/>
      <c r="G38" s="22"/>
      <c r="H38" s="22"/>
      <c r="I38" s="22"/>
      <c r="J38" s="22"/>
      <c r="K38" s="22"/>
      <c r="L38" s="33"/>
    </row>
    <row r="39" spans="1:12" ht="19.5" customHeight="1">
      <c r="A39" s="24"/>
      <c r="B39" s="22" t="s">
        <v>287</v>
      </c>
      <c r="C39" s="22"/>
      <c r="D39" s="22"/>
      <c r="E39" s="22"/>
      <c r="F39" s="22"/>
      <c r="G39" s="22"/>
      <c r="H39" s="18"/>
      <c r="I39" s="18"/>
      <c r="J39" s="18"/>
      <c r="K39" s="18"/>
      <c r="L39" s="19" t="s">
        <v>15</v>
      </c>
    </row>
    <row r="40" spans="1:12" ht="10.5" customHeight="1">
      <c r="A40" s="22"/>
      <c r="B40" s="22"/>
      <c r="C40" s="22"/>
      <c r="D40" s="22"/>
      <c r="E40" s="22"/>
      <c r="F40" s="22"/>
      <c r="G40" s="22"/>
      <c r="H40" s="22"/>
      <c r="I40" s="22"/>
      <c r="J40" s="22"/>
      <c r="K40" s="22"/>
      <c r="L40" s="19"/>
    </row>
    <row r="41" spans="1:12" ht="19.5" customHeight="1">
      <c r="A41" s="17" t="s">
        <v>161</v>
      </c>
      <c r="B41" s="22"/>
      <c r="C41" s="22"/>
      <c r="D41" s="22"/>
      <c r="E41" s="22"/>
      <c r="F41" s="22"/>
      <c r="G41" s="22"/>
      <c r="H41" s="22"/>
      <c r="I41" s="22"/>
      <c r="J41" s="22"/>
      <c r="K41" s="22"/>
      <c r="L41" s="19"/>
    </row>
    <row r="42" spans="1:12" ht="19.5" customHeight="1">
      <c r="A42" s="17" t="s">
        <v>16</v>
      </c>
      <c r="B42" s="22"/>
      <c r="C42" s="22"/>
      <c r="D42" s="22"/>
      <c r="E42" s="22"/>
      <c r="F42" s="22"/>
      <c r="G42" s="22"/>
      <c r="H42" s="22"/>
      <c r="I42" s="25"/>
      <c r="J42" s="25"/>
      <c r="K42" s="25"/>
      <c r="L42" s="19" t="s">
        <v>17</v>
      </c>
    </row>
    <row r="43" spans="1:12" ht="19.5" customHeight="1">
      <c r="A43" s="17" t="s">
        <v>308</v>
      </c>
      <c r="B43" s="22"/>
      <c r="C43" s="22"/>
      <c r="D43" s="22"/>
      <c r="E43" s="22"/>
      <c r="F43" s="18"/>
      <c r="G43" s="18"/>
      <c r="H43" s="18"/>
      <c r="I43" s="18"/>
      <c r="J43" s="18"/>
      <c r="K43" s="18"/>
      <c r="L43" s="19" t="s">
        <v>18</v>
      </c>
    </row>
    <row r="44" spans="1:12" ht="19.5" customHeight="1">
      <c r="A44" s="17" t="s">
        <v>19</v>
      </c>
      <c r="B44" s="22"/>
      <c r="C44" s="22"/>
      <c r="D44" s="22"/>
      <c r="E44" s="18"/>
      <c r="F44" s="18"/>
      <c r="G44" s="18"/>
      <c r="H44" s="18"/>
      <c r="I44" s="18"/>
      <c r="J44" s="18"/>
      <c r="K44" s="18"/>
      <c r="L44" s="19" t="s">
        <v>20</v>
      </c>
    </row>
    <row r="47" spans="1:12" ht="11.4">
      <c r="A47" s="8"/>
      <c r="B47" s="8"/>
      <c r="C47" s="8"/>
      <c r="D47" s="8"/>
      <c r="E47" s="8"/>
      <c r="F47" s="8"/>
      <c r="G47" s="8"/>
      <c r="H47" s="8"/>
      <c r="I47" s="8"/>
      <c r="J47" s="8"/>
      <c r="K47" s="8"/>
      <c r="L47" s="8"/>
    </row>
    <row r="48" spans="1:12" ht="11.4">
      <c r="A48" s="8"/>
      <c r="B48" s="8"/>
      <c r="C48" s="8"/>
      <c r="D48" s="8"/>
      <c r="E48" s="8"/>
      <c r="F48" s="8"/>
      <c r="G48" s="8"/>
      <c r="H48" s="8"/>
      <c r="I48" s="8"/>
      <c r="J48" s="8"/>
      <c r="K48" s="8"/>
      <c r="L48" s="8"/>
    </row>
    <row r="49" spans="1:12" ht="11.4">
      <c r="A49" s="8"/>
      <c r="B49" s="8"/>
      <c r="C49" s="8"/>
      <c r="D49" s="8"/>
      <c r="E49" s="8"/>
      <c r="F49" s="8"/>
      <c r="G49" s="8"/>
      <c r="H49" s="8"/>
      <c r="I49" s="8"/>
      <c r="J49" s="8"/>
      <c r="K49" s="8"/>
      <c r="L49" s="8"/>
    </row>
    <row r="50" spans="1:12" ht="11.4">
      <c r="A50" s="8"/>
      <c r="B50" s="8"/>
      <c r="C50" s="8"/>
      <c r="D50" s="8"/>
      <c r="E50" s="8"/>
      <c r="F50" s="8"/>
      <c r="G50" s="8"/>
      <c r="H50" s="8"/>
      <c r="I50" s="8"/>
      <c r="J50" s="8"/>
      <c r="K50" s="8"/>
      <c r="L50" s="8"/>
    </row>
    <row r="51" spans="1:12" ht="11.4">
      <c r="A51" s="8"/>
      <c r="B51" s="8"/>
      <c r="C51" s="8"/>
      <c r="D51" s="8"/>
      <c r="E51" s="8"/>
      <c r="F51" s="8"/>
      <c r="G51" s="8"/>
      <c r="H51" s="8"/>
      <c r="I51" s="8"/>
      <c r="J51" s="8"/>
      <c r="K51" s="8"/>
      <c r="L51" s="8"/>
    </row>
    <row r="52" spans="1:12" ht="11.4">
      <c r="A52" s="8"/>
      <c r="B52" s="8"/>
      <c r="C52" s="8"/>
      <c r="D52" s="8"/>
      <c r="E52" s="8"/>
      <c r="F52" s="8"/>
      <c r="G52" s="8"/>
      <c r="H52" s="8"/>
      <c r="I52" s="8"/>
      <c r="J52" s="8"/>
      <c r="K52" s="8"/>
      <c r="L52" s="8"/>
    </row>
    <row r="53" spans="1:12" ht="11.4">
      <c r="A53" s="8"/>
      <c r="B53" s="8"/>
      <c r="C53" s="8"/>
      <c r="D53" s="8"/>
      <c r="E53" s="8"/>
      <c r="F53" s="8"/>
      <c r="G53" s="8"/>
      <c r="H53" s="8"/>
      <c r="I53" s="8"/>
      <c r="J53" s="8"/>
      <c r="K53" s="8"/>
      <c r="L53" s="8"/>
    </row>
    <row r="54" spans="1:12" ht="11.4">
      <c r="A54" s="8"/>
      <c r="B54" s="8"/>
      <c r="C54" s="8"/>
      <c r="D54" s="8"/>
      <c r="E54" s="8"/>
      <c r="F54" s="8"/>
      <c r="G54" s="8"/>
      <c r="H54" s="8"/>
      <c r="I54" s="8"/>
      <c r="J54" s="8"/>
      <c r="K54" s="8"/>
      <c r="L54" s="8"/>
    </row>
    <row r="55" spans="1:12" ht="11.4">
      <c r="A55" s="8"/>
      <c r="B55" s="8"/>
      <c r="C55" s="8"/>
      <c r="D55" s="8"/>
      <c r="E55" s="8"/>
      <c r="F55" s="8"/>
      <c r="G55" s="8"/>
      <c r="H55" s="8"/>
      <c r="I55" s="8"/>
      <c r="J55" s="8"/>
      <c r="K55" s="8"/>
      <c r="L55" s="8"/>
    </row>
    <row r="56" spans="1:12" ht="11.4">
      <c r="A56" s="8"/>
      <c r="B56" s="8"/>
      <c r="C56" s="8"/>
      <c r="D56" s="8"/>
      <c r="E56" s="8"/>
      <c r="F56" s="8"/>
      <c r="G56" s="8"/>
      <c r="H56" s="8"/>
      <c r="I56" s="8"/>
      <c r="J56" s="8"/>
      <c r="K56" s="8"/>
      <c r="L56" s="8"/>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3"/>
  <sheetViews>
    <sheetView showGridLines="0" view="pageBreakPreview" zoomScaleNormal="100" zoomScaleSheetLayoutView="100" zoomScalePageLayoutView="160" workbookViewId="0">
      <selection activeCell="F56" sqref="F56:F58"/>
    </sheetView>
  </sheetViews>
  <sheetFormatPr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2.7109375" bestFit="1" customWidth="1"/>
  </cols>
  <sheetData>
    <row r="1" spans="1:8" ht="11.25" customHeight="1">
      <c r="A1" s="234" t="s">
        <v>202</v>
      </c>
      <c r="B1" s="233"/>
      <c r="C1" s="233"/>
      <c r="D1" s="233"/>
      <c r="E1" s="233"/>
      <c r="F1" s="233"/>
      <c r="G1" s="233"/>
    </row>
    <row r="2" spans="1:8" ht="14.25" customHeight="1">
      <c r="A2" s="886" t="s">
        <v>199</v>
      </c>
      <c r="B2" s="889" t="s">
        <v>50</v>
      </c>
      <c r="C2" s="892" t="str">
        <f>"ENERGÍA PRODUCIDA "&amp;UPPER('1. Resumen'!Q4)&amp;" "&amp;'1. Resumen'!Q5</f>
        <v>ENERGÍA PRODUCIDA FEBRERO 2025</v>
      </c>
      <c r="D2" s="892"/>
      <c r="E2" s="892"/>
      <c r="F2" s="892"/>
      <c r="G2" s="406" t="s">
        <v>203</v>
      </c>
      <c r="H2" s="172"/>
    </row>
    <row r="3" spans="1:8" ht="11.25" customHeight="1">
      <c r="A3" s="887"/>
      <c r="B3" s="890"/>
      <c r="C3" s="893" t="s">
        <v>204</v>
      </c>
      <c r="D3" s="893"/>
      <c r="E3" s="893"/>
      <c r="F3" s="894" t="str">
        <f>"TOTAL 
"&amp;UPPER('1. Resumen'!Q4)</f>
        <v>TOTAL 
FEBRERO</v>
      </c>
      <c r="G3" s="407" t="s">
        <v>205</v>
      </c>
      <c r="H3" s="166"/>
    </row>
    <row r="4" spans="1:8" ht="12.75" customHeight="1">
      <c r="A4" s="887"/>
      <c r="B4" s="890"/>
      <c r="C4" s="402" t="s">
        <v>165</v>
      </c>
      <c r="D4" s="402" t="s">
        <v>166</v>
      </c>
      <c r="E4" s="402" t="s">
        <v>206</v>
      </c>
      <c r="F4" s="895"/>
      <c r="G4" s="407">
        <v>2025</v>
      </c>
      <c r="H4" s="168"/>
    </row>
    <row r="5" spans="1:8" ht="11.25" customHeight="1">
      <c r="A5" s="888"/>
      <c r="B5" s="891"/>
      <c r="C5" s="403" t="s">
        <v>207</v>
      </c>
      <c r="D5" s="403" t="s">
        <v>207</v>
      </c>
      <c r="E5" s="403" t="s">
        <v>207</v>
      </c>
      <c r="F5" s="403" t="s">
        <v>207</v>
      </c>
      <c r="G5" s="408" t="s">
        <v>158</v>
      </c>
      <c r="H5" s="168"/>
    </row>
    <row r="6" spans="1:8" ht="8.4" customHeight="1">
      <c r="A6" s="722" t="s">
        <v>1008</v>
      </c>
      <c r="B6" s="723" t="s">
        <v>78</v>
      </c>
      <c r="C6" s="724">
        <v>0</v>
      </c>
      <c r="D6" s="724">
        <v>0</v>
      </c>
      <c r="E6" s="724">
        <v>6894.2819824999997</v>
      </c>
      <c r="F6" s="724">
        <v>6894.2819824999997</v>
      </c>
      <c r="G6" s="725">
        <v>15231.384567499999</v>
      </c>
      <c r="H6" s="168"/>
    </row>
    <row r="7" spans="1:8" ht="8.4" customHeight="1">
      <c r="A7" s="726" t="s">
        <v>1009</v>
      </c>
      <c r="B7" s="727"/>
      <c r="C7" s="728">
        <v>0</v>
      </c>
      <c r="D7" s="728">
        <v>0</v>
      </c>
      <c r="E7" s="728">
        <v>6894.2819824999997</v>
      </c>
      <c r="F7" s="728">
        <v>6894.2819824999997</v>
      </c>
      <c r="G7" s="729">
        <v>15231.384567499999</v>
      </c>
      <c r="H7" s="168"/>
    </row>
    <row r="8" spans="1:8" ht="8.4" customHeight="1">
      <c r="A8" s="722" t="s">
        <v>573</v>
      </c>
      <c r="B8" s="723" t="s">
        <v>81</v>
      </c>
      <c r="C8" s="724">
        <v>0</v>
      </c>
      <c r="D8" s="724">
        <v>0</v>
      </c>
      <c r="E8" s="724">
        <v>7625.9346274999998</v>
      </c>
      <c r="F8" s="724">
        <v>7625.9346274999998</v>
      </c>
      <c r="G8" s="725">
        <v>17664.944820000001</v>
      </c>
      <c r="H8" s="168"/>
    </row>
    <row r="9" spans="1:8" ht="8.4" customHeight="1">
      <c r="A9" s="726" t="s">
        <v>574</v>
      </c>
      <c r="B9" s="727"/>
      <c r="C9" s="728">
        <v>0</v>
      </c>
      <c r="D9" s="728">
        <v>0</v>
      </c>
      <c r="E9" s="728">
        <v>7625.9346274999998</v>
      </c>
      <c r="F9" s="728">
        <v>7625.9346274999998</v>
      </c>
      <c r="G9" s="729">
        <v>17664.944820000001</v>
      </c>
      <c r="H9" s="168"/>
    </row>
    <row r="10" spans="1:8" ht="8.4" customHeight="1">
      <c r="A10" s="730" t="s">
        <v>575</v>
      </c>
      <c r="B10" s="731" t="s">
        <v>354</v>
      </c>
      <c r="C10" s="732">
        <v>0</v>
      </c>
      <c r="D10" s="732">
        <v>0</v>
      </c>
      <c r="E10" s="732">
        <v>4131.6392400000004</v>
      </c>
      <c r="F10" s="732">
        <v>4131.6392400000004</v>
      </c>
      <c r="G10" s="733">
        <v>8578.3049250000004</v>
      </c>
      <c r="H10" s="168"/>
    </row>
    <row r="11" spans="1:8" ht="8.4" customHeight="1">
      <c r="A11" s="726" t="s">
        <v>576</v>
      </c>
      <c r="B11" s="727"/>
      <c r="C11" s="728">
        <v>0</v>
      </c>
      <c r="D11" s="728">
        <v>0</v>
      </c>
      <c r="E11" s="728">
        <v>4131.6392400000004</v>
      </c>
      <c r="F11" s="728">
        <v>4131.6392400000004</v>
      </c>
      <c r="G11" s="729">
        <v>8578.3049250000004</v>
      </c>
      <c r="H11" s="168"/>
    </row>
    <row r="12" spans="1:8" ht="8.4" customHeight="1">
      <c r="A12" s="730" t="s">
        <v>577</v>
      </c>
      <c r="B12" s="731" t="s">
        <v>325</v>
      </c>
      <c r="C12" s="732">
        <v>0</v>
      </c>
      <c r="D12" s="732">
        <v>0</v>
      </c>
      <c r="E12" s="732">
        <v>13052.495182500001</v>
      </c>
      <c r="F12" s="732">
        <v>13052.495182500001</v>
      </c>
      <c r="G12" s="733">
        <v>25188.391725000001</v>
      </c>
      <c r="H12" s="168"/>
    </row>
    <row r="13" spans="1:8" ht="8.4" customHeight="1">
      <c r="A13" s="726" t="s">
        <v>578</v>
      </c>
      <c r="B13" s="727"/>
      <c r="C13" s="728">
        <v>0</v>
      </c>
      <c r="D13" s="728">
        <v>0</v>
      </c>
      <c r="E13" s="728">
        <v>13052.495182500001</v>
      </c>
      <c r="F13" s="728">
        <v>13052.495182500001</v>
      </c>
      <c r="G13" s="729">
        <v>25188.391725000001</v>
      </c>
      <c r="H13" s="168"/>
    </row>
    <row r="14" spans="1:8" ht="8.4" customHeight="1">
      <c r="A14" s="730" t="s">
        <v>555</v>
      </c>
      <c r="B14" s="731" t="s">
        <v>579</v>
      </c>
      <c r="C14" s="732">
        <v>0</v>
      </c>
      <c r="D14" s="732">
        <v>0</v>
      </c>
      <c r="E14" s="732">
        <v>1288.9903325</v>
      </c>
      <c r="F14" s="732">
        <v>1288.9903325</v>
      </c>
      <c r="G14" s="733">
        <v>2767.2701375000001</v>
      </c>
      <c r="H14" s="168"/>
    </row>
    <row r="15" spans="1:8" ht="8.4" customHeight="1">
      <c r="A15" s="726" t="s">
        <v>580</v>
      </c>
      <c r="B15" s="727"/>
      <c r="C15" s="728">
        <v>0</v>
      </c>
      <c r="D15" s="728">
        <v>0</v>
      </c>
      <c r="E15" s="728">
        <v>1288.9903325</v>
      </c>
      <c r="F15" s="728">
        <v>1288.9903325</v>
      </c>
      <c r="G15" s="729">
        <v>2767.2701375000001</v>
      </c>
      <c r="H15" s="168"/>
    </row>
    <row r="16" spans="1:8" ht="8.4" customHeight="1">
      <c r="A16" s="730" t="s">
        <v>581</v>
      </c>
      <c r="B16" s="731" t="s">
        <v>70</v>
      </c>
      <c r="C16" s="732">
        <v>0</v>
      </c>
      <c r="D16" s="732">
        <v>0</v>
      </c>
      <c r="E16" s="732">
        <v>46.333289999999998</v>
      </c>
      <c r="F16" s="732">
        <v>46.333289999999998</v>
      </c>
      <c r="G16" s="733">
        <v>46.333289999999998</v>
      </c>
      <c r="H16" s="168"/>
    </row>
    <row r="17" spans="1:8" ht="8.4" customHeight="1">
      <c r="A17" s="726" t="s">
        <v>582</v>
      </c>
      <c r="B17" s="727"/>
      <c r="C17" s="728">
        <v>0</v>
      </c>
      <c r="D17" s="728">
        <v>0</v>
      </c>
      <c r="E17" s="728">
        <v>46.333289999999998</v>
      </c>
      <c r="F17" s="728">
        <v>46.333289999999998</v>
      </c>
      <c r="G17" s="729">
        <v>46.333289999999998</v>
      </c>
      <c r="H17" s="168"/>
    </row>
    <row r="18" spans="1:8" ht="8.4" customHeight="1">
      <c r="A18" s="730" t="s">
        <v>583</v>
      </c>
      <c r="B18" s="731" t="s">
        <v>352</v>
      </c>
      <c r="C18" s="732">
        <v>0</v>
      </c>
      <c r="D18" s="732">
        <v>0</v>
      </c>
      <c r="E18" s="732">
        <v>3289.9409999999998</v>
      </c>
      <c r="F18" s="732">
        <v>3289.9409999999998</v>
      </c>
      <c r="G18" s="733">
        <v>10397.776502500001</v>
      </c>
      <c r="H18" s="168"/>
    </row>
    <row r="19" spans="1:8" ht="8.4" customHeight="1">
      <c r="A19" s="726" t="s">
        <v>584</v>
      </c>
      <c r="B19" s="727"/>
      <c r="C19" s="728">
        <v>0</v>
      </c>
      <c r="D19" s="728">
        <v>0</v>
      </c>
      <c r="E19" s="728">
        <v>3289.9409999999998</v>
      </c>
      <c r="F19" s="728">
        <v>3289.9409999999998</v>
      </c>
      <c r="G19" s="729">
        <v>10397.776502500001</v>
      </c>
      <c r="H19" s="168"/>
    </row>
    <row r="20" spans="1:8" ht="8.4" customHeight="1">
      <c r="A20" s="730" t="s">
        <v>89</v>
      </c>
      <c r="B20" s="731" t="s">
        <v>585</v>
      </c>
      <c r="C20" s="732">
        <v>128946.8584</v>
      </c>
      <c r="D20" s="732">
        <v>0</v>
      </c>
      <c r="E20" s="732">
        <v>0</v>
      </c>
      <c r="F20" s="732">
        <v>128946.8584</v>
      </c>
      <c r="G20" s="733">
        <v>284422.82701499999</v>
      </c>
      <c r="H20" s="168"/>
    </row>
    <row r="21" spans="1:8" ht="8.4" customHeight="1">
      <c r="A21" s="726" t="s">
        <v>370</v>
      </c>
      <c r="B21" s="727"/>
      <c r="C21" s="728">
        <v>128946.8584</v>
      </c>
      <c r="D21" s="728">
        <v>0</v>
      </c>
      <c r="E21" s="728">
        <v>0</v>
      </c>
      <c r="F21" s="728">
        <v>128946.8584</v>
      </c>
      <c r="G21" s="729">
        <v>284422.82701499999</v>
      </c>
      <c r="H21" s="168"/>
    </row>
    <row r="22" spans="1:8" ht="8.4" customHeight="1">
      <c r="A22" s="730" t="s">
        <v>586</v>
      </c>
      <c r="B22" s="731" t="s">
        <v>240</v>
      </c>
      <c r="C22" s="732">
        <v>10019.868005</v>
      </c>
      <c r="D22" s="732">
        <v>0</v>
      </c>
      <c r="E22" s="732">
        <v>0</v>
      </c>
      <c r="F22" s="732">
        <v>10019.868005</v>
      </c>
      <c r="G22" s="733">
        <v>24416.7669025</v>
      </c>
      <c r="H22" s="168"/>
    </row>
    <row r="23" spans="1:8" ht="8.4" customHeight="1">
      <c r="A23" s="726" t="s">
        <v>587</v>
      </c>
      <c r="B23" s="727"/>
      <c r="C23" s="728">
        <v>10019.868005</v>
      </c>
      <c r="D23" s="728">
        <v>0</v>
      </c>
      <c r="E23" s="728">
        <v>0</v>
      </c>
      <c r="F23" s="728">
        <v>10019.868005</v>
      </c>
      <c r="G23" s="729">
        <v>24416.7669025</v>
      </c>
      <c r="H23" s="168"/>
    </row>
    <row r="24" spans="1:8" ht="8.4" customHeight="1">
      <c r="A24" s="730" t="s">
        <v>588</v>
      </c>
      <c r="B24" s="731" t="s">
        <v>384</v>
      </c>
      <c r="C24" s="732">
        <v>603.45990500000005</v>
      </c>
      <c r="D24" s="732">
        <v>0</v>
      </c>
      <c r="E24" s="732">
        <v>0</v>
      </c>
      <c r="F24" s="732">
        <v>603.45990500000005</v>
      </c>
      <c r="G24" s="733">
        <v>1330.5778475</v>
      </c>
      <c r="H24" s="168"/>
    </row>
    <row r="25" spans="1:8" ht="8.4" customHeight="1">
      <c r="A25" s="730" t="s">
        <v>407</v>
      </c>
      <c r="B25" s="731" t="s">
        <v>385</v>
      </c>
      <c r="C25" s="732">
        <v>976.96830499999999</v>
      </c>
      <c r="D25" s="732">
        <v>0</v>
      </c>
      <c r="E25" s="732">
        <v>0</v>
      </c>
      <c r="F25" s="732">
        <v>976.96830499999999</v>
      </c>
      <c r="G25" s="733">
        <v>2095.28325</v>
      </c>
      <c r="H25" s="168"/>
    </row>
    <row r="26" spans="1:8" ht="8.4" customHeight="1">
      <c r="A26" s="726" t="s">
        <v>589</v>
      </c>
      <c r="B26" s="727"/>
      <c r="C26" s="728">
        <v>1580.42821</v>
      </c>
      <c r="D26" s="728">
        <v>0</v>
      </c>
      <c r="E26" s="728">
        <v>0</v>
      </c>
      <c r="F26" s="728">
        <v>1580.42821</v>
      </c>
      <c r="G26" s="729">
        <v>3425.8610975000001</v>
      </c>
      <c r="H26" s="168"/>
    </row>
    <row r="27" spans="1:8" ht="8.4" customHeight="1">
      <c r="A27" s="730" t="s">
        <v>590</v>
      </c>
      <c r="B27" s="731" t="s">
        <v>209</v>
      </c>
      <c r="C27" s="732">
        <v>72902.573749999996</v>
      </c>
      <c r="D27" s="732">
        <v>0</v>
      </c>
      <c r="E27" s="732">
        <v>0</v>
      </c>
      <c r="F27" s="732">
        <v>72902.573749999996</v>
      </c>
      <c r="G27" s="733">
        <v>166376.86025</v>
      </c>
      <c r="H27" s="168"/>
    </row>
    <row r="28" spans="1:8" ht="8.4" customHeight="1">
      <c r="A28" s="730" t="s">
        <v>407</v>
      </c>
      <c r="B28" s="731" t="s">
        <v>210</v>
      </c>
      <c r="C28" s="732">
        <v>21687.6335</v>
      </c>
      <c r="D28" s="732">
        <v>0</v>
      </c>
      <c r="E28" s="732">
        <v>0</v>
      </c>
      <c r="F28" s="732">
        <v>21687.6335</v>
      </c>
      <c r="G28" s="733">
        <v>50658.71875</v>
      </c>
      <c r="H28" s="168"/>
    </row>
    <row r="29" spans="1:8" ht="8.4" customHeight="1">
      <c r="A29" s="726" t="s">
        <v>591</v>
      </c>
      <c r="B29" s="727"/>
      <c r="C29" s="728">
        <v>94590.207250000007</v>
      </c>
      <c r="D29" s="728">
        <v>0</v>
      </c>
      <c r="E29" s="728">
        <v>0</v>
      </c>
      <c r="F29" s="728">
        <v>94590.207250000007</v>
      </c>
      <c r="G29" s="729">
        <v>217035.579</v>
      </c>
      <c r="H29" s="168"/>
    </row>
    <row r="30" spans="1:8" ht="8.4" customHeight="1">
      <c r="A30" s="730" t="s">
        <v>594</v>
      </c>
      <c r="B30" s="731" t="s">
        <v>386</v>
      </c>
      <c r="C30" s="732">
        <v>0</v>
      </c>
      <c r="D30" s="732">
        <v>0</v>
      </c>
      <c r="E30" s="732">
        <v>143.69725</v>
      </c>
      <c r="F30" s="732">
        <v>143.69725</v>
      </c>
      <c r="G30" s="733">
        <v>350.16849999999999</v>
      </c>
      <c r="H30" s="168"/>
    </row>
    <row r="31" spans="1:8" ht="8.4" customHeight="1">
      <c r="A31" s="726" t="s">
        <v>595</v>
      </c>
      <c r="B31" s="727"/>
      <c r="C31" s="728">
        <v>0</v>
      </c>
      <c r="D31" s="728">
        <v>0</v>
      </c>
      <c r="E31" s="728">
        <v>143.69725</v>
      </c>
      <c r="F31" s="728">
        <v>143.69725</v>
      </c>
      <c r="G31" s="729">
        <v>350.16849999999999</v>
      </c>
      <c r="H31" s="168"/>
    </row>
    <row r="32" spans="1:8" ht="8.4" customHeight="1">
      <c r="A32" s="730" t="s">
        <v>86</v>
      </c>
      <c r="B32" s="731" t="s">
        <v>211</v>
      </c>
      <c r="C32" s="732">
        <v>641.48356750000005</v>
      </c>
      <c r="D32" s="732">
        <v>0</v>
      </c>
      <c r="E32" s="732">
        <v>0</v>
      </c>
      <c r="F32" s="732">
        <v>641.48356750000005</v>
      </c>
      <c r="G32" s="733">
        <v>1712.963675</v>
      </c>
      <c r="H32" s="168"/>
    </row>
    <row r="33" spans="1:8" ht="8.4" customHeight="1">
      <c r="A33" s="730" t="s">
        <v>407</v>
      </c>
      <c r="B33" s="731" t="s">
        <v>212</v>
      </c>
      <c r="C33" s="732">
        <v>240.0936025</v>
      </c>
      <c r="D33" s="732">
        <v>0</v>
      </c>
      <c r="E33" s="732">
        <v>0</v>
      </c>
      <c r="F33" s="732">
        <v>240.0936025</v>
      </c>
      <c r="G33" s="733">
        <v>644.16805499999998</v>
      </c>
      <c r="H33" s="168"/>
    </row>
    <row r="34" spans="1:8" ht="8.4" customHeight="1">
      <c r="A34" s="730" t="s">
        <v>407</v>
      </c>
      <c r="B34" s="731" t="s">
        <v>213</v>
      </c>
      <c r="C34" s="732">
        <v>1937.0824700000001</v>
      </c>
      <c r="D34" s="732">
        <v>0</v>
      </c>
      <c r="E34" s="732">
        <v>0</v>
      </c>
      <c r="F34" s="732">
        <v>1937.0824700000001</v>
      </c>
      <c r="G34" s="733">
        <v>5184.2260150000002</v>
      </c>
      <c r="H34" s="168"/>
    </row>
    <row r="35" spans="1:8" ht="8.4" customHeight="1">
      <c r="A35" s="730" t="s">
        <v>407</v>
      </c>
      <c r="B35" s="731" t="s">
        <v>214</v>
      </c>
      <c r="C35" s="732">
        <v>268.00552499999998</v>
      </c>
      <c r="D35" s="732">
        <v>0</v>
      </c>
      <c r="E35" s="732">
        <v>0</v>
      </c>
      <c r="F35" s="732">
        <v>268.00552499999998</v>
      </c>
      <c r="G35" s="733">
        <v>4812.3874800000003</v>
      </c>
      <c r="H35" s="168"/>
    </row>
    <row r="36" spans="1:8" ht="8.4" customHeight="1">
      <c r="A36" s="730" t="s">
        <v>407</v>
      </c>
      <c r="B36" s="731" t="s">
        <v>215</v>
      </c>
      <c r="C36" s="732">
        <v>73638.44558</v>
      </c>
      <c r="D36" s="732">
        <v>0</v>
      </c>
      <c r="E36" s="732">
        <v>0</v>
      </c>
      <c r="F36" s="732">
        <v>73638.44558</v>
      </c>
      <c r="G36" s="733">
        <v>122631.895645</v>
      </c>
      <c r="H36" s="168"/>
    </row>
    <row r="37" spans="1:8" ht="8.4" customHeight="1">
      <c r="A37" s="730" t="s">
        <v>407</v>
      </c>
      <c r="B37" s="731" t="s">
        <v>216</v>
      </c>
      <c r="C37" s="732">
        <v>2624.4824899999999</v>
      </c>
      <c r="D37" s="732">
        <v>0</v>
      </c>
      <c r="E37" s="732">
        <v>0</v>
      </c>
      <c r="F37" s="732">
        <v>2624.4824899999999</v>
      </c>
      <c r="G37" s="733">
        <v>7000.7184749999997</v>
      </c>
      <c r="H37" s="168"/>
    </row>
    <row r="38" spans="1:8" ht="8.4" customHeight="1">
      <c r="A38" s="730" t="s">
        <v>407</v>
      </c>
      <c r="B38" s="731" t="s">
        <v>217</v>
      </c>
      <c r="C38" s="732">
        <v>0</v>
      </c>
      <c r="D38" s="732">
        <v>19.131354999999999</v>
      </c>
      <c r="E38" s="732">
        <v>0</v>
      </c>
      <c r="F38" s="732">
        <v>19.131354999999999</v>
      </c>
      <c r="G38" s="733">
        <v>41.066167499999999</v>
      </c>
      <c r="H38" s="168"/>
    </row>
    <row r="39" spans="1:8" ht="8.4" customHeight="1">
      <c r="A39" s="730" t="s">
        <v>407</v>
      </c>
      <c r="B39" s="731" t="s">
        <v>218</v>
      </c>
      <c r="C39" s="732">
        <v>0</v>
      </c>
      <c r="D39" s="732">
        <v>63.724885</v>
      </c>
      <c r="E39" s="732">
        <v>0</v>
      </c>
      <c r="F39" s="732">
        <v>63.724885</v>
      </c>
      <c r="G39" s="733">
        <v>63.724885</v>
      </c>
      <c r="H39" s="168"/>
    </row>
    <row r="40" spans="1:8" ht="8.4" customHeight="1">
      <c r="A40" s="726" t="s">
        <v>371</v>
      </c>
      <c r="B40" s="727"/>
      <c r="C40" s="728">
        <v>79349.593234999993</v>
      </c>
      <c r="D40" s="728">
        <v>82.85624</v>
      </c>
      <c r="E40" s="728">
        <v>0</v>
      </c>
      <c r="F40" s="728">
        <v>79432.449475000001</v>
      </c>
      <c r="G40" s="729">
        <v>142091.15039749999</v>
      </c>
      <c r="H40" s="168"/>
    </row>
    <row r="41" spans="1:8" ht="8.4" customHeight="1">
      <c r="A41" s="730" t="s">
        <v>596</v>
      </c>
      <c r="B41" s="731" t="s">
        <v>60</v>
      </c>
      <c r="C41" s="732">
        <v>0</v>
      </c>
      <c r="D41" s="732">
        <v>0</v>
      </c>
      <c r="E41" s="732">
        <v>5836.5250649999998</v>
      </c>
      <c r="F41" s="732">
        <v>5836.5250649999998</v>
      </c>
      <c r="G41" s="733">
        <v>11713.2237525</v>
      </c>
      <c r="H41" s="168"/>
    </row>
    <row r="42" spans="1:8" ht="8.4" customHeight="1">
      <c r="A42" s="730" t="s">
        <v>407</v>
      </c>
      <c r="B42" s="731" t="s">
        <v>59</v>
      </c>
      <c r="C42" s="732">
        <v>0</v>
      </c>
      <c r="D42" s="732">
        <v>0</v>
      </c>
      <c r="E42" s="732">
        <v>6015.0975099999996</v>
      </c>
      <c r="F42" s="732">
        <v>6015.0975099999996</v>
      </c>
      <c r="G42" s="733">
        <v>12221.27579</v>
      </c>
      <c r="H42" s="168"/>
    </row>
    <row r="43" spans="1:8" ht="8.4" customHeight="1">
      <c r="A43" s="730" t="s">
        <v>407</v>
      </c>
      <c r="B43" s="731" t="s">
        <v>55</v>
      </c>
      <c r="C43" s="732">
        <v>0</v>
      </c>
      <c r="D43" s="732">
        <v>0</v>
      </c>
      <c r="E43" s="732">
        <v>13309.294557499999</v>
      </c>
      <c r="F43" s="732">
        <v>13309.294557499999</v>
      </c>
      <c r="G43" s="733">
        <v>27822.382890000001</v>
      </c>
      <c r="H43" s="168"/>
    </row>
    <row r="44" spans="1:8" ht="8.4" customHeight="1">
      <c r="A44" s="730" t="s">
        <v>407</v>
      </c>
      <c r="B44" s="731" t="s">
        <v>53</v>
      </c>
      <c r="C44" s="732">
        <v>0</v>
      </c>
      <c r="D44" s="732">
        <v>0</v>
      </c>
      <c r="E44" s="732">
        <v>13582.89056</v>
      </c>
      <c r="F44" s="732">
        <v>13582.89056</v>
      </c>
      <c r="G44" s="733">
        <v>28588.988405</v>
      </c>
      <c r="H44" s="168"/>
    </row>
    <row r="45" spans="1:8" ht="8.4" customHeight="1">
      <c r="A45" s="730" t="s">
        <v>407</v>
      </c>
      <c r="B45" s="731" t="s">
        <v>63</v>
      </c>
      <c r="C45" s="732">
        <v>0</v>
      </c>
      <c r="D45" s="732">
        <v>0</v>
      </c>
      <c r="E45" s="732">
        <v>3925.7473850000001</v>
      </c>
      <c r="F45" s="732">
        <v>3925.7473850000001</v>
      </c>
      <c r="G45" s="733">
        <v>8048.2561949999999</v>
      </c>
      <c r="H45" s="168"/>
    </row>
    <row r="46" spans="1:8" ht="8.4" customHeight="1">
      <c r="A46" s="730" t="s">
        <v>407</v>
      </c>
      <c r="B46" s="731" t="s">
        <v>62</v>
      </c>
      <c r="C46" s="732">
        <v>0</v>
      </c>
      <c r="D46" s="732">
        <v>0</v>
      </c>
      <c r="E46" s="732">
        <v>4326.2681725000002</v>
      </c>
      <c r="F46" s="732">
        <v>4326.2681725000002</v>
      </c>
      <c r="G46" s="733">
        <v>7927.2070524999999</v>
      </c>
      <c r="H46" s="168"/>
    </row>
    <row r="47" spans="1:8" ht="8.4" customHeight="1">
      <c r="A47" s="726" t="s">
        <v>597</v>
      </c>
      <c r="B47" s="727"/>
      <c r="C47" s="728">
        <v>0</v>
      </c>
      <c r="D47" s="728">
        <v>0</v>
      </c>
      <c r="E47" s="728">
        <v>46995.823250000001</v>
      </c>
      <c r="F47" s="728">
        <v>46995.823250000001</v>
      </c>
      <c r="G47" s="729">
        <v>96321.334084999995</v>
      </c>
      <c r="H47" s="168"/>
    </row>
    <row r="48" spans="1:8" ht="8.4" customHeight="1">
      <c r="A48" s="730" t="s">
        <v>87</v>
      </c>
      <c r="B48" s="731" t="s">
        <v>219</v>
      </c>
      <c r="C48" s="732">
        <v>110272.804</v>
      </c>
      <c r="D48" s="732">
        <v>0</v>
      </c>
      <c r="E48" s="732">
        <v>0</v>
      </c>
      <c r="F48" s="732">
        <v>110272.804</v>
      </c>
      <c r="G48" s="733">
        <v>232381.51874999999</v>
      </c>
      <c r="H48" s="168"/>
    </row>
    <row r="49" spans="1:8" ht="8.4" customHeight="1">
      <c r="A49" s="726" t="s">
        <v>372</v>
      </c>
      <c r="B49" s="727"/>
      <c r="C49" s="728">
        <v>110272.804</v>
      </c>
      <c r="D49" s="728">
        <v>0</v>
      </c>
      <c r="E49" s="728">
        <v>0</v>
      </c>
      <c r="F49" s="728">
        <v>110272.804</v>
      </c>
      <c r="G49" s="729">
        <v>232381.51874999999</v>
      </c>
      <c r="H49" s="168"/>
    </row>
    <row r="50" spans="1:8" ht="8.4" customHeight="1">
      <c r="A50" s="730" t="s">
        <v>95</v>
      </c>
      <c r="B50" s="731" t="s">
        <v>220</v>
      </c>
      <c r="C50" s="732">
        <v>5256.7667975000004</v>
      </c>
      <c r="D50" s="732">
        <v>0</v>
      </c>
      <c r="E50" s="732">
        <v>0</v>
      </c>
      <c r="F50" s="732">
        <v>5256.7667975000004</v>
      </c>
      <c r="G50" s="733">
        <v>10834.753687500001</v>
      </c>
      <c r="H50" s="168"/>
    </row>
    <row r="51" spans="1:8" ht="8.4" customHeight="1">
      <c r="A51" s="730" t="s">
        <v>407</v>
      </c>
      <c r="B51" s="731" t="s">
        <v>400</v>
      </c>
      <c r="C51" s="732">
        <v>1675.5361949999999</v>
      </c>
      <c r="D51" s="732">
        <v>0</v>
      </c>
      <c r="E51" s="732">
        <v>0</v>
      </c>
      <c r="F51" s="732">
        <v>1675.5361949999999</v>
      </c>
      <c r="G51" s="733">
        <v>2526.4865424999998</v>
      </c>
      <c r="H51" s="168"/>
    </row>
    <row r="52" spans="1:8" ht="8.4" customHeight="1">
      <c r="A52" s="730" t="s">
        <v>407</v>
      </c>
      <c r="B52" s="731" t="s">
        <v>221</v>
      </c>
      <c r="C52" s="732">
        <v>0</v>
      </c>
      <c r="D52" s="732">
        <v>3569.2307824999998</v>
      </c>
      <c r="E52" s="732">
        <v>0</v>
      </c>
      <c r="F52" s="732">
        <v>3569.2307824999998</v>
      </c>
      <c r="G52" s="733">
        <v>7150.8741499999996</v>
      </c>
      <c r="H52" s="168"/>
    </row>
    <row r="53" spans="1:8" ht="8.4" customHeight="1">
      <c r="A53" s="726" t="s">
        <v>373</v>
      </c>
      <c r="B53" s="727"/>
      <c r="C53" s="728">
        <v>6932.3029925000001</v>
      </c>
      <c r="D53" s="728">
        <v>3569.2307824999998</v>
      </c>
      <c r="E53" s="728">
        <v>0</v>
      </c>
      <c r="F53" s="728">
        <v>10501.533775</v>
      </c>
      <c r="G53" s="729">
        <v>20512.114379999999</v>
      </c>
      <c r="H53" s="168"/>
    </row>
    <row r="54" spans="1:8" ht="8.4" customHeight="1">
      <c r="A54" s="730" t="s">
        <v>598</v>
      </c>
      <c r="B54" s="731" t="s">
        <v>68</v>
      </c>
      <c r="C54" s="732">
        <v>0</v>
      </c>
      <c r="D54" s="732">
        <v>0</v>
      </c>
      <c r="E54" s="732">
        <v>2017.7573</v>
      </c>
      <c r="F54" s="732">
        <v>2017.7573</v>
      </c>
      <c r="G54" s="733">
        <v>4573.123525</v>
      </c>
      <c r="H54" s="168"/>
    </row>
    <row r="55" spans="1:8" ht="8.4" customHeight="1">
      <c r="A55" s="726" t="s">
        <v>599</v>
      </c>
      <c r="B55" s="727"/>
      <c r="C55" s="728">
        <v>0</v>
      </c>
      <c r="D55" s="728">
        <v>0</v>
      </c>
      <c r="E55" s="728">
        <v>2017.7573</v>
      </c>
      <c r="F55" s="728">
        <v>2017.7573</v>
      </c>
      <c r="G55" s="729">
        <v>4573.123525</v>
      </c>
      <c r="H55" s="168"/>
    </row>
    <row r="56" spans="1:8" ht="8.4" customHeight="1">
      <c r="A56" s="730" t="s">
        <v>84</v>
      </c>
      <c r="B56" s="731" t="s">
        <v>222</v>
      </c>
      <c r="C56" s="732">
        <v>430391.4532475</v>
      </c>
      <c r="D56" s="732">
        <v>0</v>
      </c>
      <c r="E56" s="732">
        <v>0</v>
      </c>
      <c r="F56" s="732">
        <v>430391.4532475</v>
      </c>
      <c r="G56" s="733">
        <v>906603.49041249999</v>
      </c>
      <c r="H56" s="168"/>
    </row>
    <row r="57" spans="1:8" ht="8.4" customHeight="1">
      <c r="A57" s="730" t="s">
        <v>407</v>
      </c>
      <c r="B57" s="731" t="s">
        <v>223</v>
      </c>
      <c r="C57" s="732">
        <v>120595.34524250001</v>
      </c>
      <c r="D57" s="732">
        <v>0</v>
      </c>
      <c r="E57" s="732">
        <v>0</v>
      </c>
      <c r="F57" s="732">
        <v>120595.34524250001</v>
      </c>
      <c r="G57" s="733">
        <v>277783.84360000002</v>
      </c>
      <c r="H57" s="168"/>
    </row>
    <row r="58" spans="1:8" ht="8.4" customHeight="1">
      <c r="A58" s="730" t="s">
        <v>407</v>
      </c>
      <c r="B58" s="731" t="s">
        <v>401</v>
      </c>
      <c r="C58" s="732">
        <v>0</v>
      </c>
      <c r="D58" s="732">
        <v>109.60057</v>
      </c>
      <c r="E58" s="732">
        <v>0</v>
      </c>
      <c r="F58" s="732">
        <v>109.60057</v>
      </c>
      <c r="G58" s="733">
        <v>702.51806999999997</v>
      </c>
      <c r="H58" s="103"/>
    </row>
    <row r="59" spans="1:8" ht="8.4" customHeight="1">
      <c r="A59" s="726" t="s">
        <v>374</v>
      </c>
      <c r="B59" s="727"/>
      <c r="C59" s="728">
        <f>SUM(C56:C58)</f>
        <v>550986.79848999996</v>
      </c>
      <c r="D59" s="728">
        <f>SUM(D56:D58)</f>
        <v>109.60057</v>
      </c>
      <c r="E59" s="728">
        <v>0</v>
      </c>
      <c r="F59" s="728">
        <f>SUM(F56:F58)</f>
        <v>551096.39905999997</v>
      </c>
      <c r="G59" s="729">
        <v>1185089.8520825</v>
      </c>
      <c r="H59" s="103"/>
    </row>
    <row r="60" spans="1:8" ht="8.4" customHeight="1">
      <c r="A60" s="730" t="s">
        <v>600</v>
      </c>
      <c r="B60" s="731" t="s">
        <v>65</v>
      </c>
      <c r="C60" s="732">
        <v>0</v>
      </c>
      <c r="D60" s="732">
        <v>0</v>
      </c>
      <c r="E60" s="732">
        <v>2738.3387499999999</v>
      </c>
      <c r="F60" s="732">
        <v>2738.3387499999999</v>
      </c>
      <c r="G60" s="733">
        <v>6408.2932499999997</v>
      </c>
      <c r="H60" s="103"/>
    </row>
    <row r="61" spans="1:8" ht="8.4" customHeight="1">
      <c r="A61" s="726" t="s">
        <v>601</v>
      </c>
      <c r="B61" s="727"/>
      <c r="C61" s="728">
        <v>0</v>
      </c>
      <c r="D61" s="728">
        <v>0</v>
      </c>
      <c r="E61" s="728">
        <v>2738.3387499999999</v>
      </c>
      <c r="F61" s="728">
        <v>2738.3387499999999</v>
      </c>
      <c r="G61" s="729">
        <v>6408.2932499999997</v>
      </c>
      <c r="H61" s="103"/>
    </row>
    <row r="62" spans="1:8" ht="8.4" customHeight="1">
      <c r="A62" s="730" t="s">
        <v>602</v>
      </c>
      <c r="B62" s="731" t="s">
        <v>349</v>
      </c>
      <c r="C62" s="732">
        <v>0</v>
      </c>
      <c r="D62" s="732">
        <v>0</v>
      </c>
      <c r="E62" s="732">
        <v>13033.066517499999</v>
      </c>
      <c r="F62" s="732">
        <v>13033.066517499999</v>
      </c>
      <c r="G62" s="733">
        <v>27864.8775475</v>
      </c>
      <c r="H62" s="103"/>
    </row>
    <row r="63" spans="1:8" ht="8.4" customHeight="1">
      <c r="A63" s="726" t="s">
        <v>603</v>
      </c>
      <c r="B63" s="727"/>
      <c r="C63" s="728">
        <v>0</v>
      </c>
      <c r="D63" s="728">
        <v>0</v>
      </c>
      <c r="E63" s="728">
        <v>13033.066517499999</v>
      </c>
      <c r="F63" s="728">
        <v>13033.066517499999</v>
      </c>
      <c r="G63" s="729">
        <v>27864.8775475</v>
      </c>
      <c r="H63" s="103"/>
    </row>
    <row r="64" spans="1:8" ht="8.4" customHeight="1">
      <c r="A64" s="730" t="s">
        <v>604</v>
      </c>
      <c r="B64" s="731" t="s">
        <v>313</v>
      </c>
      <c r="C64" s="732">
        <v>0</v>
      </c>
      <c r="D64" s="732">
        <v>0</v>
      </c>
      <c r="E64" s="732">
        <v>9039.8152800000007</v>
      </c>
      <c r="F64" s="732">
        <v>9039.8152800000007</v>
      </c>
      <c r="G64" s="733">
        <v>23874.243330000001</v>
      </c>
      <c r="H64" s="103"/>
    </row>
    <row r="65" spans="1:9" ht="8.4" customHeight="1">
      <c r="A65" s="726" t="s">
        <v>605</v>
      </c>
      <c r="B65" s="727"/>
      <c r="C65" s="728">
        <v>0</v>
      </c>
      <c r="D65" s="728">
        <v>0</v>
      </c>
      <c r="E65" s="728">
        <v>9039.8152800000007</v>
      </c>
      <c r="F65" s="728">
        <v>9039.8152800000007</v>
      </c>
      <c r="G65" s="729">
        <v>23874.243330000001</v>
      </c>
      <c r="H65" s="103"/>
    </row>
    <row r="66" spans="1:9" ht="8.4" customHeight="1">
      <c r="A66" s="730" t="s">
        <v>606</v>
      </c>
      <c r="B66" s="731" t="s">
        <v>224</v>
      </c>
      <c r="C66" s="732">
        <v>298473.80810000002</v>
      </c>
      <c r="D66" s="732">
        <v>0</v>
      </c>
      <c r="E66" s="732">
        <v>0</v>
      </c>
      <c r="F66" s="732">
        <v>298473.80810000002</v>
      </c>
      <c r="G66" s="733">
        <v>610099.93030250003</v>
      </c>
      <c r="H66" s="103"/>
    </row>
    <row r="67" spans="1:9" ht="8.4" customHeight="1">
      <c r="A67" s="730" t="s">
        <v>407</v>
      </c>
      <c r="B67" s="731" t="s">
        <v>607</v>
      </c>
      <c r="C67" s="732">
        <v>4366.7910449999999</v>
      </c>
      <c r="D67" s="732">
        <v>0</v>
      </c>
      <c r="E67" s="732">
        <v>0</v>
      </c>
      <c r="F67" s="732">
        <v>4366.7910449999999</v>
      </c>
      <c r="G67" s="733">
        <v>9173.9660175000008</v>
      </c>
      <c r="H67" s="169"/>
    </row>
    <row r="68" spans="1:9" ht="8.4" customHeight="1">
      <c r="A68" s="726" t="s">
        <v>608</v>
      </c>
      <c r="B68" s="727"/>
      <c r="C68" s="728">
        <v>302840.59914499999</v>
      </c>
      <c r="D68" s="728">
        <v>0</v>
      </c>
      <c r="E68" s="728">
        <v>0</v>
      </c>
      <c r="F68" s="728">
        <v>302840.59914499999</v>
      </c>
      <c r="G68" s="729">
        <v>619273.89632000006</v>
      </c>
      <c r="H68" s="169"/>
    </row>
    <row r="69" spans="1:9" ht="8.4" customHeight="1">
      <c r="A69" s="730" t="s">
        <v>609</v>
      </c>
      <c r="B69" s="731" t="s">
        <v>225</v>
      </c>
      <c r="C69" s="732">
        <v>49398.798199999997</v>
      </c>
      <c r="D69" s="732">
        <v>0</v>
      </c>
      <c r="E69" s="732">
        <v>0</v>
      </c>
      <c r="F69" s="732">
        <v>49398.798199999997</v>
      </c>
      <c r="G69" s="733">
        <v>94329.362117500001</v>
      </c>
      <c r="H69" s="721"/>
    </row>
    <row r="70" spans="1:9" ht="8.4" customHeight="1">
      <c r="A70" s="726" t="s">
        <v>610</v>
      </c>
      <c r="B70" s="727"/>
      <c r="C70" s="728">
        <v>49398.798199999997</v>
      </c>
      <c r="D70" s="728">
        <v>0</v>
      </c>
      <c r="E70" s="728">
        <v>0</v>
      </c>
      <c r="F70" s="728">
        <v>49398.798199999997</v>
      </c>
      <c r="G70" s="729">
        <v>94329.362117500001</v>
      </c>
      <c r="H70" s="721"/>
    </row>
    <row r="71" spans="1:9" ht="8.4" customHeight="1">
      <c r="A71" s="730" t="s">
        <v>611</v>
      </c>
      <c r="B71" s="731" t="s">
        <v>58</v>
      </c>
      <c r="C71" s="732">
        <v>0</v>
      </c>
      <c r="D71" s="732">
        <v>0</v>
      </c>
      <c r="E71" s="732">
        <v>13015.105275</v>
      </c>
      <c r="F71" s="732">
        <v>13015.105275</v>
      </c>
      <c r="G71" s="733">
        <v>27664.270274999999</v>
      </c>
      <c r="H71" s="721"/>
    </row>
    <row r="72" spans="1:9" ht="8.4" customHeight="1">
      <c r="A72" s="726" t="s">
        <v>612</v>
      </c>
      <c r="B72" s="727"/>
      <c r="C72" s="728">
        <v>0</v>
      </c>
      <c r="D72" s="728">
        <v>0</v>
      </c>
      <c r="E72" s="728">
        <v>13015.105275</v>
      </c>
      <c r="F72" s="728">
        <v>13015.105275</v>
      </c>
      <c r="G72" s="729">
        <v>27664.270274999999</v>
      </c>
      <c r="H72" s="721"/>
    </row>
    <row r="73" spans="1:9" ht="8.4" customHeight="1">
      <c r="A73" s="730" t="s">
        <v>613</v>
      </c>
      <c r="B73" s="731" t="s">
        <v>56</v>
      </c>
      <c r="C73" s="732">
        <v>0</v>
      </c>
      <c r="D73" s="732">
        <v>0</v>
      </c>
      <c r="E73" s="732">
        <v>12264.0680275</v>
      </c>
      <c r="F73" s="732">
        <v>12264.0680275</v>
      </c>
      <c r="G73" s="733">
        <v>25531.154592499999</v>
      </c>
      <c r="H73" s="721"/>
    </row>
    <row r="74" spans="1:9" ht="8.4" customHeight="1">
      <c r="A74" s="726" t="s">
        <v>614</v>
      </c>
      <c r="B74" s="727"/>
      <c r="C74" s="728">
        <v>0</v>
      </c>
      <c r="D74" s="728">
        <v>0</v>
      </c>
      <c r="E74" s="728">
        <v>12264.0680275</v>
      </c>
      <c r="F74" s="728">
        <v>12264.0680275</v>
      </c>
      <c r="G74" s="729">
        <v>25531.154592499999</v>
      </c>
      <c r="H74" s="721"/>
    </row>
    <row r="75" spans="1:9" ht="8.4" customHeight="1">
      <c r="A75" s="730" t="s">
        <v>615</v>
      </c>
      <c r="B75" s="731" t="s">
        <v>232</v>
      </c>
      <c r="C75" s="732">
        <v>0</v>
      </c>
      <c r="D75" s="732">
        <v>15127.696295</v>
      </c>
      <c r="E75" s="732">
        <v>0</v>
      </c>
      <c r="F75" s="732">
        <v>15127.696295</v>
      </c>
      <c r="G75" s="733">
        <v>39516.561295</v>
      </c>
      <c r="H75" s="721"/>
    </row>
    <row r="76" spans="1:9" ht="8.4" customHeight="1">
      <c r="A76" s="730" t="s">
        <v>407</v>
      </c>
      <c r="B76" s="731" t="s">
        <v>233</v>
      </c>
      <c r="C76" s="732">
        <v>0</v>
      </c>
      <c r="D76" s="732">
        <v>9952.5794700000006</v>
      </c>
      <c r="E76" s="732">
        <v>0</v>
      </c>
      <c r="F76" s="732">
        <v>9952.5794700000006</v>
      </c>
      <c r="G76" s="733">
        <v>13409.706969999999</v>
      </c>
      <c r="H76" s="721"/>
    </row>
    <row r="77" spans="1:9" ht="8.4" customHeight="1">
      <c r="A77" s="730" t="s">
        <v>407</v>
      </c>
      <c r="B77" s="731" t="s">
        <v>616</v>
      </c>
      <c r="C77" s="732">
        <v>0</v>
      </c>
      <c r="D77" s="732">
        <v>625.52113250000002</v>
      </c>
      <c r="E77" s="732">
        <v>0</v>
      </c>
      <c r="F77" s="732">
        <v>625.52113250000002</v>
      </c>
      <c r="G77" s="733">
        <v>1257.7461324999999</v>
      </c>
      <c r="H77" s="721"/>
    </row>
    <row r="78" spans="1:9" ht="8.4" customHeight="1">
      <c r="A78" s="726" t="s">
        <v>617</v>
      </c>
      <c r="B78" s="727"/>
      <c r="C78" s="728">
        <v>0</v>
      </c>
      <c r="D78" s="728">
        <v>25705.7968975</v>
      </c>
      <c r="E78" s="728">
        <v>0</v>
      </c>
      <c r="F78" s="728">
        <v>25705.7968975</v>
      </c>
      <c r="G78" s="729">
        <v>54184.014397500003</v>
      </c>
      <c r="H78" s="721"/>
      <c r="I78" s="270"/>
    </row>
    <row r="79" spans="1:9" ht="8.4" customHeight="1">
      <c r="A79" s="730" t="s">
        <v>618</v>
      </c>
      <c r="B79" s="731" t="s">
        <v>72</v>
      </c>
      <c r="C79" s="732">
        <v>0</v>
      </c>
      <c r="D79" s="732">
        <v>0</v>
      </c>
      <c r="E79" s="732">
        <v>14865.1714675</v>
      </c>
      <c r="F79" s="732">
        <v>14865.1714675</v>
      </c>
      <c r="G79" s="733">
        <v>43591.736017499999</v>
      </c>
      <c r="H79" s="721"/>
      <c r="I79" s="270"/>
    </row>
    <row r="80" spans="1:9" ht="8.4" customHeight="1">
      <c r="A80" s="730" t="s">
        <v>407</v>
      </c>
      <c r="B80" s="731" t="s">
        <v>74</v>
      </c>
      <c r="C80" s="732">
        <v>0</v>
      </c>
      <c r="D80" s="732">
        <v>0</v>
      </c>
      <c r="E80" s="732">
        <v>2867.0638650000001</v>
      </c>
      <c r="F80" s="732">
        <v>2867.0638650000001</v>
      </c>
      <c r="G80" s="733">
        <v>13680.27282</v>
      </c>
      <c r="H80" s="721"/>
      <c r="I80" s="270"/>
    </row>
    <row r="81" spans="1:9" ht="8.4" customHeight="1">
      <c r="A81" s="726" t="s">
        <v>619</v>
      </c>
      <c r="B81" s="727"/>
      <c r="C81" s="728">
        <v>0</v>
      </c>
      <c r="D81" s="728">
        <v>0</v>
      </c>
      <c r="E81" s="728">
        <v>17732.2353325</v>
      </c>
      <c r="F81" s="728">
        <v>17732.2353325</v>
      </c>
      <c r="G81" s="729">
        <v>57272.008837499998</v>
      </c>
      <c r="H81" s="721"/>
      <c r="I81" s="270"/>
    </row>
    <row r="82" spans="1:9" ht="8.4" customHeight="1">
      <c r="A82" s="730" t="s">
        <v>620</v>
      </c>
      <c r="B82" s="731" t="s">
        <v>402</v>
      </c>
      <c r="C82" s="732">
        <v>0</v>
      </c>
      <c r="D82" s="732">
        <v>0</v>
      </c>
      <c r="E82" s="732">
        <v>32120.616249999999</v>
      </c>
      <c r="F82" s="732">
        <v>32120.616249999999</v>
      </c>
      <c r="G82" s="733">
        <v>83834.736000000004</v>
      </c>
      <c r="H82" s="721"/>
    </row>
    <row r="83" spans="1:9" ht="8.4" customHeight="1">
      <c r="A83" s="726" t="s">
        <v>621</v>
      </c>
      <c r="B83" s="727"/>
      <c r="C83" s="728">
        <v>0</v>
      </c>
      <c r="D83" s="728">
        <v>0</v>
      </c>
      <c r="E83" s="728">
        <v>32120.616249999999</v>
      </c>
      <c r="F83" s="728">
        <v>32120.616249999999</v>
      </c>
      <c r="G83" s="729">
        <v>83834.736000000004</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workbookViewId="0">
      <selection activeCell="K7" sqref="K7"/>
    </sheetView>
  </sheetViews>
  <sheetFormatPr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86" t="s">
        <v>199</v>
      </c>
      <c r="B1" s="889" t="s">
        <v>50</v>
      </c>
      <c r="C1" s="892" t="str">
        <f>+'18. ANEXOI-1'!C2:F2</f>
        <v>ENERGÍA PRODUCIDA FEBRERO 2025</v>
      </c>
      <c r="D1" s="892"/>
      <c r="E1" s="892"/>
      <c r="F1" s="892"/>
      <c r="G1" s="406" t="s">
        <v>203</v>
      </c>
      <c r="H1" s="172"/>
    </row>
    <row r="2" spans="1:8" ht="11.25" customHeight="1">
      <c r="A2" s="887"/>
      <c r="B2" s="890"/>
      <c r="C2" s="893" t="s">
        <v>204</v>
      </c>
      <c r="D2" s="893"/>
      <c r="E2" s="893"/>
      <c r="F2" s="894" t="str">
        <f>"TOTAL 
"&amp;UPPER('1. Resumen'!Q4)</f>
        <v>TOTAL 
FEBRERO</v>
      </c>
      <c r="G2" s="407" t="s">
        <v>205</v>
      </c>
      <c r="H2" s="166"/>
    </row>
    <row r="3" spans="1:8" ht="11.25" customHeight="1">
      <c r="A3" s="887"/>
      <c r="B3" s="890"/>
      <c r="C3" s="402" t="s">
        <v>165</v>
      </c>
      <c r="D3" s="402" t="s">
        <v>166</v>
      </c>
      <c r="E3" s="402" t="s">
        <v>206</v>
      </c>
      <c r="F3" s="895"/>
      <c r="G3" s="407">
        <v>2025</v>
      </c>
      <c r="H3" s="168"/>
    </row>
    <row r="4" spans="1:8" ht="11.25" customHeight="1">
      <c r="A4" s="896"/>
      <c r="B4" s="897"/>
      <c r="C4" s="403" t="s">
        <v>207</v>
      </c>
      <c r="D4" s="403" t="s">
        <v>207</v>
      </c>
      <c r="E4" s="403" t="s">
        <v>207</v>
      </c>
      <c r="F4" s="403" t="s">
        <v>207</v>
      </c>
      <c r="G4" s="408" t="s">
        <v>158</v>
      </c>
      <c r="H4" s="168"/>
    </row>
    <row r="5" spans="1:8" ht="7.8" customHeight="1">
      <c r="A5" s="432" t="s">
        <v>82</v>
      </c>
      <c r="B5" s="252" t="s">
        <v>395</v>
      </c>
      <c r="C5" s="405">
        <v>0</v>
      </c>
      <c r="D5" s="405">
        <v>0</v>
      </c>
      <c r="E5" s="405">
        <v>59892.345939999999</v>
      </c>
      <c r="F5" s="405">
        <v>59892.345939999999</v>
      </c>
      <c r="G5" s="434">
        <v>143772.22112249999</v>
      </c>
    </row>
    <row r="6" spans="1:8" ht="9" customHeight="1">
      <c r="A6" s="432" t="s">
        <v>407</v>
      </c>
      <c r="B6" s="252" t="s">
        <v>403</v>
      </c>
      <c r="C6" s="405">
        <v>0</v>
      </c>
      <c r="D6" s="405">
        <v>0</v>
      </c>
      <c r="E6" s="405">
        <v>3363.8867150000001</v>
      </c>
      <c r="F6" s="405">
        <v>3363.8867150000001</v>
      </c>
      <c r="G6" s="434">
        <v>9959.1427750000003</v>
      </c>
    </row>
    <row r="7" spans="1:8" ht="9" customHeight="1">
      <c r="A7" s="432" t="s">
        <v>407</v>
      </c>
      <c r="B7" s="252" t="s">
        <v>624</v>
      </c>
      <c r="C7" s="405">
        <v>71938.950207500005</v>
      </c>
      <c r="D7" s="405">
        <v>0</v>
      </c>
      <c r="E7" s="405">
        <v>0</v>
      </c>
      <c r="F7" s="405">
        <v>71938.950207500005</v>
      </c>
      <c r="G7" s="434">
        <v>142388.85703000001</v>
      </c>
    </row>
    <row r="8" spans="1:8" ht="9" customHeight="1">
      <c r="A8" s="432" t="s">
        <v>407</v>
      </c>
      <c r="B8" s="252" t="s">
        <v>234</v>
      </c>
      <c r="C8" s="405">
        <v>75416.256067499999</v>
      </c>
      <c r="D8" s="405">
        <v>0</v>
      </c>
      <c r="E8" s="405">
        <v>0</v>
      </c>
      <c r="F8" s="405">
        <v>75416.256067499999</v>
      </c>
      <c r="G8" s="434">
        <v>169105.6483225</v>
      </c>
    </row>
    <row r="9" spans="1:8" ht="9" customHeight="1">
      <c r="A9" s="432" t="s">
        <v>407</v>
      </c>
      <c r="B9" s="252" t="s">
        <v>329</v>
      </c>
      <c r="C9" s="405">
        <v>0</v>
      </c>
      <c r="D9" s="405">
        <v>0</v>
      </c>
      <c r="E9" s="405">
        <v>6450.6895974999998</v>
      </c>
      <c r="F9" s="405">
        <v>6450.6895974999998</v>
      </c>
      <c r="G9" s="434">
        <v>15332.9395375</v>
      </c>
    </row>
    <row r="10" spans="1:8" ht="9" customHeight="1">
      <c r="A10" s="432" t="s">
        <v>407</v>
      </c>
      <c r="B10" s="252" t="s">
        <v>235</v>
      </c>
      <c r="C10" s="405">
        <v>0</v>
      </c>
      <c r="D10" s="405">
        <v>235560.04469750001</v>
      </c>
      <c r="E10" s="405">
        <v>0</v>
      </c>
      <c r="F10" s="405">
        <v>235560.04469750001</v>
      </c>
      <c r="G10" s="434">
        <v>308643.20448750001</v>
      </c>
    </row>
    <row r="11" spans="1:8" ht="9" customHeight="1">
      <c r="A11" s="432" t="s">
        <v>407</v>
      </c>
      <c r="B11" s="252" t="s">
        <v>236</v>
      </c>
      <c r="C11" s="405">
        <v>0</v>
      </c>
      <c r="D11" s="405">
        <v>1967.0047075</v>
      </c>
      <c r="E11" s="405">
        <v>0</v>
      </c>
      <c r="F11" s="405">
        <v>1967.0047075</v>
      </c>
      <c r="G11" s="434">
        <v>4313.4354524999999</v>
      </c>
    </row>
    <row r="12" spans="1:8" ht="9" customHeight="1">
      <c r="A12" s="432" t="s">
        <v>407</v>
      </c>
      <c r="B12" s="252" t="s">
        <v>396</v>
      </c>
      <c r="C12" s="405">
        <v>0</v>
      </c>
      <c r="D12" s="405">
        <v>0</v>
      </c>
      <c r="E12" s="405">
        <v>0</v>
      </c>
      <c r="F12" s="405">
        <v>0</v>
      </c>
      <c r="G12" s="434">
        <v>0</v>
      </c>
    </row>
    <row r="13" spans="1:8" ht="9" customHeight="1">
      <c r="A13" s="432" t="s">
        <v>407</v>
      </c>
      <c r="B13" s="252" t="s">
        <v>237</v>
      </c>
      <c r="C13" s="405">
        <v>0</v>
      </c>
      <c r="D13" s="405">
        <v>1330.3825575000001</v>
      </c>
      <c r="E13" s="405">
        <v>0</v>
      </c>
      <c r="F13" s="405">
        <v>1330.3825575000001</v>
      </c>
      <c r="G13" s="434">
        <v>4928.2882749999999</v>
      </c>
    </row>
    <row r="14" spans="1:8" ht="9" customHeight="1">
      <c r="A14" s="432" t="s">
        <v>407</v>
      </c>
      <c r="B14" s="252" t="s">
        <v>625</v>
      </c>
      <c r="C14" s="405">
        <v>0</v>
      </c>
      <c r="D14" s="405">
        <v>0</v>
      </c>
      <c r="E14" s="405">
        <v>0</v>
      </c>
      <c r="F14" s="405">
        <v>0</v>
      </c>
      <c r="G14" s="434">
        <v>1466.827415</v>
      </c>
    </row>
    <row r="15" spans="1:8" ht="9" customHeight="1">
      <c r="A15" s="726" t="s">
        <v>375</v>
      </c>
      <c r="B15" s="727"/>
      <c r="C15" s="728">
        <v>147355.206275</v>
      </c>
      <c r="D15" s="728">
        <v>238857.43196250001</v>
      </c>
      <c r="E15" s="728">
        <v>69706.922252499993</v>
      </c>
      <c r="F15" s="728">
        <v>455919.56049</v>
      </c>
      <c r="G15" s="729">
        <v>799624.58485750004</v>
      </c>
    </row>
    <row r="16" spans="1:8" ht="9" customHeight="1">
      <c r="A16" s="432" t="s">
        <v>626</v>
      </c>
      <c r="B16" s="252" t="s">
        <v>238</v>
      </c>
      <c r="C16" s="405">
        <v>0</v>
      </c>
      <c r="D16" s="405">
        <v>294691.83229499997</v>
      </c>
      <c r="E16" s="405">
        <v>0</v>
      </c>
      <c r="F16" s="405">
        <v>294691.83229499997</v>
      </c>
      <c r="G16" s="434">
        <v>540953.34337999998</v>
      </c>
    </row>
    <row r="17" spans="1:7" ht="9" customHeight="1">
      <c r="A17" s="726" t="s">
        <v>627</v>
      </c>
      <c r="B17" s="727"/>
      <c r="C17" s="728">
        <v>0</v>
      </c>
      <c r="D17" s="728">
        <v>294691.83229499997</v>
      </c>
      <c r="E17" s="728">
        <v>0</v>
      </c>
      <c r="F17" s="728">
        <v>294691.83229499997</v>
      </c>
      <c r="G17" s="729">
        <v>540953.34337999998</v>
      </c>
    </row>
    <row r="18" spans="1:7" ht="9" customHeight="1">
      <c r="A18" s="432" t="s">
        <v>628</v>
      </c>
      <c r="B18" s="252" t="s">
        <v>351</v>
      </c>
      <c r="C18" s="405">
        <v>0</v>
      </c>
      <c r="D18" s="405">
        <v>0</v>
      </c>
      <c r="E18" s="405">
        <v>12024.62</v>
      </c>
      <c r="F18" s="405">
        <v>12024.62</v>
      </c>
      <c r="G18" s="434">
        <v>27157.5858525</v>
      </c>
    </row>
    <row r="19" spans="1:7" ht="9" customHeight="1">
      <c r="A19" s="432" t="s">
        <v>407</v>
      </c>
      <c r="B19" s="252" t="s">
        <v>348</v>
      </c>
      <c r="C19" s="405">
        <v>0</v>
      </c>
      <c r="D19" s="405">
        <v>0</v>
      </c>
      <c r="E19" s="405">
        <v>5126.6432500000001</v>
      </c>
      <c r="F19" s="405">
        <v>5126.6432500000001</v>
      </c>
      <c r="G19" s="434">
        <v>10176.7223975</v>
      </c>
    </row>
    <row r="20" spans="1:7" ht="9" customHeight="1">
      <c r="A20" s="726" t="s">
        <v>629</v>
      </c>
      <c r="B20" s="727"/>
      <c r="C20" s="728">
        <v>0</v>
      </c>
      <c r="D20" s="728">
        <v>0</v>
      </c>
      <c r="E20" s="728">
        <v>17151.26325</v>
      </c>
      <c r="F20" s="728">
        <v>17151.26325</v>
      </c>
      <c r="G20" s="729">
        <v>37334.308250000002</v>
      </c>
    </row>
    <row r="21" spans="1:7" ht="9" customHeight="1">
      <c r="A21" s="432" t="s">
        <v>630</v>
      </c>
      <c r="B21" s="252" t="s">
        <v>321</v>
      </c>
      <c r="C21" s="405">
        <v>0</v>
      </c>
      <c r="D21" s="405">
        <v>0</v>
      </c>
      <c r="E21" s="405">
        <v>13352.51161</v>
      </c>
      <c r="F21" s="405">
        <v>13352.51161</v>
      </c>
      <c r="G21" s="434">
        <v>27989.2977775</v>
      </c>
    </row>
    <row r="22" spans="1:7" ht="9" customHeight="1">
      <c r="A22" s="432" t="s">
        <v>407</v>
      </c>
      <c r="B22" s="252" t="s">
        <v>319</v>
      </c>
      <c r="C22" s="405">
        <v>0</v>
      </c>
      <c r="D22" s="405">
        <v>0</v>
      </c>
      <c r="E22" s="405">
        <v>13259.869615</v>
      </c>
      <c r="F22" s="405">
        <v>13259.869615</v>
      </c>
      <c r="G22" s="434">
        <v>27823.286935</v>
      </c>
    </row>
    <row r="23" spans="1:7" ht="9" customHeight="1">
      <c r="A23" s="432" t="s">
        <v>407</v>
      </c>
      <c r="B23" s="252" t="s">
        <v>320</v>
      </c>
      <c r="C23" s="405">
        <v>0</v>
      </c>
      <c r="D23" s="405">
        <v>0</v>
      </c>
      <c r="E23" s="405">
        <v>12909.134830000001</v>
      </c>
      <c r="F23" s="405">
        <v>12909.134830000001</v>
      </c>
      <c r="G23" s="434">
        <v>20688.023229999999</v>
      </c>
    </row>
    <row r="24" spans="1:7" ht="9" customHeight="1">
      <c r="A24" s="432" t="s">
        <v>407</v>
      </c>
      <c r="B24" s="252" t="s">
        <v>61</v>
      </c>
      <c r="C24" s="405">
        <v>0</v>
      </c>
      <c r="D24" s="405">
        <v>0</v>
      </c>
      <c r="E24" s="405">
        <v>1278.96937</v>
      </c>
      <c r="F24" s="405">
        <v>1278.96937</v>
      </c>
      <c r="G24" s="434">
        <v>6066.9378349999997</v>
      </c>
    </row>
    <row r="25" spans="1:7" ht="9" customHeight="1">
      <c r="A25" s="726" t="s">
        <v>631</v>
      </c>
      <c r="B25" s="727"/>
      <c r="C25" s="728">
        <v>0</v>
      </c>
      <c r="D25" s="728">
        <v>0</v>
      </c>
      <c r="E25" s="728">
        <v>40800.485424999999</v>
      </c>
      <c r="F25" s="728">
        <v>40800.485424999999</v>
      </c>
      <c r="G25" s="729">
        <v>82567.545777499996</v>
      </c>
    </row>
    <row r="26" spans="1:7" ht="9" customHeight="1">
      <c r="A26" s="432" t="s">
        <v>632</v>
      </c>
      <c r="B26" s="252" t="s">
        <v>633</v>
      </c>
      <c r="C26" s="405">
        <v>0</v>
      </c>
      <c r="D26" s="405">
        <v>20021.989154999999</v>
      </c>
      <c r="E26" s="405">
        <v>0</v>
      </c>
      <c r="F26" s="405">
        <v>20021.989154999999</v>
      </c>
      <c r="G26" s="434">
        <v>56715.391369999998</v>
      </c>
    </row>
    <row r="27" spans="1:7" ht="9" customHeight="1">
      <c r="A27" s="726" t="s">
        <v>634</v>
      </c>
      <c r="B27" s="727"/>
      <c r="C27" s="728">
        <v>0</v>
      </c>
      <c r="D27" s="728">
        <v>20021.989154999999</v>
      </c>
      <c r="E27" s="728">
        <v>0</v>
      </c>
      <c r="F27" s="728">
        <v>20021.989154999999</v>
      </c>
      <c r="G27" s="729">
        <v>56715.391369999998</v>
      </c>
    </row>
    <row r="28" spans="1:7" ht="9" customHeight="1">
      <c r="A28" s="432" t="s">
        <v>1010</v>
      </c>
      <c r="B28" s="252" t="s">
        <v>635</v>
      </c>
      <c r="C28" s="405">
        <v>0</v>
      </c>
      <c r="D28" s="405">
        <v>0</v>
      </c>
      <c r="E28" s="405">
        <v>15556.360087499999</v>
      </c>
      <c r="F28" s="405">
        <v>15556.360087499999</v>
      </c>
      <c r="G28" s="434">
        <v>36368.190325000003</v>
      </c>
    </row>
    <row r="29" spans="1:7" ht="9" customHeight="1">
      <c r="A29" s="726" t="s">
        <v>636</v>
      </c>
      <c r="B29" s="727"/>
      <c r="C29" s="728">
        <v>0</v>
      </c>
      <c r="D29" s="728">
        <v>0</v>
      </c>
      <c r="E29" s="728">
        <v>15556.360087499999</v>
      </c>
      <c r="F29" s="728">
        <v>15556.360087499999</v>
      </c>
      <c r="G29" s="729">
        <v>36368.190325000003</v>
      </c>
    </row>
    <row r="30" spans="1:7" ht="9" customHeight="1">
      <c r="A30" s="432" t="s">
        <v>637</v>
      </c>
      <c r="B30" s="252" t="s">
        <v>367</v>
      </c>
      <c r="C30" s="405">
        <v>0</v>
      </c>
      <c r="D30" s="405">
        <v>0</v>
      </c>
      <c r="E30" s="405">
        <v>2351.9880374999998</v>
      </c>
      <c r="F30" s="405">
        <v>2351.9880374999998</v>
      </c>
      <c r="G30" s="434">
        <v>6434.9228549999998</v>
      </c>
    </row>
    <row r="31" spans="1:7" ht="9" customHeight="1">
      <c r="A31" s="726" t="s">
        <v>638</v>
      </c>
      <c r="B31" s="727"/>
      <c r="C31" s="728">
        <v>0</v>
      </c>
      <c r="D31" s="728">
        <v>0</v>
      </c>
      <c r="E31" s="728">
        <v>2351.9880374999998</v>
      </c>
      <c r="F31" s="728">
        <v>2351.9880374999998</v>
      </c>
      <c r="G31" s="729">
        <v>6434.9228549999998</v>
      </c>
    </row>
    <row r="32" spans="1:7" s="40" customFormat="1" ht="9" customHeight="1">
      <c r="A32" s="432" t="s">
        <v>639</v>
      </c>
      <c r="B32" s="252" t="s">
        <v>368</v>
      </c>
      <c r="C32" s="405">
        <v>0</v>
      </c>
      <c r="D32" s="405">
        <v>0</v>
      </c>
      <c r="E32" s="405">
        <v>3037.7019675000001</v>
      </c>
      <c r="F32" s="405">
        <v>3037.7019675000001</v>
      </c>
      <c r="G32" s="434">
        <v>7992.7171125000004</v>
      </c>
    </row>
    <row r="33" spans="1:8" ht="9" customHeight="1">
      <c r="A33" s="726" t="s">
        <v>640</v>
      </c>
      <c r="B33" s="727"/>
      <c r="C33" s="728">
        <v>0</v>
      </c>
      <c r="D33" s="728">
        <v>0</v>
      </c>
      <c r="E33" s="728">
        <v>3037.7019675000001</v>
      </c>
      <c r="F33" s="728">
        <v>3037.7019675000001</v>
      </c>
      <c r="G33" s="729">
        <v>7992.7171125000004</v>
      </c>
    </row>
    <row r="34" spans="1:8" ht="9" customHeight="1">
      <c r="A34" s="432" t="s">
        <v>641</v>
      </c>
      <c r="B34" s="252" t="s">
        <v>69</v>
      </c>
      <c r="C34" s="405">
        <v>0</v>
      </c>
      <c r="D34" s="405">
        <v>0</v>
      </c>
      <c r="E34" s="405">
        <v>2225.3000000000002</v>
      </c>
      <c r="F34" s="405">
        <v>2225.3000000000002</v>
      </c>
      <c r="G34" s="434">
        <v>4731.2</v>
      </c>
    </row>
    <row r="35" spans="1:8" ht="9" customHeight="1">
      <c r="A35" s="726" t="s">
        <v>642</v>
      </c>
      <c r="B35" s="727"/>
      <c r="C35" s="728">
        <v>0</v>
      </c>
      <c r="D35" s="728">
        <v>0</v>
      </c>
      <c r="E35" s="728">
        <v>2225.3000000000002</v>
      </c>
      <c r="F35" s="728">
        <v>2225.3000000000002</v>
      </c>
      <c r="G35" s="729">
        <v>4731.2</v>
      </c>
    </row>
    <row r="36" spans="1:8" ht="9" customHeight="1">
      <c r="A36" s="432" t="s">
        <v>643</v>
      </c>
      <c r="B36" s="252" t="s">
        <v>239</v>
      </c>
      <c r="C36" s="405">
        <v>12246.1670875</v>
      </c>
      <c r="D36" s="405">
        <v>0</v>
      </c>
      <c r="E36" s="405">
        <v>0</v>
      </c>
      <c r="F36" s="405">
        <v>12246.1670875</v>
      </c>
      <c r="G36" s="434">
        <v>25863.138392500001</v>
      </c>
    </row>
    <row r="37" spans="1:8" ht="9" customHeight="1">
      <c r="A37" s="726" t="s">
        <v>644</v>
      </c>
      <c r="B37" s="727"/>
      <c r="C37" s="728">
        <v>12246.1670875</v>
      </c>
      <c r="D37" s="728">
        <v>0</v>
      </c>
      <c r="E37" s="728">
        <v>0</v>
      </c>
      <c r="F37" s="728">
        <v>12246.1670875</v>
      </c>
      <c r="G37" s="729">
        <v>25863.138392500001</v>
      </c>
    </row>
    <row r="38" spans="1:8" ht="9" customHeight="1">
      <c r="A38" s="432" t="s">
        <v>645</v>
      </c>
      <c r="B38" s="252" t="s">
        <v>54</v>
      </c>
      <c r="C38" s="405">
        <v>0</v>
      </c>
      <c r="D38" s="405">
        <v>0</v>
      </c>
      <c r="E38" s="405">
        <v>10604.71925</v>
      </c>
      <c r="F38" s="405">
        <v>10604.71925</v>
      </c>
      <c r="G38" s="434">
        <v>23869.035250000001</v>
      </c>
    </row>
    <row r="39" spans="1:8" ht="9" customHeight="1">
      <c r="A39" s="726" t="s">
        <v>646</v>
      </c>
      <c r="B39" s="727"/>
      <c r="C39" s="728">
        <v>0</v>
      </c>
      <c r="D39" s="728">
        <v>0</v>
      </c>
      <c r="E39" s="728">
        <v>10604.71925</v>
      </c>
      <c r="F39" s="728">
        <v>10604.71925</v>
      </c>
      <c r="G39" s="729">
        <v>23869.035250000001</v>
      </c>
    </row>
    <row r="40" spans="1:8" ht="9" customHeight="1">
      <c r="A40" s="432" t="s">
        <v>647</v>
      </c>
      <c r="B40" s="252" t="s">
        <v>648</v>
      </c>
      <c r="C40" s="405">
        <v>0</v>
      </c>
      <c r="D40" s="405">
        <v>150.29631499999999</v>
      </c>
      <c r="E40" s="405">
        <v>0</v>
      </c>
      <c r="F40" s="405">
        <v>150.29631499999999</v>
      </c>
      <c r="G40" s="434">
        <v>150.29631499999999</v>
      </c>
    </row>
    <row r="41" spans="1:8" ht="9" customHeight="1">
      <c r="A41" s="432" t="s">
        <v>407</v>
      </c>
      <c r="B41" s="252" t="s">
        <v>649</v>
      </c>
      <c r="C41" s="405">
        <v>0</v>
      </c>
      <c r="D41" s="405">
        <v>592.55907249999996</v>
      </c>
      <c r="E41" s="405">
        <v>0</v>
      </c>
      <c r="F41" s="405">
        <v>592.55907249999996</v>
      </c>
      <c r="G41" s="434">
        <v>592.55907249999996</v>
      </c>
    </row>
    <row r="42" spans="1:8" ht="9" customHeight="1">
      <c r="A42" s="726" t="s">
        <v>650</v>
      </c>
      <c r="B42" s="727"/>
      <c r="C42" s="728">
        <v>0</v>
      </c>
      <c r="D42" s="728">
        <v>742.85538750000001</v>
      </c>
      <c r="E42" s="728">
        <v>0</v>
      </c>
      <c r="F42" s="728">
        <v>742.85538750000001</v>
      </c>
      <c r="G42" s="729">
        <v>742.85538750000001</v>
      </c>
    </row>
    <row r="43" spans="1:8" ht="9" customHeight="1">
      <c r="A43" s="432" t="s">
        <v>651</v>
      </c>
      <c r="B43" s="252" t="s">
        <v>334</v>
      </c>
      <c r="C43" s="405">
        <v>59839.567569999999</v>
      </c>
      <c r="D43" s="405">
        <v>0</v>
      </c>
      <c r="E43" s="405">
        <v>0</v>
      </c>
      <c r="F43" s="405">
        <v>59839.567569999999</v>
      </c>
      <c r="G43" s="434">
        <v>125526.5214325</v>
      </c>
    </row>
    <row r="44" spans="1:8" ht="9" customHeight="1">
      <c r="A44" s="726" t="s">
        <v>652</v>
      </c>
      <c r="B44" s="727"/>
      <c r="C44" s="728">
        <v>59839.567569999999</v>
      </c>
      <c r="D44" s="728">
        <v>0</v>
      </c>
      <c r="E44" s="728">
        <v>0</v>
      </c>
      <c r="F44" s="728">
        <v>59839.567569999999</v>
      </c>
      <c r="G44" s="729">
        <v>125526.5214325</v>
      </c>
    </row>
    <row r="45" spans="1:8" ht="9" customHeight="1">
      <c r="A45" s="432" t="s">
        <v>653</v>
      </c>
      <c r="B45" s="252" t="s">
        <v>332</v>
      </c>
      <c r="C45" s="405">
        <v>368669.58306500001</v>
      </c>
      <c r="D45" s="405">
        <v>0</v>
      </c>
      <c r="E45" s="405">
        <v>0</v>
      </c>
      <c r="F45" s="405">
        <v>368669.58306500001</v>
      </c>
      <c r="G45" s="434">
        <v>777141.93262750003</v>
      </c>
    </row>
    <row r="46" spans="1:8" ht="9" customHeight="1">
      <c r="A46" s="726" t="s">
        <v>407</v>
      </c>
      <c r="B46" s="727" t="s">
        <v>241</v>
      </c>
      <c r="C46" s="728">
        <v>0</v>
      </c>
      <c r="D46" s="728">
        <v>411951.87619749998</v>
      </c>
      <c r="E46" s="728">
        <v>0</v>
      </c>
      <c r="F46" s="728">
        <v>411951.87619749998</v>
      </c>
      <c r="G46" s="729">
        <v>830351.93436750001</v>
      </c>
    </row>
    <row r="47" spans="1:8" ht="9" customHeight="1">
      <c r="A47" s="432" t="s">
        <v>407</v>
      </c>
      <c r="B47" s="252" t="s">
        <v>388</v>
      </c>
      <c r="C47" s="405">
        <v>0</v>
      </c>
      <c r="D47" s="405">
        <v>190225.88049000001</v>
      </c>
      <c r="E47" s="405">
        <v>0</v>
      </c>
      <c r="F47" s="405">
        <v>190225.88049000001</v>
      </c>
      <c r="G47" s="434">
        <v>392320.15620500001</v>
      </c>
      <c r="H47" s="270"/>
    </row>
    <row r="48" spans="1:8" ht="9" customHeight="1">
      <c r="A48" s="432" t="s">
        <v>407</v>
      </c>
      <c r="B48" s="252" t="s">
        <v>242</v>
      </c>
      <c r="C48" s="405">
        <v>6648.6486649999997</v>
      </c>
      <c r="D48" s="405">
        <v>0</v>
      </c>
      <c r="E48" s="405">
        <v>0</v>
      </c>
      <c r="F48" s="405">
        <v>6648.6486649999997</v>
      </c>
      <c r="G48" s="434">
        <v>14266.824850000001</v>
      </c>
    </row>
    <row r="49" spans="1:7" ht="9" customHeight="1">
      <c r="A49" s="432" t="s">
        <v>654</v>
      </c>
      <c r="B49" s="252"/>
      <c r="C49" s="405">
        <v>375318.23173</v>
      </c>
      <c r="D49" s="405">
        <v>602177.75668750005</v>
      </c>
      <c r="E49" s="405">
        <v>0</v>
      </c>
      <c r="F49" s="405">
        <v>977495.98841750005</v>
      </c>
      <c r="G49" s="434">
        <v>2014080.8480500001</v>
      </c>
    </row>
    <row r="50" spans="1:7" ht="9" customHeight="1">
      <c r="A50" s="432" t="s">
        <v>655</v>
      </c>
      <c r="B50" s="252" t="s">
        <v>404</v>
      </c>
      <c r="C50" s="405">
        <v>0</v>
      </c>
      <c r="D50" s="405">
        <v>0</v>
      </c>
      <c r="E50" s="405">
        <v>49.554807500000003</v>
      </c>
      <c r="F50" s="405">
        <v>49.554807500000003</v>
      </c>
      <c r="G50" s="434">
        <v>113.45844</v>
      </c>
    </row>
    <row r="51" spans="1:7" ht="9" customHeight="1">
      <c r="A51" s="726" t="s">
        <v>656</v>
      </c>
      <c r="B51" s="727"/>
      <c r="C51" s="728">
        <v>0</v>
      </c>
      <c r="D51" s="728">
        <v>0</v>
      </c>
      <c r="E51" s="728">
        <v>49.554807500000003</v>
      </c>
      <c r="F51" s="728">
        <v>49.554807500000003</v>
      </c>
      <c r="G51" s="729">
        <v>113.45844</v>
      </c>
    </row>
    <row r="52" spans="1:7" ht="9" customHeight="1">
      <c r="A52" s="432" t="s">
        <v>369</v>
      </c>
      <c r="B52" s="252" t="s">
        <v>387</v>
      </c>
      <c r="C52" s="405">
        <v>40644.6685</v>
      </c>
      <c r="D52" s="405">
        <v>0</v>
      </c>
      <c r="E52" s="405">
        <v>0</v>
      </c>
      <c r="F52" s="405">
        <v>40644.6685</v>
      </c>
      <c r="G52" s="434">
        <v>89471.959499999997</v>
      </c>
    </row>
    <row r="53" spans="1:7" ht="9" customHeight="1">
      <c r="A53" s="726" t="s">
        <v>376</v>
      </c>
      <c r="B53" s="727"/>
      <c r="C53" s="728">
        <v>40644.6685</v>
      </c>
      <c r="D53" s="728">
        <v>0</v>
      </c>
      <c r="E53" s="728">
        <v>0</v>
      </c>
      <c r="F53" s="728">
        <v>40644.6685</v>
      </c>
      <c r="G53" s="729">
        <v>89471.959499999997</v>
      </c>
    </row>
    <row r="54" spans="1:7" ht="9" customHeight="1">
      <c r="A54" s="432" t="s">
        <v>657</v>
      </c>
      <c r="B54" s="252" t="s">
        <v>67</v>
      </c>
      <c r="C54" s="405">
        <v>0</v>
      </c>
      <c r="D54" s="405">
        <v>0</v>
      </c>
      <c r="E54" s="405">
        <v>2120.87</v>
      </c>
      <c r="F54" s="405">
        <v>2120.87</v>
      </c>
      <c r="G54" s="434">
        <v>4682.7650000000003</v>
      </c>
    </row>
    <row r="55" spans="1:7" ht="9" customHeight="1">
      <c r="A55" s="726" t="s">
        <v>658</v>
      </c>
      <c r="B55" s="727"/>
      <c r="C55" s="728">
        <v>0</v>
      </c>
      <c r="D55" s="728">
        <v>0</v>
      </c>
      <c r="E55" s="728">
        <v>2120.87</v>
      </c>
      <c r="F55" s="728">
        <v>2120.87</v>
      </c>
      <c r="G55" s="729">
        <v>4682.7650000000003</v>
      </c>
    </row>
    <row r="56" spans="1:7" ht="9" customHeight="1">
      <c r="A56" s="432" t="s">
        <v>659</v>
      </c>
      <c r="B56" s="252" t="s">
        <v>182</v>
      </c>
      <c r="C56" s="405">
        <v>0</v>
      </c>
      <c r="D56" s="405">
        <v>0</v>
      </c>
      <c r="E56" s="405">
        <v>3264.0196999999998</v>
      </c>
      <c r="F56" s="405">
        <v>3264.0196999999998</v>
      </c>
      <c r="G56" s="434">
        <v>7223.4818999999998</v>
      </c>
    </row>
    <row r="57" spans="1:7" ht="9" customHeight="1">
      <c r="A57" s="726" t="s">
        <v>660</v>
      </c>
      <c r="B57" s="727"/>
      <c r="C57" s="728">
        <v>0</v>
      </c>
      <c r="D57" s="728">
        <v>0</v>
      </c>
      <c r="E57" s="728">
        <v>3264.0196999999998</v>
      </c>
      <c r="F57" s="728">
        <v>3264.0196999999998</v>
      </c>
      <c r="G57" s="729">
        <v>7223.4818999999998</v>
      </c>
    </row>
    <row r="58" spans="1:7" ht="9" customHeight="1">
      <c r="A58" s="432" t="s">
        <v>562</v>
      </c>
      <c r="B58" s="252" t="s">
        <v>208</v>
      </c>
      <c r="C58" s="405">
        <v>0</v>
      </c>
      <c r="D58" s="405">
        <v>1590.5319625</v>
      </c>
      <c r="E58" s="405">
        <v>0</v>
      </c>
      <c r="F58" s="405">
        <v>1590.5319625</v>
      </c>
      <c r="G58" s="434">
        <v>4184.5420400000003</v>
      </c>
    </row>
    <row r="59" spans="1:7" ht="9" customHeight="1">
      <c r="A59" s="726" t="s">
        <v>661</v>
      </c>
      <c r="B59" s="727"/>
      <c r="C59" s="728">
        <v>0</v>
      </c>
      <c r="D59" s="728">
        <v>1590.5319625</v>
      </c>
      <c r="E59" s="728">
        <v>0</v>
      </c>
      <c r="F59" s="728">
        <v>1590.5319625</v>
      </c>
      <c r="G59" s="729">
        <v>4184.5420400000003</v>
      </c>
    </row>
    <row r="60" spans="1:7" ht="9" customHeight="1">
      <c r="A60" s="432" t="s">
        <v>662</v>
      </c>
      <c r="B60" s="252" t="s">
        <v>76</v>
      </c>
      <c r="C60" s="405">
        <v>0</v>
      </c>
      <c r="D60" s="405">
        <v>0</v>
      </c>
      <c r="E60" s="405">
        <v>3659.64525</v>
      </c>
      <c r="F60" s="405">
        <v>3659.64525</v>
      </c>
      <c r="G60" s="434">
        <v>7725.08925</v>
      </c>
    </row>
    <row r="61" spans="1:7" ht="9" customHeight="1">
      <c r="A61" s="726" t="s">
        <v>663</v>
      </c>
      <c r="B61" s="727"/>
      <c r="C61" s="728">
        <v>0</v>
      </c>
      <c r="D61" s="728">
        <v>0</v>
      </c>
      <c r="E61" s="728">
        <v>3659.64525</v>
      </c>
      <c r="F61" s="728">
        <v>3659.64525</v>
      </c>
      <c r="G61" s="729">
        <v>7725.08925</v>
      </c>
    </row>
    <row r="62" spans="1:7" ht="9" customHeight="1">
      <c r="A62" s="432" t="s">
        <v>190</v>
      </c>
      <c r="B62" s="252" t="s">
        <v>66</v>
      </c>
      <c r="C62" s="405">
        <v>0</v>
      </c>
      <c r="D62" s="405">
        <v>0</v>
      </c>
      <c r="E62" s="405">
        <v>3226.869725</v>
      </c>
      <c r="F62" s="405">
        <v>3226.869725</v>
      </c>
      <c r="G62" s="434">
        <v>7181.2229975</v>
      </c>
    </row>
    <row r="63" spans="1:7" ht="9" customHeight="1">
      <c r="A63" s="432" t="s">
        <v>407</v>
      </c>
      <c r="B63" s="252" t="s">
        <v>243</v>
      </c>
      <c r="C63" s="405">
        <v>148397.47745499999</v>
      </c>
      <c r="D63" s="405">
        <v>0</v>
      </c>
      <c r="E63" s="405">
        <v>0</v>
      </c>
      <c r="F63" s="405">
        <v>148397.47745499999</v>
      </c>
      <c r="G63" s="434">
        <v>322008.27426999999</v>
      </c>
    </row>
    <row r="64" spans="1:7" ht="9" customHeight="1">
      <c r="A64" s="432" t="s">
        <v>407</v>
      </c>
      <c r="B64" s="252" t="s">
        <v>244</v>
      </c>
      <c r="C64" s="405">
        <v>52025.489387499998</v>
      </c>
      <c r="D64" s="405">
        <v>0</v>
      </c>
      <c r="E64" s="405">
        <v>0</v>
      </c>
      <c r="F64" s="405">
        <v>52025.489387499998</v>
      </c>
      <c r="G64" s="434">
        <v>116759.1770575</v>
      </c>
    </row>
    <row r="65" spans="1:8" ht="10.199999999999999" customHeight="1">
      <c r="A65" s="432" t="s">
        <v>407</v>
      </c>
      <c r="B65" s="252" t="s">
        <v>57</v>
      </c>
      <c r="C65" s="405">
        <v>0</v>
      </c>
      <c r="D65" s="405">
        <v>0</v>
      </c>
      <c r="E65" s="405">
        <v>6219.6447175000003</v>
      </c>
      <c r="F65" s="405">
        <v>6219.6447175000003</v>
      </c>
      <c r="G65" s="434">
        <v>13594.508847499999</v>
      </c>
    </row>
    <row r="66" spans="1:8" ht="9" customHeight="1">
      <c r="A66" s="726" t="s">
        <v>377</v>
      </c>
      <c r="B66" s="727"/>
      <c r="C66" s="728">
        <v>200422.9668425</v>
      </c>
      <c r="D66" s="728">
        <v>0</v>
      </c>
      <c r="E66" s="728">
        <v>9446.5144424999999</v>
      </c>
      <c r="F66" s="728">
        <v>209869.48128499999</v>
      </c>
      <c r="G66" s="729">
        <v>459543.18317249999</v>
      </c>
    </row>
    <row r="67" spans="1:8" ht="9" customHeight="1">
      <c r="A67" s="752" t="s">
        <v>748</v>
      </c>
      <c r="B67" s="753" t="s">
        <v>622</v>
      </c>
      <c r="C67" s="754">
        <v>0</v>
      </c>
      <c r="D67" s="754">
        <v>0</v>
      </c>
      <c r="E67" s="754">
        <v>22603.204249999999</v>
      </c>
      <c r="F67" s="754">
        <v>22603.204249999999</v>
      </c>
      <c r="G67" s="754">
        <v>62844.926249999997</v>
      </c>
    </row>
    <row r="68" spans="1:8" ht="9" customHeight="1">
      <c r="A68" s="755" t="s">
        <v>407</v>
      </c>
      <c r="B68" s="753" t="s">
        <v>327</v>
      </c>
      <c r="C68" s="754">
        <v>0</v>
      </c>
      <c r="D68" s="754">
        <v>0</v>
      </c>
      <c r="E68" s="754">
        <v>22969.62988</v>
      </c>
      <c r="F68" s="754">
        <v>22969.62988</v>
      </c>
      <c r="G68" s="754">
        <v>64313.229879999999</v>
      </c>
      <c r="H68" s="793"/>
    </row>
    <row r="69" spans="1:8" ht="9" customHeight="1">
      <c r="A69" s="755" t="s">
        <v>407</v>
      </c>
      <c r="B69" s="753" t="s">
        <v>353</v>
      </c>
      <c r="C69" s="754">
        <v>51465.611250000002</v>
      </c>
      <c r="D69" s="754">
        <v>0</v>
      </c>
      <c r="E69" s="754">
        <v>0</v>
      </c>
      <c r="F69" s="754">
        <v>51465.611250000002</v>
      </c>
      <c r="G69" s="754">
        <v>109616.9555</v>
      </c>
    </row>
    <row r="70" spans="1:8" ht="9" customHeight="1">
      <c r="A70" s="755" t="s">
        <v>407</v>
      </c>
      <c r="B70" s="753" t="s">
        <v>322</v>
      </c>
      <c r="C70" s="754">
        <v>0</v>
      </c>
      <c r="D70" s="754">
        <v>0</v>
      </c>
      <c r="E70" s="754">
        <v>243.98400000000001</v>
      </c>
      <c r="F70" s="754">
        <v>243.98400000000001</v>
      </c>
      <c r="G70" s="754">
        <v>654.80825000000004</v>
      </c>
    </row>
    <row r="71" spans="1:8" ht="9" customHeight="1">
      <c r="A71" s="755" t="s">
        <v>407</v>
      </c>
      <c r="B71" s="753" t="s">
        <v>226</v>
      </c>
      <c r="C71" s="754">
        <v>11768.826499999999</v>
      </c>
      <c r="D71" s="754">
        <v>0</v>
      </c>
      <c r="E71" s="754">
        <v>0</v>
      </c>
      <c r="F71" s="754">
        <v>11768.826499999999</v>
      </c>
      <c r="G71" s="754">
        <v>31204.117999999999</v>
      </c>
    </row>
    <row r="72" spans="1:8" ht="9" customHeight="1">
      <c r="A72" s="755" t="s">
        <v>407</v>
      </c>
      <c r="B72" s="753" t="s">
        <v>227</v>
      </c>
      <c r="C72" s="754">
        <v>142005.31899999999</v>
      </c>
      <c r="D72" s="754">
        <v>0</v>
      </c>
      <c r="E72" s="754">
        <v>0</v>
      </c>
      <c r="F72" s="754">
        <v>142005.31899999999</v>
      </c>
      <c r="G72" s="754">
        <v>267069.59499999997</v>
      </c>
    </row>
    <row r="73" spans="1:8" ht="9" customHeight="1">
      <c r="A73" s="755" t="s">
        <v>407</v>
      </c>
      <c r="B73" s="753" t="s">
        <v>228</v>
      </c>
      <c r="C73" s="754">
        <v>81271.331999999995</v>
      </c>
      <c r="D73" s="754">
        <v>0</v>
      </c>
      <c r="E73" s="754">
        <v>0</v>
      </c>
      <c r="F73" s="754">
        <v>81271.331999999995</v>
      </c>
      <c r="G73" s="754">
        <v>176312.45775</v>
      </c>
    </row>
    <row r="74" spans="1:8" ht="9" customHeight="1">
      <c r="A74" s="755" t="s">
        <v>407</v>
      </c>
      <c r="B74" s="753" t="s">
        <v>229</v>
      </c>
      <c r="C74" s="754">
        <v>41481.52175</v>
      </c>
      <c r="D74" s="754">
        <v>0</v>
      </c>
      <c r="E74" s="754">
        <v>0</v>
      </c>
      <c r="F74" s="754">
        <v>41481.52175</v>
      </c>
      <c r="G74" s="754">
        <v>88570.600749999998</v>
      </c>
    </row>
    <row r="75" spans="1:8" ht="9" customHeight="1">
      <c r="A75" s="755" t="s">
        <v>407</v>
      </c>
      <c r="B75" s="753" t="s">
        <v>540</v>
      </c>
      <c r="C75" s="754">
        <v>0</v>
      </c>
      <c r="D75" s="754">
        <v>0</v>
      </c>
      <c r="E75" s="754">
        <v>22570.4195</v>
      </c>
      <c r="F75" s="754">
        <v>22570.4195</v>
      </c>
      <c r="G75" s="754">
        <v>52059.772499999999</v>
      </c>
    </row>
    <row r="76" spans="1:8" ht="9" customHeight="1">
      <c r="A76" s="755" t="s">
        <v>407</v>
      </c>
      <c r="B76" s="753" t="s">
        <v>328</v>
      </c>
      <c r="C76" s="754">
        <v>0</v>
      </c>
      <c r="D76" s="754">
        <v>0</v>
      </c>
      <c r="E76" s="754">
        <v>28987.161499999998</v>
      </c>
      <c r="F76" s="754">
        <v>28987.161499999998</v>
      </c>
      <c r="G76" s="754">
        <v>65647.945250000004</v>
      </c>
    </row>
    <row r="77" spans="1:8" ht="9" customHeight="1">
      <c r="A77" s="755" t="s">
        <v>407</v>
      </c>
      <c r="B77" s="753" t="s">
        <v>623</v>
      </c>
      <c r="C77" s="754">
        <v>0</v>
      </c>
      <c r="D77" s="754">
        <v>7222.7084999999997</v>
      </c>
      <c r="E77" s="754">
        <v>0</v>
      </c>
      <c r="F77" s="754">
        <v>7222.7084999999997</v>
      </c>
      <c r="G77" s="754">
        <v>7801.0450000000001</v>
      </c>
    </row>
    <row r="78" spans="1:8" ht="9" customHeight="1">
      <c r="A78" s="755" t="s">
        <v>407</v>
      </c>
      <c r="B78" s="753" t="s">
        <v>230</v>
      </c>
      <c r="C78" s="754">
        <v>0</v>
      </c>
      <c r="D78" s="754">
        <v>23345.438249999999</v>
      </c>
      <c r="E78" s="754">
        <v>0</v>
      </c>
      <c r="F78" s="754">
        <v>23345.438249999999</v>
      </c>
      <c r="G78" s="754">
        <v>23699.564249999999</v>
      </c>
    </row>
    <row r="79" spans="1:8" ht="9" customHeight="1">
      <c r="A79" s="755" t="s">
        <v>407</v>
      </c>
      <c r="B79" s="753" t="s">
        <v>231</v>
      </c>
      <c r="C79" s="754">
        <v>0</v>
      </c>
      <c r="D79" s="754">
        <v>139343.75450000001</v>
      </c>
      <c r="E79" s="754">
        <v>0</v>
      </c>
      <c r="F79" s="754">
        <v>139343.75450000001</v>
      </c>
      <c r="G79" s="754">
        <v>365981.19975000003</v>
      </c>
    </row>
    <row r="80" spans="1:8">
      <c r="A80" s="726" t="s">
        <v>749</v>
      </c>
      <c r="B80" s="727"/>
      <c r="C80" s="728">
        <v>327992.61050000001</v>
      </c>
      <c r="D80" s="728">
        <v>169911.90125</v>
      </c>
      <c r="E80" s="728">
        <v>97374.399130000005</v>
      </c>
      <c r="F80" s="728">
        <v>595278.91087999998</v>
      </c>
      <c r="G80" s="729">
        <v>1315776.2181299999</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8"/>
  <sheetViews>
    <sheetView showGridLines="0" view="pageBreakPreview" zoomScale="115" zoomScaleNormal="100" zoomScaleSheetLayoutView="115" zoomScalePageLayoutView="115" workbookViewId="0">
      <selection activeCell="C53" sqref="C53:F53"/>
    </sheetView>
  </sheetViews>
  <sheetFormatPr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86" t="s">
        <v>199</v>
      </c>
      <c r="B1" s="889" t="s">
        <v>50</v>
      </c>
      <c r="C1" s="892" t="str">
        <f>+'19. ANEXOI-2'!C1:F1</f>
        <v>ENERGÍA PRODUCIDA FEBRERO 2025</v>
      </c>
      <c r="D1" s="892"/>
      <c r="E1" s="892"/>
      <c r="F1" s="892"/>
      <c r="G1" s="406" t="s">
        <v>203</v>
      </c>
      <c r="H1" s="172"/>
    </row>
    <row r="2" spans="1:8" ht="11.25" customHeight="1">
      <c r="A2" s="887"/>
      <c r="B2" s="890"/>
      <c r="C2" s="893" t="s">
        <v>204</v>
      </c>
      <c r="D2" s="893"/>
      <c r="E2" s="893"/>
      <c r="F2" s="894" t="str">
        <f>"TOTAL 
"&amp;UPPER('1. Resumen'!Q4)</f>
        <v>TOTAL 
FEBRERO</v>
      </c>
      <c r="G2" s="407" t="s">
        <v>205</v>
      </c>
      <c r="H2" s="166"/>
    </row>
    <row r="3" spans="1:8" ht="11.25" customHeight="1">
      <c r="A3" s="887"/>
      <c r="B3" s="890"/>
      <c r="C3" s="402" t="s">
        <v>165</v>
      </c>
      <c r="D3" s="402" t="s">
        <v>166</v>
      </c>
      <c r="E3" s="402" t="s">
        <v>206</v>
      </c>
      <c r="F3" s="895"/>
      <c r="G3" s="407">
        <v>2025</v>
      </c>
      <c r="H3" s="168"/>
    </row>
    <row r="4" spans="1:8" ht="11.25" customHeight="1">
      <c r="A4" s="896"/>
      <c r="B4" s="897"/>
      <c r="C4" s="403" t="s">
        <v>207</v>
      </c>
      <c r="D4" s="403" t="s">
        <v>207</v>
      </c>
      <c r="E4" s="403" t="s">
        <v>207</v>
      </c>
      <c r="F4" s="403" t="s">
        <v>207</v>
      </c>
      <c r="G4" s="408" t="s">
        <v>158</v>
      </c>
      <c r="H4" s="168"/>
    </row>
    <row r="5" spans="1:8" ht="11.25" customHeight="1">
      <c r="A5" s="432" t="s">
        <v>664</v>
      </c>
      <c r="B5" s="252" t="s">
        <v>181</v>
      </c>
      <c r="C5" s="405">
        <v>0</v>
      </c>
      <c r="D5" s="405">
        <v>0</v>
      </c>
      <c r="E5" s="405">
        <v>4425.7302499999996</v>
      </c>
      <c r="F5" s="405">
        <v>4425.7302499999996</v>
      </c>
      <c r="G5" s="434">
        <v>9452.5197499999995</v>
      </c>
      <c r="H5" s="168"/>
    </row>
    <row r="6" spans="1:8" ht="11.25" customHeight="1">
      <c r="A6" s="433" t="s">
        <v>665</v>
      </c>
      <c r="B6" s="338"/>
      <c r="C6" s="339">
        <v>0</v>
      </c>
      <c r="D6" s="339">
        <v>0</v>
      </c>
      <c r="E6" s="339">
        <v>4425.7302499999996</v>
      </c>
      <c r="F6" s="339">
        <v>4425.7302499999996</v>
      </c>
      <c r="G6" s="435">
        <v>9452.5197499999995</v>
      </c>
      <c r="H6" s="168"/>
    </row>
    <row r="7" spans="1:8" s="252" customFormat="1" ht="9" customHeight="1">
      <c r="A7" s="432" t="s">
        <v>666</v>
      </c>
      <c r="B7" s="252" t="s">
        <v>73</v>
      </c>
      <c r="C7" s="405">
        <v>0</v>
      </c>
      <c r="D7" s="405">
        <v>0</v>
      </c>
      <c r="E7" s="405">
        <v>7470.9958475000003</v>
      </c>
      <c r="F7" s="405">
        <v>7470.9958475000003</v>
      </c>
      <c r="G7" s="434">
        <v>20552.562255000001</v>
      </c>
    </row>
    <row r="8" spans="1:8" s="252" customFormat="1" ht="9" customHeight="1">
      <c r="A8" s="433" t="s">
        <v>667</v>
      </c>
      <c r="B8" s="338"/>
      <c r="C8" s="339">
        <v>0</v>
      </c>
      <c r="D8" s="339">
        <v>0</v>
      </c>
      <c r="E8" s="339">
        <v>7470.9958475000003</v>
      </c>
      <c r="F8" s="339">
        <v>7470.9958475000003</v>
      </c>
      <c r="G8" s="435">
        <v>20552.562255000001</v>
      </c>
    </row>
    <row r="9" spans="1:8" s="252" customFormat="1" ht="9" customHeight="1">
      <c r="A9" s="432" t="s">
        <v>668</v>
      </c>
      <c r="B9" s="252" t="s">
        <v>71</v>
      </c>
      <c r="C9" s="405">
        <v>0</v>
      </c>
      <c r="D9" s="405">
        <v>0</v>
      </c>
      <c r="E9" s="405">
        <v>20490.931742500001</v>
      </c>
      <c r="F9" s="405">
        <v>20490.931742500001</v>
      </c>
      <c r="G9" s="434">
        <v>57460.343572500002</v>
      </c>
    </row>
    <row r="10" spans="1:8" s="252" customFormat="1" ht="9" customHeight="1">
      <c r="A10" s="433" t="s">
        <v>669</v>
      </c>
      <c r="B10" s="338"/>
      <c r="C10" s="339">
        <v>0</v>
      </c>
      <c r="D10" s="339">
        <v>0</v>
      </c>
      <c r="E10" s="339">
        <v>20490.931742500001</v>
      </c>
      <c r="F10" s="339">
        <v>20490.931742500001</v>
      </c>
      <c r="G10" s="435">
        <v>57460.343572500002</v>
      </c>
    </row>
    <row r="11" spans="1:8" s="252" customFormat="1" ht="9" customHeight="1">
      <c r="A11" s="432" t="s">
        <v>1011</v>
      </c>
      <c r="B11" s="252" t="s">
        <v>358</v>
      </c>
      <c r="C11" s="405">
        <v>0</v>
      </c>
      <c r="D11" s="405">
        <v>0</v>
      </c>
      <c r="E11" s="405">
        <v>7848.8362774999996</v>
      </c>
      <c r="F11" s="405">
        <v>7848.8362774999996</v>
      </c>
      <c r="G11" s="434">
        <v>20507.873465000001</v>
      </c>
    </row>
    <row r="12" spans="1:8" s="252" customFormat="1" ht="9" customHeight="1">
      <c r="A12" s="433" t="s">
        <v>1012</v>
      </c>
      <c r="B12" s="338"/>
      <c r="C12" s="339">
        <v>0</v>
      </c>
      <c r="D12" s="339">
        <v>0</v>
      </c>
      <c r="E12" s="339">
        <v>7848.8362774999996</v>
      </c>
      <c r="F12" s="339">
        <v>7848.8362774999996</v>
      </c>
      <c r="G12" s="435">
        <v>20507.873465000001</v>
      </c>
    </row>
    <row r="13" spans="1:8" s="252" customFormat="1" ht="9" customHeight="1">
      <c r="A13" s="432" t="s">
        <v>670</v>
      </c>
      <c r="B13" s="252" t="s">
        <v>79</v>
      </c>
      <c r="C13" s="405">
        <v>0</v>
      </c>
      <c r="D13" s="405">
        <v>0</v>
      </c>
      <c r="E13" s="405">
        <v>2797.7129749999999</v>
      </c>
      <c r="F13" s="405">
        <v>2797.7129749999999</v>
      </c>
      <c r="G13" s="434">
        <v>5878.3982749999996</v>
      </c>
    </row>
    <row r="14" spans="1:8" s="252" customFormat="1" ht="9" customHeight="1">
      <c r="A14" s="432" t="s">
        <v>407</v>
      </c>
      <c r="B14" s="252" t="s">
        <v>80</v>
      </c>
      <c r="C14" s="405">
        <v>0</v>
      </c>
      <c r="D14" s="405">
        <v>0</v>
      </c>
      <c r="E14" s="405">
        <v>1646.1130000000001</v>
      </c>
      <c r="F14" s="405">
        <v>1646.1130000000001</v>
      </c>
      <c r="G14" s="434">
        <v>3494.51055</v>
      </c>
    </row>
    <row r="15" spans="1:8" s="252" customFormat="1" ht="9" customHeight="1">
      <c r="A15" s="432" t="s">
        <v>407</v>
      </c>
      <c r="B15" s="252" t="s">
        <v>671</v>
      </c>
      <c r="C15" s="405">
        <v>0</v>
      </c>
      <c r="D15" s="405">
        <v>0</v>
      </c>
      <c r="E15" s="405">
        <v>1552.241225</v>
      </c>
      <c r="F15" s="405">
        <v>1552.241225</v>
      </c>
      <c r="G15" s="434">
        <v>3223.755525</v>
      </c>
    </row>
    <row r="16" spans="1:8" s="252" customFormat="1" ht="9" customHeight="1">
      <c r="A16" s="432" t="s">
        <v>407</v>
      </c>
      <c r="B16" s="252" t="s">
        <v>672</v>
      </c>
      <c r="C16" s="405">
        <v>0</v>
      </c>
      <c r="D16" s="405">
        <v>0</v>
      </c>
      <c r="E16" s="405">
        <v>1104.6284499999999</v>
      </c>
      <c r="F16" s="405">
        <v>1104.6284499999999</v>
      </c>
      <c r="G16" s="434">
        <v>2674.8121500000002</v>
      </c>
    </row>
    <row r="17" spans="1:7" s="252" customFormat="1" ht="9" customHeight="1">
      <c r="A17" s="433" t="s">
        <v>673</v>
      </c>
      <c r="B17" s="338"/>
      <c r="C17" s="339">
        <v>0</v>
      </c>
      <c r="D17" s="339">
        <v>0</v>
      </c>
      <c r="E17" s="339">
        <v>7100.6956499999997</v>
      </c>
      <c r="F17" s="339">
        <v>7100.6956499999997</v>
      </c>
      <c r="G17" s="435">
        <v>15271.476500000001</v>
      </c>
    </row>
    <row r="18" spans="1:7" s="252" customFormat="1" ht="9" customHeight="1">
      <c r="A18" s="432" t="s">
        <v>1013</v>
      </c>
      <c r="B18" s="252" t="s">
        <v>674</v>
      </c>
      <c r="C18" s="405">
        <v>0</v>
      </c>
      <c r="D18" s="405">
        <v>20.61542</v>
      </c>
      <c r="E18" s="405">
        <v>0</v>
      </c>
      <c r="F18" s="405">
        <v>20.61542</v>
      </c>
      <c r="G18" s="434">
        <v>52.757429999999999</v>
      </c>
    </row>
    <row r="19" spans="1:7" s="252" customFormat="1" ht="9" customHeight="1">
      <c r="A19" s="433" t="s">
        <v>1014</v>
      </c>
      <c r="B19" s="338"/>
      <c r="C19" s="339">
        <v>0</v>
      </c>
      <c r="D19" s="339">
        <v>20.61542</v>
      </c>
      <c r="E19" s="339">
        <v>0</v>
      </c>
      <c r="F19" s="339">
        <v>20.61542</v>
      </c>
      <c r="G19" s="435">
        <v>52.757429999999999</v>
      </c>
    </row>
    <row r="20" spans="1:7" s="252" customFormat="1" ht="9" customHeight="1">
      <c r="A20" s="432" t="s">
        <v>675</v>
      </c>
      <c r="B20" s="252" t="s">
        <v>77</v>
      </c>
      <c r="C20" s="405">
        <v>0</v>
      </c>
      <c r="D20" s="405">
        <v>0</v>
      </c>
      <c r="E20" s="405">
        <v>2780.31</v>
      </c>
      <c r="F20" s="405">
        <v>2780.31</v>
      </c>
      <c r="G20" s="434">
        <v>6552.5091000000002</v>
      </c>
    </row>
    <row r="21" spans="1:7" s="252" customFormat="1" ht="9" customHeight="1">
      <c r="A21" s="433" t="s">
        <v>676</v>
      </c>
      <c r="B21" s="338"/>
      <c r="C21" s="339">
        <v>0</v>
      </c>
      <c r="D21" s="339">
        <v>0</v>
      </c>
      <c r="E21" s="339">
        <v>2780.31</v>
      </c>
      <c r="F21" s="339">
        <v>2780.31</v>
      </c>
      <c r="G21" s="435">
        <v>6552.5091000000002</v>
      </c>
    </row>
    <row r="22" spans="1:7" s="252" customFormat="1" ht="9" customHeight="1">
      <c r="A22" s="432" t="s">
        <v>677</v>
      </c>
      <c r="B22" s="252" t="s">
        <v>245</v>
      </c>
      <c r="C22" s="405">
        <v>0</v>
      </c>
      <c r="D22" s="405">
        <v>1077.1151924999999</v>
      </c>
      <c r="E22" s="405">
        <v>0</v>
      </c>
      <c r="F22" s="405">
        <v>1077.1151924999999</v>
      </c>
      <c r="G22" s="434">
        <v>1440.5997850000001</v>
      </c>
    </row>
    <row r="23" spans="1:7" s="252" customFormat="1" ht="9" customHeight="1">
      <c r="A23" s="433" t="s">
        <v>678</v>
      </c>
      <c r="B23" s="338"/>
      <c r="C23" s="339">
        <v>0</v>
      </c>
      <c r="D23" s="339">
        <v>1077.1151924999999</v>
      </c>
      <c r="E23" s="339">
        <v>0</v>
      </c>
      <c r="F23" s="339">
        <v>1077.1151924999999</v>
      </c>
      <c r="G23" s="435">
        <v>1440.5997850000001</v>
      </c>
    </row>
    <row r="24" spans="1:7" s="252" customFormat="1" ht="9" customHeight="1">
      <c r="A24" s="432" t="s">
        <v>90</v>
      </c>
      <c r="B24" s="252" t="s">
        <v>246</v>
      </c>
      <c r="C24" s="405">
        <v>72709.825802499996</v>
      </c>
      <c r="D24" s="405">
        <v>0</v>
      </c>
      <c r="E24" s="405">
        <v>0</v>
      </c>
      <c r="F24" s="405">
        <v>72709.825802499996</v>
      </c>
      <c r="G24" s="434">
        <v>152847.67684249999</v>
      </c>
    </row>
    <row r="25" spans="1:7" s="252" customFormat="1" ht="9" customHeight="1">
      <c r="A25" s="432"/>
      <c r="B25" s="252" t="s">
        <v>1023</v>
      </c>
      <c r="C25" s="405">
        <v>30.093599999999999</v>
      </c>
      <c r="D25" s="405"/>
      <c r="E25" s="405"/>
      <c r="F25" s="405">
        <f>C25</f>
        <v>30.093599999999999</v>
      </c>
      <c r="G25" s="434"/>
    </row>
    <row r="26" spans="1:7" s="252" customFormat="1" ht="9" customHeight="1">
      <c r="A26" s="433" t="s">
        <v>378</v>
      </c>
      <c r="B26" s="338"/>
      <c r="C26" s="339">
        <f>SUM(C24:C25)</f>
        <v>72739.919402499989</v>
      </c>
      <c r="D26" s="339">
        <v>0</v>
      </c>
      <c r="E26" s="339">
        <v>0</v>
      </c>
      <c r="F26" s="339">
        <f>SUM(F24:F25)</f>
        <v>72739.919402499989</v>
      </c>
      <c r="G26" s="435">
        <v>152847.67684249999</v>
      </c>
    </row>
    <row r="27" spans="1:7" s="252" customFormat="1" ht="9" customHeight="1">
      <c r="A27" s="432" t="s">
        <v>692</v>
      </c>
      <c r="B27" s="252" t="s">
        <v>399</v>
      </c>
      <c r="C27" s="405">
        <v>0</v>
      </c>
      <c r="D27" s="405">
        <v>21158.633275</v>
      </c>
      <c r="E27" s="405">
        <v>0</v>
      </c>
      <c r="F27" s="405">
        <v>21158.633275</v>
      </c>
      <c r="G27" s="434">
        <v>43550.319940000001</v>
      </c>
    </row>
    <row r="28" spans="1:7" s="252" customFormat="1" ht="9" customHeight="1">
      <c r="A28" s="433" t="s">
        <v>693</v>
      </c>
      <c r="B28" s="338"/>
      <c r="C28" s="339">
        <v>0</v>
      </c>
      <c r="D28" s="339">
        <v>21158.633275</v>
      </c>
      <c r="E28" s="339">
        <v>0</v>
      </c>
      <c r="F28" s="339">
        <v>21158.633275</v>
      </c>
      <c r="G28" s="435">
        <v>43550.319940000001</v>
      </c>
    </row>
    <row r="29" spans="1:7" s="252" customFormat="1" ht="9" customHeight="1">
      <c r="A29" s="432" t="s">
        <v>111</v>
      </c>
      <c r="B29" s="252" t="s">
        <v>247</v>
      </c>
      <c r="C29" s="405">
        <v>0</v>
      </c>
      <c r="D29" s="405">
        <v>115.064295</v>
      </c>
      <c r="E29" s="405">
        <v>0</v>
      </c>
      <c r="F29" s="405">
        <v>115.064295</v>
      </c>
      <c r="G29" s="434">
        <v>933.14918499999999</v>
      </c>
    </row>
    <row r="30" spans="1:7" s="252" customFormat="1" ht="9" customHeight="1">
      <c r="A30" s="433" t="s">
        <v>379</v>
      </c>
      <c r="B30" s="338"/>
      <c r="C30" s="339">
        <v>0</v>
      </c>
      <c r="D30" s="339">
        <v>115.064295</v>
      </c>
      <c r="E30" s="339">
        <v>0</v>
      </c>
      <c r="F30" s="339">
        <v>115.064295</v>
      </c>
      <c r="G30" s="435">
        <v>933.14918499999999</v>
      </c>
    </row>
    <row r="31" spans="1:7" s="252" customFormat="1" ht="9" customHeight="1">
      <c r="A31" s="432" t="s">
        <v>679</v>
      </c>
      <c r="B31" s="252" t="s">
        <v>350</v>
      </c>
      <c r="C31" s="405">
        <v>0</v>
      </c>
      <c r="D31" s="405">
        <v>0</v>
      </c>
      <c r="E31" s="405">
        <v>13372.0950875</v>
      </c>
      <c r="F31" s="405">
        <v>13372.0950875</v>
      </c>
      <c r="G31" s="434">
        <v>28223.864949999999</v>
      </c>
    </row>
    <row r="32" spans="1:7" s="252" customFormat="1" ht="9" customHeight="1">
      <c r="A32" s="432" t="s">
        <v>407</v>
      </c>
      <c r="B32" s="252" t="s">
        <v>64</v>
      </c>
      <c r="C32" s="405">
        <v>0</v>
      </c>
      <c r="D32" s="405">
        <v>0</v>
      </c>
      <c r="E32" s="405">
        <v>5694.6131224999999</v>
      </c>
      <c r="F32" s="405">
        <v>5694.6131224999999</v>
      </c>
      <c r="G32" s="434">
        <v>9223.0974575</v>
      </c>
    </row>
    <row r="33" spans="1:7" s="252" customFormat="1" ht="9" customHeight="1">
      <c r="A33" s="433" t="s">
        <v>680</v>
      </c>
      <c r="B33" s="338"/>
      <c r="C33" s="339">
        <v>0</v>
      </c>
      <c r="D33" s="339">
        <v>0</v>
      </c>
      <c r="E33" s="339">
        <v>19066.708210000001</v>
      </c>
      <c r="F33" s="339">
        <v>19066.708210000001</v>
      </c>
      <c r="G33" s="435">
        <v>37446.962407500003</v>
      </c>
    </row>
    <row r="34" spans="1:7" s="252" customFormat="1" ht="9" customHeight="1">
      <c r="A34" s="432" t="s">
        <v>389</v>
      </c>
      <c r="B34" s="252" t="s">
        <v>248</v>
      </c>
      <c r="C34" s="405">
        <v>7959.9257374999997</v>
      </c>
      <c r="D34" s="405">
        <v>0</v>
      </c>
      <c r="E34" s="405">
        <v>0</v>
      </c>
      <c r="F34" s="405">
        <v>7959.9257374999997</v>
      </c>
      <c r="G34" s="434">
        <v>34491.942107499999</v>
      </c>
    </row>
    <row r="35" spans="1:7" s="252" customFormat="1" ht="9" customHeight="1">
      <c r="A35" s="432" t="s">
        <v>407</v>
      </c>
      <c r="B35" s="252" t="s">
        <v>249</v>
      </c>
      <c r="C35" s="405">
        <v>107738.8394425</v>
      </c>
      <c r="D35" s="405">
        <v>0</v>
      </c>
      <c r="E35" s="405">
        <v>0</v>
      </c>
      <c r="F35" s="405">
        <v>107738.8394425</v>
      </c>
      <c r="G35" s="434">
        <v>225958.01629999999</v>
      </c>
    </row>
    <row r="36" spans="1:7" s="252" customFormat="1" ht="9" customHeight="1">
      <c r="A36" s="432" t="s">
        <v>407</v>
      </c>
      <c r="B36" s="252" t="s">
        <v>250</v>
      </c>
      <c r="C36" s="405">
        <v>20651.952665000001</v>
      </c>
      <c r="D36" s="405">
        <v>0</v>
      </c>
      <c r="E36" s="405">
        <v>0</v>
      </c>
      <c r="F36" s="405">
        <v>20651.952665000001</v>
      </c>
      <c r="G36" s="434">
        <v>43011.092525</v>
      </c>
    </row>
    <row r="37" spans="1:7" s="252" customFormat="1" ht="9" customHeight="1">
      <c r="A37" s="432" t="s">
        <v>407</v>
      </c>
      <c r="B37" s="252" t="s">
        <v>251</v>
      </c>
      <c r="C37" s="405">
        <v>13.880929999999999</v>
      </c>
      <c r="D37" s="405">
        <v>0</v>
      </c>
      <c r="E37" s="405">
        <v>0</v>
      </c>
      <c r="F37" s="405">
        <v>13.880929999999999</v>
      </c>
      <c r="G37" s="434">
        <v>84.991290000000006</v>
      </c>
    </row>
    <row r="38" spans="1:7" s="252" customFormat="1" ht="9" customHeight="1">
      <c r="A38" s="432" t="s">
        <v>407</v>
      </c>
      <c r="B38" s="252" t="s">
        <v>252</v>
      </c>
      <c r="C38" s="405">
        <v>30050.0648325</v>
      </c>
      <c r="D38" s="405">
        <v>0</v>
      </c>
      <c r="E38" s="405">
        <v>0</v>
      </c>
      <c r="F38" s="405">
        <v>30050.0648325</v>
      </c>
      <c r="G38" s="434">
        <v>60607.600924999999</v>
      </c>
    </row>
    <row r="39" spans="1:7" s="252" customFormat="1" ht="9" customHeight="1">
      <c r="A39" s="432" t="s">
        <v>407</v>
      </c>
      <c r="B39" s="252" t="s">
        <v>253</v>
      </c>
      <c r="C39" s="405">
        <v>2363.9965925000001</v>
      </c>
      <c r="D39" s="405">
        <v>0</v>
      </c>
      <c r="E39" s="405">
        <v>0</v>
      </c>
      <c r="F39" s="405">
        <v>2363.9965925000001</v>
      </c>
      <c r="G39" s="434">
        <v>4816.8619724999999</v>
      </c>
    </row>
    <row r="40" spans="1:7" s="252" customFormat="1" ht="9" customHeight="1">
      <c r="A40" s="432" t="s">
        <v>407</v>
      </c>
      <c r="B40" s="252" t="s">
        <v>254</v>
      </c>
      <c r="C40" s="405">
        <v>2111.1247825</v>
      </c>
      <c r="D40" s="405">
        <v>0</v>
      </c>
      <c r="E40" s="405">
        <v>0</v>
      </c>
      <c r="F40" s="405">
        <v>2111.1247825</v>
      </c>
      <c r="G40" s="434">
        <v>7294.1814350000004</v>
      </c>
    </row>
    <row r="41" spans="1:7" s="252" customFormat="1" ht="9" customHeight="1">
      <c r="A41" s="432" t="s">
        <v>407</v>
      </c>
      <c r="B41" s="252" t="s">
        <v>681</v>
      </c>
      <c r="C41" s="405">
        <v>1943.0347975</v>
      </c>
      <c r="D41" s="405">
        <v>0</v>
      </c>
      <c r="E41" s="405">
        <v>0</v>
      </c>
      <c r="F41" s="405">
        <v>1943.0347975</v>
      </c>
      <c r="G41" s="434">
        <v>6829.2482625000002</v>
      </c>
    </row>
    <row r="42" spans="1:7" s="252" customFormat="1" ht="9" customHeight="1">
      <c r="A42" s="432" t="s">
        <v>407</v>
      </c>
      <c r="B42" s="252" t="s">
        <v>255</v>
      </c>
      <c r="C42" s="405">
        <v>1501.2186525</v>
      </c>
      <c r="D42" s="405">
        <v>0</v>
      </c>
      <c r="E42" s="405">
        <v>0</v>
      </c>
      <c r="F42" s="405">
        <v>1501.2186525</v>
      </c>
      <c r="G42" s="434">
        <v>3933.132325</v>
      </c>
    </row>
    <row r="43" spans="1:7" s="252" customFormat="1" ht="9" customHeight="1">
      <c r="A43" s="432" t="s">
        <v>407</v>
      </c>
      <c r="B43" s="252" t="s">
        <v>682</v>
      </c>
      <c r="C43" s="405">
        <v>0</v>
      </c>
      <c r="D43" s="405">
        <v>0</v>
      </c>
      <c r="E43" s="405">
        <v>0</v>
      </c>
      <c r="F43" s="405">
        <v>0</v>
      </c>
      <c r="G43" s="434">
        <v>0</v>
      </c>
    </row>
    <row r="44" spans="1:7" s="252" customFormat="1" ht="9" customHeight="1">
      <c r="A44" s="432" t="s">
        <v>407</v>
      </c>
      <c r="B44" s="252" t="s">
        <v>683</v>
      </c>
      <c r="C44" s="405">
        <v>0</v>
      </c>
      <c r="D44" s="405">
        <v>0</v>
      </c>
      <c r="E44" s="405">
        <v>0</v>
      </c>
      <c r="F44" s="405">
        <v>0</v>
      </c>
      <c r="G44" s="434">
        <v>0</v>
      </c>
    </row>
    <row r="45" spans="1:7" s="252" customFormat="1" ht="9" customHeight="1">
      <c r="A45" s="432" t="s">
        <v>407</v>
      </c>
      <c r="B45" s="252" t="s">
        <v>256</v>
      </c>
      <c r="C45" s="405">
        <v>71657.400825000004</v>
      </c>
      <c r="D45" s="405">
        <v>0</v>
      </c>
      <c r="E45" s="405">
        <v>0</v>
      </c>
      <c r="F45" s="405">
        <v>71657.400825000004</v>
      </c>
      <c r="G45" s="434">
        <v>151983.33449000001</v>
      </c>
    </row>
    <row r="46" spans="1:7" s="252" customFormat="1" ht="9" customHeight="1">
      <c r="A46" s="433" t="s">
        <v>684</v>
      </c>
      <c r="B46" s="338"/>
      <c r="C46" s="339">
        <v>245991.43925749999</v>
      </c>
      <c r="D46" s="339">
        <v>0</v>
      </c>
      <c r="E46" s="339">
        <v>0</v>
      </c>
      <c r="F46" s="339">
        <v>245991.43925749999</v>
      </c>
      <c r="G46" s="435">
        <v>539010.4016325</v>
      </c>
    </row>
    <row r="47" spans="1:7" s="252" customFormat="1" ht="9" customHeight="1">
      <c r="A47" s="432" t="s">
        <v>685</v>
      </c>
      <c r="B47" s="252" t="s">
        <v>180</v>
      </c>
      <c r="C47" s="405">
        <v>0</v>
      </c>
      <c r="D47" s="405">
        <v>0</v>
      </c>
      <c r="E47" s="405">
        <v>4775.3627500000002</v>
      </c>
      <c r="F47" s="405">
        <v>4775.3627500000002</v>
      </c>
      <c r="G47" s="434">
        <v>9836.1532499999994</v>
      </c>
    </row>
    <row r="48" spans="1:7" s="252" customFormat="1" ht="9" customHeight="1">
      <c r="A48" s="433" t="s">
        <v>686</v>
      </c>
      <c r="B48" s="338"/>
      <c r="C48" s="339">
        <v>0</v>
      </c>
      <c r="D48" s="339">
        <v>0</v>
      </c>
      <c r="E48" s="339">
        <v>4775.3627500000002</v>
      </c>
      <c r="F48" s="339">
        <v>4775.3627500000002</v>
      </c>
      <c r="G48" s="435">
        <v>9836.1532499999994</v>
      </c>
    </row>
    <row r="49" spans="1:8" s="252" customFormat="1" ht="9" customHeight="1">
      <c r="A49" s="432" t="s">
        <v>687</v>
      </c>
      <c r="B49" s="252" t="s">
        <v>333</v>
      </c>
      <c r="C49" s="405">
        <v>0</v>
      </c>
      <c r="D49" s="405">
        <v>112667.889435</v>
      </c>
      <c r="E49" s="405">
        <v>0</v>
      </c>
      <c r="F49" s="405">
        <v>112667.889435</v>
      </c>
      <c r="G49" s="434">
        <v>140047.14424749999</v>
      </c>
    </row>
    <row r="50" spans="1:8" s="252" customFormat="1" ht="9" customHeight="1">
      <c r="A50" s="433" t="s">
        <v>688</v>
      </c>
      <c r="B50" s="338"/>
      <c r="C50" s="339">
        <v>0</v>
      </c>
      <c r="D50" s="339">
        <v>112667.889435</v>
      </c>
      <c r="E50" s="339">
        <v>0</v>
      </c>
      <c r="F50" s="339">
        <v>112667.889435</v>
      </c>
      <c r="G50" s="435">
        <v>140047.14424749999</v>
      </c>
    </row>
    <row r="51" spans="1:8" s="252" customFormat="1" ht="9" customHeight="1">
      <c r="A51" s="432" t="s">
        <v>99</v>
      </c>
      <c r="B51" s="252" t="s">
        <v>257</v>
      </c>
      <c r="C51" s="405">
        <v>0</v>
      </c>
      <c r="D51" s="405">
        <v>14150.3827425</v>
      </c>
      <c r="E51" s="405">
        <v>0</v>
      </c>
      <c r="F51" s="405">
        <v>14150.3827425</v>
      </c>
      <c r="G51" s="434">
        <v>18858.044947499999</v>
      </c>
    </row>
    <row r="52" spans="1:8" s="252" customFormat="1" ht="9" customHeight="1">
      <c r="A52" s="433" t="s">
        <v>381</v>
      </c>
      <c r="B52" s="338"/>
      <c r="C52" s="339">
        <v>0</v>
      </c>
      <c r="D52" s="339">
        <v>14150.3827425</v>
      </c>
      <c r="E52" s="339">
        <v>0</v>
      </c>
      <c r="F52" s="339">
        <v>14150.3827425</v>
      </c>
      <c r="G52" s="435">
        <v>18858.044947499999</v>
      </c>
    </row>
    <row r="53" spans="1:8">
      <c r="A53" s="324" t="s">
        <v>326</v>
      </c>
      <c r="B53" s="324"/>
      <c r="C53" s="323">
        <v>3040469.5091525</v>
      </c>
      <c r="D53" s="323">
        <v>1283616.4127599993</v>
      </c>
      <c r="E53" s="323">
        <v>536774.04994499998</v>
      </c>
      <c r="F53" s="918">
        <v>4860859.9718574993</v>
      </c>
      <c r="G53" s="409">
        <v>10036363.332112504</v>
      </c>
    </row>
    <row r="54" spans="1:8">
      <c r="A54" s="324" t="s">
        <v>258</v>
      </c>
      <c r="B54" s="324"/>
      <c r="C54" s="325"/>
      <c r="D54" s="325"/>
      <c r="E54" s="350"/>
      <c r="F54" s="326">
        <f>+'3. Tipo Generación'!D14*1000</f>
        <v>882.96076999999991</v>
      </c>
      <c r="G54" s="410">
        <f>+'4. Tipo Recurso'!$G$19*1000</f>
        <v>882.96076999999991</v>
      </c>
    </row>
    <row r="55" spans="1:8">
      <c r="A55" s="411" t="s">
        <v>259</v>
      </c>
      <c r="B55" s="324"/>
      <c r="C55" s="325"/>
      <c r="D55" s="325"/>
      <c r="E55" s="350"/>
      <c r="F55" s="326">
        <f>+'3. Tipo Generación'!D15*1000</f>
        <v>0</v>
      </c>
      <c r="G55" s="410">
        <f>+'4. Tipo Recurso'!$G$20*1000</f>
        <v>0</v>
      </c>
    </row>
    <row r="56" spans="1:8" ht="6.75" customHeight="1">
      <c r="A56" s="412"/>
      <c r="B56" s="412"/>
      <c r="C56" s="412"/>
      <c r="D56" s="412"/>
      <c r="E56" s="412"/>
      <c r="F56" s="412"/>
      <c r="G56" s="412"/>
    </row>
    <row r="57" spans="1:8" ht="23.25" customHeight="1">
      <c r="A57" s="898" t="s">
        <v>545</v>
      </c>
      <c r="B57" s="898"/>
      <c r="C57" s="898"/>
      <c r="D57" s="898"/>
      <c r="E57" s="898"/>
      <c r="F57" s="898"/>
      <c r="G57" s="898"/>
    </row>
    <row r="58" spans="1:8" ht="9.6" customHeight="1">
      <c r="A58" s="441"/>
      <c r="B58" s="441"/>
      <c r="C58" s="441"/>
      <c r="D58" s="441"/>
      <c r="E58" s="441"/>
      <c r="F58" s="441"/>
      <c r="G58" s="441"/>
      <c r="H58" s="40"/>
    </row>
    <row r="59" spans="1:8" ht="9.6" customHeight="1">
      <c r="B59" s="441"/>
      <c r="C59" s="441"/>
      <c r="D59" s="441"/>
      <c r="E59" s="441"/>
      <c r="F59" s="441"/>
      <c r="G59" s="441"/>
      <c r="H59" s="40"/>
    </row>
    <row r="60" spans="1:8" ht="9.6" customHeight="1">
      <c r="A60" s="441" t="s">
        <v>750</v>
      </c>
      <c r="B60" s="441"/>
      <c r="C60" s="441"/>
      <c r="D60" s="441"/>
      <c r="E60" s="441"/>
      <c r="F60" s="441"/>
      <c r="G60" s="441"/>
      <c r="H60" s="40"/>
    </row>
    <row r="61" spans="1:8" ht="9.6" customHeight="1">
      <c r="A61" s="441" t="s">
        <v>1017</v>
      </c>
      <c r="B61" s="441"/>
      <c r="C61" s="441"/>
      <c r="D61" s="441"/>
      <c r="E61" s="441"/>
      <c r="F61" s="441"/>
      <c r="G61" s="441"/>
      <c r="H61" s="40"/>
    </row>
    <row r="62" spans="1:8" ht="9.6" customHeight="1">
      <c r="A62" s="441"/>
      <c r="B62" s="441"/>
      <c r="C62" s="441"/>
      <c r="D62" s="441"/>
      <c r="E62" s="441"/>
      <c r="F62" s="441"/>
      <c r="G62" s="441"/>
      <c r="H62" s="40"/>
    </row>
    <row r="63" spans="1:8" ht="9.6" customHeight="1">
      <c r="A63" s="441"/>
      <c r="B63" s="441"/>
      <c r="C63" s="441"/>
      <c r="D63" s="441"/>
      <c r="E63" s="441"/>
      <c r="F63" s="441"/>
      <c r="G63" s="441"/>
      <c r="H63" s="40"/>
    </row>
    <row r="64" spans="1:8" ht="9.6" customHeight="1">
      <c r="A64" s="441"/>
      <c r="B64" s="441"/>
      <c r="C64" s="441"/>
      <c r="D64" s="441"/>
      <c r="E64" s="441"/>
      <c r="F64" s="441"/>
      <c r="G64" s="441"/>
      <c r="H64" s="40"/>
    </row>
    <row r="65" spans="1:10" ht="9.6" customHeight="1">
      <c r="A65" s="441"/>
      <c r="B65" s="441"/>
      <c r="C65" s="441"/>
      <c r="D65" s="441"/>
      <c r="E65" s="441"/>
      <c r="F65" s="441"/>
      <c r="G65" s="441"/>
      <c r="H65" s="40"/>
    </row>
    <row r="66" spans="1:10" ht="9.6" customHeight="1">
      <c r="A66" s="441"/>
      <c r="B66" s="441"/>
      <c r="C66" s="441"/>
      <c r="D66" s="441"/>
      <c r="E66" s="441"/>
      <c r="F66" s="441"/>
      <c r="G66" s="441"/>
      <c r="H66" s="40"/>
    </row>
    <row r="67" spans="1:10" ht="9.6" customHeight="1">
      <c r="A67" s="441"/>
      <c r="B67" s="441"/>
      <c r="C67" s="441"/>
      <c r="D67" s="441"/>
      <c r="E67" s="441"/>
      <c r="F67" s="441"/>
      <c r="G67" s="441"/>
      <c r="H67" s="40"/>
    </row>
    <row r="68" spans="1:10" ht="9.6" customHeight="1">
      <c r="A68" s="441"/>
      <c r="B68" s="441"/>
      <c r="C68" s="441"/>
      <c r="D68" s="441"/>
      <c r="E68" s="441"/>
      <c r="F68" s="441"/>
      <c r="G68" s="441"/>
      <c r="H68" s="40"/>
    </row>
    <row r="69" spans="1:10" ht="9.6" customHeight="1">
      <c r="A69" s="441"/>
      <c r="B69" s="441"/>
      <c r="C69" s="441"/>
      <c r="D69" s="441"/>
      <c r="E69" s="441"/>
      <c r="F69" s="441"/>
      <c r="G69" s="441"/>
      <c r="H69" s="40"/>
      <c r="J69" s="708"/>
    </row>
    <row r="70" spans="1:10" ht="9.6" customHeight="1">
      <c r="A70" s="441"/>
      <c r="B70" s="441"/>
      <c r="C70" s="441"/>
      <c r="D70" s="441"/>
      <c r="E70" s="441"/>
      <c r="F70" s="441"/>
      <c r="G70" s="441"/>
      <c r="H70" s="40"/>
      <c r="J70" s="708"/>
    </row>
    <row r="71" spans="1:10" ht="9.6" customHeight="1">
      <c r="A71" s="441"/>
      <c r="B71" s="235"/>
      <c r="C71" s="235"/>
      <c r="D71" s="235"/>
      <c r="E71" s="235"/>
      <c r="F71" s="235"/>
      <c r="J71" s="708"/>
    </row>
    <row r="72" spans="1:10" ht="8.4" customHeight="1">
      <c r="A72" s="252"/>
      <c r="B72" s="235"/>
      <c r="C72" s="235"/>
      <c r="D72" s="235"/>
      <c r="E72" s="235"/>
      <c r="F72" s="235"/>
      <c r="J72" s="708"/>
    </row>
    <row r="73" spans="1:10">
      <c r="A73" s="252"/>
      <c r="B73" s="235"/>
      <c r="C73" s="235"/>
      <c r="D73" s="235"/>
      <c r="E73" s="235"/>
      <c r="F73" s="235"/>
    </row>
    <row r="74" spans="1:10">
      <c r="A74" s="252"/>
      <c r="B74" s="235"/>
      <c r="C74" s="235"/>
      <c r="D74" s="235"/>
      <c r="E74" s="235"/>
      <c r="F74" s="235"/>
    </row>
    <row r="75" spans="1:10">
      <c r="A75" s="252"/>
      <c r="B75" s="235"/>
      <c r="C75" s="235"/>
      <c r="D75" s="235"/>
      <c r="E75" s="235"/>
      <c r="F75" s="235"/>
    </row>
    <row r="76" spans="1:10">
      <c r="A76" s="252"/>
    </row>
    <row r="77" spans="1:10">
      <c r="A77" s="252"/>
    </row>
    <row r="78" spans="1:10">
      <c r="A78" s="252"/>
    </row>
  </sheetData>
  <mergeCells count="6">
    <mergeCell ref="A57:G57"/>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9"/>
  <sheetViews>
    <sheetView showGridLines="0" view="pageBreakPreview" zoomScale="115" zoomScaleNormal="100" zoomScaleSheetLayoutView="115" zoomScalePageLayoutView="115" workbookViewId="0">
      <selection activeCell="K7" sqref="K7"/>
    </sheetView>
  </sheetViews>
  <sheetFormatPr defaultColWidth="9.28515625" defaultRowHeight="9.6"/>
  <cols>
    <col min="1" max="1" width="28.85546875" style="235" customWidth="1"/>
    <col min="2" max="2" width="24.7109375" style="235" customWidth="1"/>
    <col min="3" max="5" width="16.140625" style="235" customWidth="1"/>
    <col min="6" max="6" width="15.140625" style="235" customWidth="1"/>
    <col min="7" max="7" width="9.28515625" style="235"/>
    <col min="8" max="8" width="15.7109375" style="235" customWidth="1"/>
    <col min="9" max="9" width="9.28515625" style="235"/>
    <col min="10" max="11" width="9.28515625" style="235" customWidth="1"/>
    <col min="12" max="16384" width="9.28515625" style="235"/>
  </cols>
  <sheetData>
    <row r="1" spans="1:12" ht="11.25" customHeight="1">
      <c r="A1" s="419" t="s">
        <v>262</v>
      </c>
      <c r="B1" s="420"/>
      <c r="C1" s="420"/>
      <c r="D1" s="420"/>
      <c r="E1" s="420"/>
      <c r="F1" s="420"/>
    </row>
    <row r="2" spans="1:12" s="252" customFormat="1" ht="11.25" customHeight="1">
      <c r="A2" s="899" t="s">
        <v>199</v>
      </c>
      <c r="B2" s="902" t="s">
        <v>50</v>
      </c>
      <c r="C2" s="902" t="s">
        <v>263</v>
      </c>
      <c r="D2" s="902"/>
      <c r="E2" s="902"/>
      <c r="F2" s="905"/>
      <c r="G2" s="286"/>
      <c r="H2" s="286"/>
      <c r="I2" s="286"/>
      <c r="J2" s="286"/>
      <c r="K2" s="286"/>
    </row>
    <row r="3" spans="1:12" s="252" customFormat="1" ht="11.25" customHeight="1">
      <c r="A3" s="900"/>
      <c r="B3" s="903"/>
      <c r="C3" s="327" t="str">
        <f>UPPER('1. Resumen'!Q4)&amp;" "&amp;'1. Resumen'!Q5</f>
        <v>FEBRERO 2025</v>
      </c>
      <c r="D3" s="328" t="str">
        <f>UPPER('1. Resumen'!Q4)&amp;" "&amp;'1. Resumen'!Q5-1</f>
        <v>FEBRERO 2024</v>
      </c>
      <c r="E3" s="328">
        <v>2025</v>
      </c>
      <c r="F3" s="413" t="s">
        <v>752</v>
      </c>
      <c r="G3" s="287"/>
      <c r="H3" s="287"/>
      <c r="I3" s="287"/>
      <c r="J3" s="287"/>
      <c r="K3" s="287"/>
      <c r="L3" s="286"/>
    </row>
    <row r="4" spans="1:12" s="252" customFormat="1" ht="11.25" customHeight="1">
      <c r="A4" s="900"/>
      <c r="B4" s="903"/>
      <c r="C4" s="329" t="s">
        <v>729</v>
      </c>
      <c r="D4" s="329" t="s">
        <v>751</v>
      </c>
      <c r="E4" s="329" t="s">
        <v>729</v>
      </c>
      <c r="F4" s="414" t="s">
        <v>260</v>
      </c>
      <c r="G4" s="288"/>
      <c r="H4" s="288"/>
      <c r="I4" s="289"/>
      <c r="J4" s="289"/>
      <c r="K4" s="289"/>
      <c r="L4" s="286"/>
    </row>
    <row r="5" spans="1:12" s="252" customFormat="1" ht="11.25" customHeight="1">
      <c r="A5" s="901"/>
      <c r="B5" s="904"/>
      <c r="C5" s="330" t="s">
        <v>559</v>
      </c>
      <c r="D5" s="330" t="s">
        <v>559</v>
      </c>
      <c r="E5" s="330" t="s">
        <v>559</v>
      </c>
      <c r="F5" s="415" t="s">
        <v>261</v>
      </c>
      <c r="G5" s="288"/>
      <c r="H5" s="288"/>
      <c r="I5" s="288"/>
      <c r="J5" s="288"/>
      <c r="K5" s="288"/>
      <c r="L5" s="290"/>
    </row>
    <row r="6" spans="1:12" s="252" customFormat="1" ht="7.8" customHeight="1">
      <c r="A6" s="734" t="s">
        <v>571</v>
      </c>
      <c r="B6" s="735" t="s">
        <v>78</v>
      </c>
      <c r="C6" s="736">
        <v>0</v>
      </c>
      <c r="D6" s="736">
        <v>12.91093</v>
      </c>
      <c r="E6" s="736">
        <v>0</v>
      </c>
      <c r="F6" s="737">
        <v>-100</v>
      </c>
      <c r="G6" s="288"/>
      <c r="H6" s="448"/>
      <c r="I6" s="448"/>
      <c r="J6" s="288"/>
      <c r="K6" s="288"/>
      <c r="L6" s="291"/>
    </row>
    <row r="7" spans="1:12" s="252" customFormat="1" ht="7.8" customHeight="1">
      <c r="A7" s="726" t="s">
        <v>572</v>
      </c>
      <c r="B7" s="727"/>
      <c r="C7" s="728">
        <v>0</v>
      </c>
      <c r="D7" s="728">
        <v>12.91093</v>
      </c>
      <c r="E7" s="728">
        <v>0</v>
      </c>
      <c r="F7" s="738">
        <v>0</v>
      </c>
      <c r="G7" s="288"/>
      <c r="H7" s="448"/>
      <c r="I7" s="448"/>
      <c r="J7" s="288"/>
      <c r="K7" s="288"/>
      <c r="L7" s="292"/>
    </row>
    <row r="8" spans="1:12" s="252" customFormat="1" ht="7.8" customHeight="1">
      <c r="A8" s="722" t="s">
        <v>573</v>
      </c>
      <c r="B8" s="723" t="s">
        <v>81</v>
      </c>
      <c r="C8" s="724">
        <v>12.38256</v>
      </c>
      <c r="D8" s="724">
        <v>0</v>
      </c>
      <c r="E8" s="724">
        <v>12.38256</v>
      </c>
      <c r="F8" s="739">
        <v>0</v>
      </c>
      <c r="G8" s="288"/>
      <c r="H8" s="448"/>
      <c r="I8" s="448"/>
      <c r="J8" s="288"/>
      <c r="K8" s="288"/>
      <c r="L8" s="293"/>
    </row>
    <row r="9" spans="1:12" s="252" customFormat="1" ht="7.8" customHeight="1">
      <c r="A9" s="726" t="s">
        <v>574</v>
      </c>
      <c r="B9" s="727"/>
      <c r="C9" s="728">
        <v>12.38256</v>
      </c>
      <c r="D9" s="728">
        <v>0</v>
      </c>
      <c r="E9" s="728">
        <v>12.38256</v>
      </c>
      <c r="F9" s="738">
        <v>0</v>
      </c>
      <c r="G9" s="288"/>
      <c r="H9" s="448"/>
      <c r="I9" s="448"/>
      <c r="J9" s="288"/>
      <c r="K9" s="288"/>
      <c r="L9" s="292"/>
    </row>
    <row r="10" spans="1:12" s="252" customFormat="1" ht="7.8" customHeight="1">
      <c r="A10" s="730" t="s">
        <v>575</v>
      </c>
      <c r="B10" s="731" t="s">
        <v>354</v>
      </c>
      <c r="C10" s="732">
        <v>5.0342399999999996</v>
      </c>
      <c r="D10" s="732">
        <v>7.7616699999999996</v>
      </c>
      <c r="E10" s="732">
        <v>5.0342399999999996</v>
      </c>
      <c r="F10" s="740">
        <v>-35.139731526849246</v>
      </c>
      <c r="G10" s="288"/>
      <c r="H10" s="448"/>
      <c r="I10" s="448"/>
      <c r="J10" s="288"/>
      <c r="K10" s="288"/>
      <c r="L10" s="292"/>
    </row>
    <row r="11" spans="1:12" s="252" customFormat="1" ht="7.8" customHeight="1">
      <c r="A11" s="726" t="s">
        <v>576</v>
      </c>
      <c r="B11" s="727"/>
      <c r="C11" s="728">
        <v>5.0342399999999996</v>
      </c>
      <c r="D11" s="728">
        <v>7.7616699999999996</v>
      </c>
      <c r="E11" s="728">
        <v>5.0342399999999996</v>
      </c>
      <c r="F11" s="738">
        <v>-35.139731526849246</v>
      </c>
      <c r="G11" s="288"/>
      <c r="H11" s="448"/>
      <c r="I11" s="448"/>
      <c r="J11" s="288"/>
      <c r="K11" s="288"/>
      <c r="L11" s="292"/>
    </row>
    <row r="12" spans="1:12" s="252" customFormat="1" ht="7.8" customHeight="1">
      <c r="A12" s="730" t="s">
        <v>577</v>
      </c>
      <c r="B12" s="731" t="s">
        <v>325</v>
      </c>
      <c r="C12" s="732">
        <v>20.37632</v>
      </c>
      <c r="D12" s="732">
        <v>20.40146</v>
      </c>
      <c r="E12" s="732">
        <v>20.37632</v>
      </c>
      <c r="F12" s="740">
        <v>-0.12322647496796797</v>
      </c>
      <c r="G12" s="288"/>
      <c r="H12" s="448"/>
      <c r="I12" s="448"/>
      <c r="J12" s="288"/>
      <c r="K12" s="288"/>
      <c r="L12" s="292"/>
    </row>
    <row r="13" spans="1:12" s="252" customFormat="1" ht="7.8" customHeight="1">
      <c r="A13" s="726" t="s">
        <v>578</v>
      </c>
      <c r="B13" s="727"/>
      <c r="C13" s="728">
        <v>20.37632</v>
      </c>
      <c r="D13" s="728">
        <v>20.40146</v>
      </c>
      <c r="E13" s="728">
        <v>20.37632</v>
      </c>
      <c r="F13" s="738">
        <v>-0.12322647496796797</v>
      </c>
      <c r="G13" s="288"/>
      <c r="H13" s="448"/>
      <c r="I13" s="448"/>
      <c r="J13" s="288"/>
      <c r="K13" s="288"/>
      <c r="L13" s="292"/>
    </row>
    <row r="14" spans="1:12" s="252" customFormat="1" ht="7.8" customHeight="1">
      <c r="A14" s="730" t="s">
        <v>555</v>
      </c>
      <c r="B14" s="731" t="s">
        <v>579</v>
      </c>
      <c r="C14" s="732">
        <v>2.0679099999999999</v>
      </c>
      <c r="D14" s="732">
        <v>0</v>
      </c>
      <c r="E14" s="732">
        <v>2.0679099999999999</v>
      </c>
      <c r="F14" s="740">
        <v>0</v>
      </c>
      <c r="G14" s="288"/>
      <c r="H14" s="448"/>
      <c r="I14" s="448"/>
      <c r="J14" s="288"/>
      <c r="K14" s="288"/>
      <c r="L14" s="292"/>
    </row>
    <row r="15" spans="1:12" s="252" customFormat="1" ht="7.8" customHeight="1">
      <c r="A15" s="726" t="s">
        <v>580</v>
      </c>
      <c r="B15" s="727"/>
      <c r="C15" s="728">
        <v>2.0679099999999999</v>
      </c>
      <c r="D15" s="728">
        <v>0</v>
      </c>
      <c r="E15" s="728">
        <v>2.0679099999999999</v>
      </c>
      <c r="F15" s="738">
        <v>0</v>
      </c>
      <c r="G15" s="288"/>
      <c r="H15" s="448"/>
      <c r="I15" s="448"/>
      <c r="J15" s="288"/>
      <c r="K15" s="288"/>
      <c r="L15" s="292"/>
    </row>
    <row r="16" spans="1:12" s="252" customFormat="1" ht="7.8" customHeight="1">
      <c r="A16" s="730" t="s">
        <v>581</v>
      </c>
      <c r="B16" s="731" t="s">
        <v>70</v>
      </c>
      <c r="C16" s="732">
        <v>0</v>
      </c>
      <c r="D16" s="732">
        <v>0.72951999999999995</v>
      </c>
      <c r="E16" s="732">
        <v>0</v>
      </c>
      <c r="F16" s="740">
        <v>-100</v>
      </c>
      <c r="G16" s="288"/>
      <c r="H16" s="448"/>
      <c r="I16" s="448"/>
      <c r="J16" s="288"/>
      <c r="K16" s="288"/>
      <c r="L16" s="292"/>
    </row>
    <row r="17" spans="1:16" s="252" customFormat="1" ht="7.8" customHeight="1">
      <c r="A17" s="726" t="s">
        <v>582</v>
      </c>
      <c r="B17" s="727"/>
      <c r="C17" s="728">
        <v>0</v>
      </c>
      <c r="D17" s="728">
        <v>0.72951999999999995</v>
      </c>
      <c r="E17" s="728">
        <v>0</v>
      </c>
      <c r="F17" s="738">
        <v>-100</v>
      </c>
      <c r="G17" s="288"/>
      <c r="H17" s="448"/>
      <c r="I17" s="448"/>
      <c r="J17" s="288"/>
      <c r="K17" s="288"/>
      <c r="L17" s="292"/>
    </row>
    <row r="18" spans="1:16" s="252" customFormat="1" ht="7.8" customHeight="1">
      <c r="A18" s="730" t="s">
        <v>583</v>
      </c>
      <c r="B18" s="731" t="s">
        <v>352</v>
      </c>
      <c r="C18" s="732">
        <v>0</v>
      </c>
      <c r="D18" s="732">
        <v>9.25</v>
      </c>
      <c r="E18" s="732">
        <v>0</v>
      </c>
      <c r="F18" s="740">
        <v>-100</v>
      </c>
      <c r="G18" s="288"/>
      <c r="H18" s="448"/>
      <c r="I18" s="448"/>
      <c r="J18" s="288"/>
      <c r="K18" s="288"/>
      <c r="L18" s="292"/>
    </row>
    <row r="19" spans="1:16" s="252" customFormat="1" ht="7.8" customHeight="1">
      <c r="A19" s="726" t="s">
        <v>584</v>
      </c>
      <c r="B19" s="727"/>
      <c r="C19" s="728">
        <v>0</v>
      </c>
      <c r="D19" s="728">
        <v>9.25</v>
      </c>
      <c r="E19" s="728">
        <v>0</v>
      </c>
      <c r="F19" s="738">
        <v>-100</v>
      </c>
      <c r="G19" s="288"/>
      <c r="H19" s="448"/>
      <c r="I19" s="448"/>
      <c r="J19" s="288"/>
      <c r="K19" s="288"/>
      <c r="L19" s="293"/>
    </row>
    <row r="20" spans="1:16" s="252" customFormat="1" ht="7.8" customHeight="1">
      <c r="A20" s="730" t="s">
        <v>89</v>
      </c>
      <c r="B20" s="731" t="s">
        <v>585</v>
      </c>
      <c r="C20" s="732">
        <v>132.6592</v>
      </c>
      <c r="D20" s="732">
        <v>222.90008</v>
      </c>
      <c r="E20" s="732">
        <v>132.6592</v>
      </c>
      <c r="F20" s="740">
        <v>-40.484902472892792</v>
      </c>
      <c r="G20" s="288"/>
      <c r="H20" s="448"/>
      <c r="I20" s="448"/>
      <c r="J20" s="288"/>
      <c r="K20" s="288"/>
      <c r="L20" s="293"/>
    </row>
    <row r="21" spans="1:16" s="252" customFormat="1" ht="7.8" customHeight="1">
      <c r="A21" s="726" t="s">
        <v>370</v>
      </c>
      <c r="B21" s="727"/>
      <c r="C21" s="728">
        <v>132.6592</v>
      </c>
      <c r="D21" s="728">
        <v>222.90008</v>
      </c>
      <c r="E21" s="728">
        <v>132.6592</v>
      </c>
      <c r="F21" s="738">
        <v>-40.484902472892792</v>
      </c>
      <c r="G21" s="288"/>
      <c r="H21" s="448"/>
      <c r="I21" s="448"/>
      <c r="J21" s="288"/>
      <c r="K21" s="288"/>
      <c r="L21" s="293"/>
    </row>
    <row r="22" spans="1:16" s="252" customFormat="1" ht="7.8" customHeight="1">
      <c r="A22" s="730" t="s">
        <v>586</v>
      </c>
      <c r="B22" s="731" t="s">
        <v>240</v>
      </c>
      <c r="C22" s="732">
        <v>19.657350000000001</v>
      </c>
      <c r="D22" s="732">
        <v>19.633369999999999</v>
      </c>
      <c r="E22" s="732">
        <v>19.657350000000001</v>
      </c>
      <c r="F22" s="740">
        <v>0.12213899091190152</v>
      </c>
      <c r="G22" s="288"/>
      <c r="H22" s="448"/>
      <c r="I22" s="448"/>
      <c r="J22" s="288"/>
      <c r="K22" s="288"/>
      <c r="L22" s="288"/>
      <c r="M22" s="288"/>
      <c r="N22" s="288"/>
      <c r="O22" s="288"/>
      <c r="P22" s="288"/>
    </row>
    <row r="23" spans="1:16" s="252" customFormat="1" ht="7.8" customHeight="1">
      <c r="A23" s="726" t="s">
        <v>587</v>
      </c>
      <c r="B23" s="727"/>
      <c r="C23" s="728">
        <v>19.657350000000001</v>
      </c>
      <c r="D23" s="728">
        <v>19.633369999999999</v>
      </c>
      <c r="E23" s="728">
        <v>19.657350000000001</v>
      </c>
      <c r="F23" s="738">
        <v>0.12213899091190152</v>
      </c>
      <c r="G23" s="288"/>
      <c r="H23" s="448"/>
      <c r="I23" s="448"/>
      <c r="J23" s="288"/>
      <c r="K23" s="288"/>
      <c r="L23" s="288"/>
      <c r="M23" s="288"/>
      <c r="N23" s="288"/>
      <c r="O23" s="288"/>
      <c r="P23" s="288"/>
    </row>
    <row r="24" spans="1:16" s="252" customFormat="1" ht="7.8" customHeight="1">
      <c r="A24" s="730" t="s">
        <v>588</v>
      </c>
      <c r="B24" s="731" t="s">
        <v>384</v>
      </c>
      <c r="C24" s="732">
        <v>0.69854000000000005</v>
      </c>
      <c r="D24" s="732">
        <v>1.0904199999999999</v>
      </c>
      <c r="E24" s="732">
        <v>0.69854000000000005</v>
      </c>
      <c r="F24" s="740">
        <v>-35.938445736505201</v>
      </c>
      <c r="G24" s="288"/>
      <c r="H24" s="448"/>
      <c r="I24" s="448"/>
      <c r="J24" s="288"/>
      <c r="K24" s="288"/>
      <c r="L24" s="292"/>
    </row>
    <row r="25" spans="1:16" s="252" customFormat="1" ht="7.8" customHeight="1">
      <c r="A25" s="730" t="s">
        <v>407</v>
      </c>
      <c r="B25" s="731" t="s">
        <v>385</v>
      </c>
      <c r="C25" s="732">
        <v>1.5225</v>
      </c>
      <c r="D25" s="732">
        <v>1.65591</v>
      </c>
      <c r="E25" s="732">
        <v>1.5225</v>
      </c>
      <c r="F25" s="740">
        <v>-8.0565972788376179</v>
      </c>
      <c r="G25" s="288"/>
      <c r="H25" s="448"/>
      <c r="I25" s="448"/>
      <c r="J25" s="288"/>
      <c r="K25" s="288"/>
      <c r="L25" s="292"/>
    </row>
    <row r="26" spans="1:16" s="252" customFormat="1" ht="7.8" customHeight="1">
      <c r="A26" s="726" t="s">
        <v>589</v>
      </c>
      <c r="B26" s="727"/>
      <c r="C26" s="728">
        <v>2.2210399999999999</v>
      </c>
      <c r="D26" s="728">
        <v>2.7463299999999999</v>
      </c>
      <c r="E26" s="728">
        <v>2.2210399999999999</v>
      </c>
      <c r="F26" s="738">
        <v>-19.126980370166731</v>
      </c>
      <c r="G26" s="288"/>
      <c r="H26" s="448"/>
      <c r="I26" s="448"/>
      <c r="J26" s="288"/>
      <c r="K26" s="288"/>
      <c r="L26" s="292"/>
    </row>
    <row r="27" spans="1:16" s="252" customFormat="1" ht="7.8" customHeight="1">
      <c r="A27" s="730" t="s">
        <v>590</v>
      </c>
      <c r="B27" s="731" t="s">
        <v>209</v>
      </c>
      <c r="C27" s="732">
        <v>150.48699999999999</v>
      </c>
      <c r="D27" s="732">
        <v>149.33099999999999</v>
      </c>
      <c r="E27" s="732">
        <v>150.48699999999999</v>
      </c>
      <c r="F27" s="740">
        <v>0.774119238470244</v>
      </c>
      <c r="G27" s="288"/>
      <c r="H27" s="448"/>
      <c r="I27" s="448"/>
      <c r="J27" s="288"/>
      <c r="K27" s="288"/>
      <c r="L27" s="292"/>
    </row>
    <row r="28" spans="1:16" s="252" customFormat="1" ht="7.8" customHeight="1">
      <c r="A28" s="730" t="s">
        <v>407</v>
      </c>
      <c r="B28" s="731" t="s">
        <v>210</v>
      </c>
      <c r="C28" s="732">
        <v>42.231999999999999</v>
      </c>
      <c r="D28" s="732">
        <v>41.981999999999999</v>
      </c>
      <c r="E28" s="732">
        <v>42.231999999999999</v>
      </c>
      <c r="F28" s="740">
        <v>0.59549330665523326</v>
      </c>
      <c r="G28" s="288"/>
      <c r="H28" s="448"/>
      <c r="I28" s="448"/>
      <c r="J28" s="288"/>
      <c r="K28" s="288"/>
      <c r="L28" s="292"/>
    </row>
    <row r="29" spans="1:16" s="252" customFormat="1" ht="7.8" customHeight="1">
      <c r="A29" s="726" t="s">
        <v>591</v>
      </c>
      <c r="B29" s="727"/>
      <c r="C29" s="728">
        <v>192.71899999999999</v>
      </c>
      <c r="D29" s="728">
        <v>191.31299999999999</v>
      </c>
      <c r="E29" s="728">
        <v>192.71899999999999</v>
      </c>
      <c r="F29" s="738">
        <v>0.73492130696816216</v>
      </c>
      <c r="G29" s="288"/>
      <c r="H29" s="448"/>
      <c r="I29" s="448"/>
      <c r="J29" s="288"/>
      <c r="K29" s="288"/>
      <c r="L29" s="292"/>
    </row>
    <row r="30" spans="1:16" s="252" customFormat="1" ht="7.8" customHeight="1">
      <c r="A30" s="730" t="s">
        <v>592</v>
      </c>
      <c r="B30" s="731" t="s">
        <v>399</v>
      </c>
      <c r="C30" s="732">
        <v>31.895959999999999</v>
      </c>
      <c r="D30" s="732">
        <v>1.82507</v>
      </c>
      <c r="E30" s="732">
        <v>31.895959999999999</v>
      </c>
      <c r="F30" s="740">
        <v>1647.6568022048466</v>
      </c>
      <c r="G30" s="288"/>
      <c r="H30" s="448"/>
      <c r="I30" s="448"/>
      <c r="J30" s="288"/>
      <c r="K30" s="288"/>
      <c r="L30" s="292"/>
    </row>
    <row r="31" spans="1:16" s="252" customFormat="1" ht="7.8" customHeight="1">
      <c r="A31" s="726" t="s">
        <v>593</v>
      </c>
      <c r="B31" s="727"/>
      <c r="C31" s="728">
        <v>0</v>
      </c>
      <c r="D31" s="728">
        <v>1.82507</v>
      </c>
      <c r="E31" s="728">
        <v>0</v>
      </c>
      <c r="F31" s="738">
        <v>0</v>
      </c>
      <c r="G31" s="288"/>
      <c r="H31" s="448"/>
      <c r="I31" s="448"/>
      <c r="J31" s="288"/>
      <c r="K31" s="288"/>
      <c r="L31" s="292"/>
    </row>
    <row r="32" spans="1:16" s="252" customFormat="1" ht="7.8" customHeight="1">
      <c r="A32" s="730" t="s">
        <v>594</v>
      </c>
      <c r="B32" s="731" t="s">
        <v>386</v>
      </c>
      <c r="C32" s="732">
        <v>0</v>
      </c>
      <c r="D32" s="732">
        <v>0</v>
      </c>
      <c r="E32" s="732">
        <v>0</v>
      </c>
      <c r="F32" s="740">
        <v>0</v>
      </c>
      <c r="G32" s="288"/>
      <c r="H32" s="448"/>
      <c r="I32" s="448"/>
      <c r="J32" s="288"/>
      <c r="K32" s="288"/>
      <c r="L32" s="292"/>
    </row>
    <row r="33" spans="1:12" s="252" customFormat="1" ht="7.8" customHeight="1">
      <c r="A33" s="726" t="s">
        <v>595</v>
      </c>
      <c r="B33" s="727"/>
      <c r="C33" s="728">
        <v>0</v>
      </c>
      <c r="D33" s="728">
        <v>0</v>
      </c>
      <c r="E33" s="728">
        <v>0</v>
      </c>
      <c r="F33" s="738">
        <v>0</v>
      </c>
      <c r="G33" s="288"/>
      <c r="H33" s="448"/>
      <c r="I33" s="448"/>
      <c r="J33" s="288"/>
      <c r="K33" s="288"/>
      <c r="L33" s="294"/>
    </row>
    <row r="34" spans="1:12" s="252" customFormat="1" ht="7.8" customHeight="1">
      <c r="A34" s="730" t="s">
        <v>86</v>
      </c>
      <c r="B34" s="731" t="s">
        <v>211</v>
      </c>
      <c r="C34" s="732">
        <v>1.46828</v>
      </c>
      <c r="D34" s="732">
        <v>0</v>
      </c>
      <c r="E34" s="732">
        <v>1.46828</v>
      </c>
      <c r="F34" s="740">
        <v>0</v>
      </c>
      <c r="G34" s="288"/>
      <c r="H34" s="448"/>
      <c r="I34" s="448"/>
      <c r="J34" s="288"/>
      <c r="K34" s="288"/>
      <c r="L34" s="294"/>
    </row>
    <row r="35" spans="1:12" s="252" customFormat="1" ht="7.8" customHeight="1">
      <c r="A35" s="730" t="s">
        <v>407</v>
      </c>
      <c r="B35" s="731" t="s">
        <v>212</v>
      </c>
      <c r="C35" s="732">
        <v>0.42104000000000003</v>
      </c>
      <c r="D35" s="732">
        <v>0</v>
      </c>
      <c r="E35" s="732">
        <v>0.42104000000000003</v>
      </c>
      <c r="F35" s="740">
        <v>0</v>
      </c>
      <c r="G35" s="288"/>
      <c r="H35" s="448"/>
      <c r="I35" s="448"/>
      <c r="J35" s="288"/>
      <c r="K35" s="288"/>
      <c r="L35" s="294"/>
    </row>
    <row r="36" spans="1:12" s="252" customFormat="1" ht="7.8" customHeight="1">
      <c r="A36" s="730" t="s">
        <v>407</v>
      </c>
      <c r="B36" s="731" t="s">
        <v>213</v>
      </c>
      <c r="C36" s="732">
        <v>4.5569499999999996</v>
      </c>
      <c r="D36" s="732">
        <v>0</v>
      </c>
      <c r="E36" s="732">
        <v>4.5569499999999996</v>
      </c>
      <c r="F36" s="740">
        <v>0</v>
      </c>
      <c r="G36" s="288"/>
      <c r="H36" s="448"/>
      <c r="I36" s="448"/>
      <c r="J36" s="288"/>
      <c r="K36" s="288"/>
      <c r="L36" s="292"/>
    </row>
    <row r="37" spans="1:12" s="252" customFormat="1" ht="7.8" customHeight="1">
      <c r="A37" s="730" t="s">
        <v>407</v>
      </c>
      <c r="B37" s="731" t="s">
        <v>214</v>
      </c>
      <c r="C37" s="732">
        <v>0</v>
      </c>
      <c r="D37" s="732">
        <v>0</v>
      </c>
      <c r="E37" s="732">
        <v>0</v>
      </c>
      <c r="F37" s="740">
        <v>0</v>
      </c>
      <c r="G37" s="288"/>
      <c r="H37" s="448"/>
      <c r="I37" s="448"/>
      <c r="J37" s="288"/>
      <c r="K37" s="288"/>
      <c r="L37" s="292"/>
    </row>
    <row r="38" spans="1:12" s="252" customFormat="1" ht="7.8" customHeight="1">
      <c r="A38" s="730" t="s">
        <v>407</v>
      </c>
      <c r="B38" s="731" t="s">
        <v>215</v>
      </c>
      <c r="C38" s="732">
        <v>143.30529000000001</v>
      </c>
      <c r="D38" s="732">
        <v>64.243679999999998</v>
      </c>
      <c r="E38" s="732">
        <v>143.30529000000001</v>
      </c>
      <c r="F38" s="740">
        <v>123.06519489543562</v>
      </c>
      <c r="G38" s="288"/>
      <c r="H38" s="448"/>
      <c r="I38" s="448"/>
      <c r="J38" s="288"/>
      <c r="K38" s="288"/>
      <c r="L38" s="292"/>
    </row>
    <row r="39" spans="1:12" s="252" customFormat="1" ht="7.8" customHeight="1">
      <c r="A39" s="730" t="s">
        <v>407</v>
      </c>
      <c r="B39" s="731" t="s">
        <v>216</v>
      </c>
      <c r="C39" s="732">
        <v>6.4408500000000002</v>
      </c>
      <c r="D39" s="732">
        <v>0</v>
      </c>
      <c r="E39" s="732">
        <v>6.4408500000000002</v>
      </c>
      <c r="F39" s="740">
        <v>0</v>
      </c>
      <c r="G39" s="288"/>
      <c r="H39" s="448"/>
      <c r="I39" s="448"/>
      <c r="J39" s="288"/>
      <c r="K39" s="288"/>
      <c r="L39" s="294"/>
    </row>
    <row r="40" spans="1:12" s="252" customFormat="1" ht="7.8" customHeight="1">
      <c r="A40" s="730" t="s">
        <v>407</v>
      </c>
      <c r="B40" s="731" t="s">
        <v>217</v>
      </c>
      <c r="C40" s="732">
        <v>0</v>
      </c>
      <c r="D40" s="732">
        <v>0</v>
      </c>
      <c r="E40" s="732">
        <v>0</v>
      </c>
      <c r="F40" s="740">
        <v>0</v>
      </c>
      <c r="G40" s="288"/>
      <c r="H40" s="448"/>
      <c r="I40" s="448"/>
      <c r="J40" s="288"/>
      <c r="K40" s="288"/>
      <c r="L40" s="292"/>
    </row>
    <row r="41" spans="1:12" s="252" customFormat="1" ht="7.8" customHeight="1">
      <c r="A41" s="730" t="s">
        <v>407</v>
      </c>
      <c r="B41" s="731" t="s">
        <v>218</v>
      </c>
      <c r="C41" s="732">
        <v>0</v>
      </c>
      <c r="D41" s="732">
        <v>0</v>
      </c>
      <c r="E41" s="732">
        <v>0</v>
      </c>
      <c r="F41" s="740">
        <v>0</v>
      </c>
      <c r="G41" s="288"/>
      <c r="H41" s="448"/>
      <c r="I41" s="448"/>
      <c r="J41" s="288"/>
      <c r="K41" s="288"/>
      <c r="L41" s="292"/>
    </row>
    <row r="42" spans="1:12" s="252" customFormat="1" ht="7.8" customHeight="1">
      <c r="A42" s="726" t="s">
        <v>371</v>
      </c>
      <c r="B42" s="727"/>
      <c r="C42" s="728">
        <v>156.19241</v>
      </c>
      <c r="D42" s="728">
        <v>64.243679999999998</v>
      </c>
      <c r="E42" s="728">
        <v>156.19241</v>
      </c>
      <c r="F42" s="738">
        <v>143.12494240678618</v>
      </c>
      <c r="G42" s="288"/>
      <c r="H42" s="448"/>
      <c r="I42" s="448"/>
      <c r="J42" s="288"/>
      <c r="K42" s="288"/>
      <c r="L42" s="292"/>
    </row>
    <row r="43" spans="1:12" s="252" customFormat="1" ht="7.8" customHeight="1">
      <c r="A43" s="730" t="s">
        <v>596</v>
      </c>
      <c r="B43" s="731" t="s">
        <v>60</v>
      </c>
      <c r="C43" s="732">
        <v>9.7926599999999997</v>
      </c>
      <c r="D43" s="732">
        <v>9.7495100000000008</v>
      </c>
      <c r="E43" s="732">
        <v>9.7926599999999997</v>
      </c>
      <c r="F43" s="740">
        <v>0.44258634536504909</v>
      </c>
      <c r="G43" s="288"/>
      <c r="H43" s="448"/>
      <c r="I43" s="448"/>
      <c r="J43" s="288"/>
      <c r="K43" s="288"/>
      <c r="L43" s="292"/>
    </row>
    <row r="44" spans="1:12" s="252" customFormat="1" ht="7.8" customHeight="1">
      <c r="A44" s="730" t="s">
        <v>407</v>
      </c>
      <c r="B44" s="731" t="s">
        <v>59</v>
      </c>
      <c r="C44" s="732">
        <v>9.8977199999999996</v>
      </c>
      <c r="D44" s="732">
        <v>9.9168500000000002</v>
      </c>
      <c r="E44" s="732">
        <v>9.8977199999999996</v>
      </c>
      <c r="F44" s="740">
        <v>-0.19290399673283351</v>
      </c>
      <c r="G44" s="288"/>
      <c r="H44" s="448"/>
      <c r="I44" s="448"/>
      <c r="J44" s="288"/>
      <c r="K44" s="288"/>
      <c r="L44" s="292"/>
    </row>
    <row r="45" spans="1:12" s="252" customFormat="1" ht="7.8" customHeight="1">
      <c r="A45" s="730" t="s">
        <v>407</v>
      </c>
      <c r="B45" s="731" t="s">
        <v>55</v>
      </c>
      <c r="C45" s="732">
        <v>20.167290000000001</v>
      </c>
      <c r="D45" s="732">
        <v>20.029640000000001</v>
      </c>
      <c r="E45" s="732">
        <v>20.167290000000001</v>
      </c>
      <c r="F45" s="740">
        <v>0.6872315228830872</v>
      </c>
      <c r="G45" s="288"/>
      <c r="H45" s="448"/>
      <c r="I45" s="448"/>
      <c r="J45" s="288"/>
      <c r="K45" s="288"/>
      <c r="L45" s="292"/>
    </row>
    <row r="46" spans="1:12" s="252" customFormat="1" ht="7.8" customHeight="1">
      <c r="A46" s="730" t="s">
        <v>407</v>
      </c>
      <c r="B46" s="731" t="s">
        <v>53</v>
      </c>
      <c r="C46" s="732">
        <v>20.231020000000001</v>
      </c>
      <c r="D46" s="732">
        <v>20.07771</v>
      </c>
      <c r="E46" s="732">
        <v>20.231020000000001</v>
      </c>
      <c r="F46" s="740">
        <v>0.76358309787321366</v>
      </c>
      <c r="G46" s="288"/>
      <c r="H46" s="448"/>
      <c r="I46" s="448"/>
      <c r="J46" s="288"/>
      <c r="K46" s="288"/>
      <c r="L46" s="292"/>
    </row>
    <row r="47" spans="1:12" s="252" customFormat="1" ht="7.8" customHeight="1">
      <c r="A47" s="730" t="s">
        <v>407</v>
      </c>
      <c r="B47" s="731" t="s">
        <v>63</v>
      </c>
      <c r="C47" s="732">
        <v>5.9458000000000002</v>
      </c>
      <c r="D47" s="732">
        <v>6.3381499999999997</v>
      </c>
      <c r="E47" s="732">
        <v>5.9458000000000002</v>
      </c>
      <c r="F47" s="740">
        <v>-6.1902921199403611</v>
      </c>
      <c r="G47" s="288"/>
      <c r="H47" s="448"/>
      <c r="I47" s="448"/>
      <c r="J47" s="288"/>
      <c r="K47" s="288"/>
      <c r="L47" s="292"/>
    </row>
    <row r="48" spans="1:12" s="252" customFormat="1" ht="7.8" customHeight="1">
      <c r="A48" s="730" t="s">
        <v>407</v>
      </c>
      <c r="B48" s="731" t="s">
        <v>62</v>
      </c>
      <c r="C48" s="732">
        <v>6.5827499999999999</v>
      </c>
      <c r="D48" s="732">
        <v>6.9188099999999997</v>
      </c>
      <c r="E48" s="732">
        <v>6.5827499999999999</v>
      </c>
      <c r="F48" s="740">
        <v>-4.8571936503531683</v>
      </c>
      <c r="G48" s="288"/>
      <c r="H48" s="448"/>
      <c r="I48" s="448"/>
      <c r="J48" s="288"/>
      <c r="K48" s="288"/>
      <c r="L48" s="292"/>
    </row>
    <row r="49" spans="1:12" s="252" customFormat="1" ht="7.8" customHeight="1">
      <c r="A49" s="726" t="s">
        <v>597</v>
      </c>
      <c r="B49" s="727"/>
      <c r="C49" s="728">
        <v>72.617239999999995</v>
      </c>
      <c r="D49" s="728">
        <v>73.030670000000001</v>
      </c>
      <c r="E49" s="728">
        <v>72.617239999999995</v>
      </c>
      <c r="F49" s="738">
        <v>-0.56610462426265573</v>
      </c>
      <c r="G49" s="288"/>
      <c r="H49" s="448"/>
      <c r="I49" s="448"/>
      <c r="J49" s="288"/>
      <c r="K49" s="288"/>
      <c r="L49" s="292"/>
    </row>
    <row r="50" spans="1:12" s="252" customFormat="1" ht="7.8" customHeight="1">
      <c r="A50" s="730" t="s">
        <v>87</v>
      </c>
      <c r="B50" s="731" t="s">
        <v>219</v>
      </c>
      <c r="C50" s="732">
        <v>164.76599999999999</v>
      </c>
      <c r="D50" s="732">
        <v>167.279</v>
      </c>
      <c r="E50" s="732">
        <v>164.76599999999999</v>
      </c>
      <c r="F50" s="740">
        <v>-1.5022806209984516</v>
      </c>
      <c r="G50" s="288"/>
      <c r="H50" s="448"/>
      <c r="I50" s="448"/>
      <c r="J50" s="288"/>
      <c r="K50" s="288"/>
      <c r="L50" s="292"/>
    </row>
    <row r="51" spans="1:12" s="252" customFormat="1" ht="7.8" customHeight="1">
      <c r="A51" s="726" t="s">
        <v>372</v>
      </c>
      <c r="B51" s="727"/>
      <c r="C51" s="728">
        <v>164.76599999999999</v>
      </c>
      <c r="D51" s="728">
        <v>167.279</v>
      </c>
      <c r="E51" s="728">
        <v>164.76599999999999</v>
      </c>
      <c r="F51" s="738">
        <v>-1.5022806209984516</v>
      </c>
      <c r="G51" s="288"/>
      <c r="H51" s="448"/>
      <c r="I51" s="448"/>
      <c r="J51" s="288"/>
      <c r="K51" s="288"/>
      <c r="L51" s="295"/>
    </row>
    <row r="52" spans="1:12" s="252" customFormat="1" ht="7.8" customHeight="1">
      <c r="A52" s="730" t="s">
        <v>95</v>
      </c>
      <c r="B52" s="731" t="s">
        <v>220</v>
      </c>
      <c r="C52" s="732">
        <v>7.8434100000000004</v>
      </c>
      <c r="D52" s="732">
        <v>7.0857999999999999</v>
      </c>
      <c r="E52" s="732">
        <v>7.8434100000000004</v>
      </c>
      <c r="F52" s="740">
        <v>10.691947274831353</v>
      </c>
      <c r="G52" s="288"/>
      <c r="H52" s="448"/>
      <c r="I52" s="448"/>
      <c r="J52" s="288"/>
      <c r="K52" s="288"/>
      <c r="L52" s="292"/>
    </row>
    <row r="53" spans="1:12" s="252" customFormat="1" ht="7.8" customHeight="1">
      <c r="A53" s="730" t="s">
        <v>407</v>
      </c>
      <c r="B53" s="731" t="s">
        <v>400</v>
      </c>
      <c r="C53" s="732">
        <v>2.0214799999999999</v>
      </c>
      <c r="D53" s="732">
        <v>0</v>
      </c>
      <c r="E53" s="732">
        <v>2.0214799999999999</v>
      </c>
      <c r="F53" s="740">
        <v>0</v>
      </c>
      <c r="G53" s="288"/>
      <c r="H53" s="448"/>
      <c r="I53" s="448"/>
      <c r="J53" s="288"/>
      <c r="K53" s="288"/>
      <c r="L53" s="292"/>
    </row>
    <row r="54" spans="1:12" s="252" customFormat="1" ht="7.8" customHeight="1">
      <c r="A54" s="730" t="s">
        <v>407</v>
      </c>
      <c r="B54" s="731" t="s">
        <v>221</v>
      </c>
      <c r="C54" s="732">
        <v>0</v>
      </c>
      <c r="D54" s="732">
        <v>22.45</v>
      </c>
      <c r="E54" s="732">
        <v>0</v>
      </c>
      <c r="F54" s="740">
        <v>-100</v>
      </c>
      <c r="G54" s="288"/>
      <c r="H54" s="448"/>
      <c r="I54" s="448"/>
      <c r="J54" s="288"/>
      <c r="K54" s="288"/>
      <c r="L54" s="292"/>
    </row>
    <row r="55" spans="1:12" s="252" customFormat="1" ht="7.8" customHeight="1">
      <c r="A55" s="726" t="s">
        <v>373</v>
      </c>
      <c r="B55" s="727"/>
      <c r="C55" s="728">
        <v>9.8648900000000008</v>
      </c>
      <c r="D55" s="728">
        <v>29.535799999999998</v>
      </c>
      <c r="E55" s="728">
        <v>9.8648900000000008</v>
      </c>
      <c r="F55" s="738">
        <v>-66.600227520500539</v>
      </c>
      <c r="G55" s="288"/>
      <c r="H55" s="448"/>
      <c r="I55" s="448"/>
      <c r="J55" s="288"/>
      <c r="K55" s="288"/>
      <c r="L55" s="292"/>
    </row>
    <row r="56" spans="1:12" s="252" customFormat="1" ht="7.8" customHeight="1">
      <c r="A56" s="730" t="s">
        <v>598</v>
      </c>
      <c r="B56" s="731" t="s">
        <v>68</v>
      </c>
      <c r="C56" s="732">
        <v>3.032</v>
      </c>
      <c r="D56" s="732">
        <v>3.4689999999999999</v>
      </c>
      <c r="E56" s="732">
        <v>3.032</v>
      </c>
      <c r="F56" s="740">
        <v>-12.597290285384837</v>
      </c>
      <c r="G56" s="288"/>
      <c r="H56" s="448"/>
      <c r="I56" s="448"/>
      <c r="J56" s="288"/>
      <c r="K56" s="288"/>
      <c r="L56" s="292"/>
    </row>
    <row r="57" spans="1:12" s="252" customFormat="1" ht="7.8" customHeight="1">
      <c r="A57" s="726" t="s">
        <v>599</v>
      </c>
      <c r="B57" s="727"/>
      <c r="C57" s="728">
        <v>3.032</v>
      </c>
      <c r="D57" s="728">
        <v>3.4689999999999999</v>
      </c>
      <c r="E57" s="728">
        <v>3.032</v>
      </c>
      <c r="F57" s="738">
        <v>-12.597290285384837</v>
      </c>
      <c r="G57" s="288"/>
      <c r="H57" s="448"/>
      <c r="I57" s="448"/>
      <c r="J57" s="288"/>
      <c r="K57" s="288"/>
      <c r="L57" s="292"/>
    </row>
    <row r="58" spans="1:12" s="252" customFormat="1" ht="7.8" customHeight="1">
      <c r="A58" s="730" t="s">
        <v>84</v>
      </c>
      <c r="B58" s="731" t="s">
        <v>222</v>
      </c>
      <c r="C58" s="732">
        <v>647.77251000000001</v>
      </c>
      <c r="D58" s="732">
        <v>598.34254999999996</v>
      </c>
      <c r="E58" s="732">
        <v>647.77251000000001</v>
      </c>
      <c r="F58" s="740">
        <v>8.2611473979244838</v>
      </c>
      <c r="G58" s="288"/>
      <c r="H58" s="448"/>
      <c r="I58" s="448"/>
      <c r="J58" s="288"/>
      <c r="K58" s="288"/>
    </row>
    <row r="59" spans="1:12" s="252" customFormat="1" ht="7.8" customHeight="1">
      <c r="A59" s="730" t="s">
        <v>407</v>
      </c>
      <c r="B59" s="731" t="s">
        <v>223</v>
      </c>
      <c r="C59" s="732">
        <v>216.2646</v>
      </c>
      <c r="D59" s="732">
        <v>198.46039999999999</v>
      </c>
      <c r="E59" s="732">
        <v>216.2646</v>
      </c>
      <c r="F59" s="740">
        <v>8.9711599895999399</v>
      </c>
      <c r="G59" s="288"/>
      <c r="H59" s="448"/>
      <c r="I59" s="448"/>
      <c r="J59" s="288"/>
      <c r="K59" s="288"/>
    </row>
    <row r="60" spans="1:12" s="252" customFormat="1" ht="7.8" customHeight="1">
      <c r="A60" s="730" t="s">
        <v>407</v>
      </c>
      <c r="B60" s="731" t="s">
        <v>401</v>
      </c>
      <c r="C60" s="732">
        <v>0</v>
      </c>
      <c r="D60" s="732">
        <v>0</v>
      </c>
      <c r="E60" s="732">
        <v>0</v>
      </c>
      <c r="F60" s="740">
        <v>0</v>
      </c>
      <c r="G60" s="288"/>
      <c r="H60" s="448"/>
      <c r="I60" s="448"/>
      <c r="J60" s="288"/>
      <c r="K60" s="288"/>
    </row>
    <row r="61" spans="1:12" s="252" customFormat="1" ht="7.8" customHeight="1">
      <c r="A61" s="726" t="s">
        <v>374</v>
      </c>
      <c r="B61" s="727"/>
      <c r="C61" s="728">
        <v>864.03710999999998</v>
      </c>
      <c r="D61" s="728">
        <v>796.80295000000001</v>
      </c>
      <c r="E61" s="728">
        <v>864.03710999999998</v>
      </c>
      <c r="F61" s="738">
        <v>8.4379908483019541</v>
      </c>
      <c r="G61" s="288"/>
      <c r="H61" s="448"/>
      <c r="I61" s="448"/>
      <c r="J61" s="288"/>
      <c r="K61" s="288"/>
    </row>
    <row r="62" spans="1:12" s="252" customFormat="1" ht="7.8" customHeight="1">
      <c r="A62" s="730" t="s">
        <v>600</v>
      </c>
      <c r="B62" s="731" t="s">
        <v>65</v>
      </c>
      <c r="C62" s="732">
        <v>5.0380000000000003</v>
      </c>
      <c r="D62" s="732">
        <v>5.0565300000000004</v>
      </c>
      <c r="E62" s="732">
        <v>5.0380000000000003</v>
      </c>
      <c r="F62" s="740">
        <v>-0.36645683897850895</v>
      </c>
      <c r="G62" s="288"/>
      <c r="H62" s="448"/>
      <c r="I62" s="448"/>
      <c r="J62" s="288"/>
      <c r="K62" s="288"/>
    </row>
    <row r="63" spans="1:12" s="252" customFormat="1" ht="7.8" customHeight="1">
      <c r="A63" s="726" t="s">
        <v>601</v>
      </c>
      <c r="B63" s="727"/>
      <c r="C63" s="728">
        <v>5.0380000000000003</v>
      </c>
      <c r="D63" s="728">
        <v>5.0565300000000004</v>
      </c>
      <c r="E63" s="728">
        <v>5.0380000000000003</v>
      </c>
      <c r="F63" s="738">
        <v>-0.36645683897850895</v>
      </c>
      <c r="G63" s="288"/>
      <c r="H63" s="448"/>
      <c r="I63" s="448"/>
      <c r="J63" s="288"/>
      <c r="K63" s="288"/>
    </row>
    <row r="64" spans="1:12" s="252" customFormat="1" ht="7.8" customHeight="1">
      <c r="A64" s="730" t="s">
        <v>602</v>
      </c>
      <c r="B64" s="731" t="s">
        <v>349</v>
      </c>
      <c r="C64" s="732">
        <v>20.022189999999998</v>
      </c>
      <c r="D64" s="732">
        <v>19.983599999999999</v>
      </c>
      <c r="E64" s="732">
        <v>20.022189999999998</v>
      </c>
      <c r="F64" s="740">
        <v>0.19310834884605377</v>
      </c>
      <c r="G64" s="288"/>
      <c r="H64" s="448"/>
      <c r="I64" s="448"/>
      <c r="J64" s="288"/>
      <c r="K64" s="288"/>
    </row>
    <row r="65" spans="1:11" s="252" customFormat="1" ht="7.8" customHeight="1">
      <c r="A65" s="726" t="s">
        <v>603</v>
      </c>
      <c r="B65" s="727"/>
      <c r="C65" s="728">
        <v>20.022189999999998</v>
      </c>
      <c r="D65" s="728">
        <v>19.983599999999999</v>
      </c>
      <c r="E65" s="728">
        <v>20.022189999999998</v>
      </c>
      <c r="F65" s="738">
        <v>0.19310834884605377</v>
      </c>
      <c r="G65" s="288"/>
      <c r="H65" s="448"/>
      <c r="I65" s="448"/>
      <c r="J65" s="288"/>
      <c r="K65" s="288"/>
    </row>
    <row r="66" spans="1:11" s="252" customFormat="1" ht="7.8" customHeight="1">
      <c r="A66" s="730" t="s">
        <v>604</v>
      </c>
      <c r="B66" s="731" t="s">
        <v>313</v>
      </c>
      <c r="C66" s="732">
        <v>20.246500000000001</v>
      </c>
      <c r="D66" s="732">
        <v>20.38691</v>
      </c>
      <c r="E66" s="732">
        <v>20.246500000000001</v>
      </c>
      <c r="F66" s="740">
        <v>-0.6887262464002637</v>
      </c>
      <c r="G66" s="288"/>
      <c r="H66" s="448"/>
      <c r="I66" s="448"/>
      <c r="J66" s="288"/>
      <c r="K66" s="288"/>
    </row>
    <row r="67" spans="1:11" s="252" customFormat="1" ht="7.8" customHeight="1">
      <c r="A67" s="726" t="s">
        <v>605</v>
      </c>
      <c r="B67" s="727"/>
      <c r="C67" s="728">
        <v>20.246500000000001</v>
      </c>
      <c r="D67" s="728">
        <v>20.38691</v>
      </c>
      <c r="E67" s="728">
        <v>20.246500000000001</v>
      </c>
      <c r="F67" s="738">
        <v>-0.6887262464002637</v>
      </c>
      <c r="G67" s="288"/>
      <c r="H67" s="448"/>
      <c r="I67" s="448"/>
      <c r="J67" s="288"/>
      <c r="K67" s="288"/>
    </row>
    <row r="68" spans="1:11" s="252" customFormat="1" ht="7.8" customHeight="1">
      <c r="A68" s="730" t="s">
        <v>606</v>
      </c>
      <c r="B68" s="731" t="s">
        <v>224</v>
      </c>
      <c r="C68" s="732">
        <v>454.07648999999998</v>
      </c>
      <c r="D68" s="732">
        <v>384.58397000000002</v>
      </c>
      <c r="E68" s="732">
        <v>454.07648999999998</v>
      </c>
      <c r="F68" s="740">
        <v>18.069531083159809</v>
      </c>
      <c r="G68" s="288"/>
      <c r="H68" s="448"/>
      <c r="I68" s="448"/>
      <c r="J68" s="288"/>
      <c r="K68" s="288"/>
    </row>
    <row r="69" spans="1:11" s="252" customFormat="1" ht="7.8" customHeight="1">
      <c r="A69" s="730" t="s">
        <v>407</v>
      </c>
      <c r="B69" s="731" t="s">
        <v>607</v>
      </c>
      <c r="C69" s="732">
        <v>6.5148200000000003</v>
      </c>
      <c r="D69" s="732">
        <v>6.5003500000000001</v>
      </c>
      <c r="E69" s="732">
        <v>6.5148200000000003</v>
      </c>
      <c r="F69" s="740">
        <v>0.22260339827855424</v>
      </c>
      <c r="G69" s="288"/>
      <c r="H69" s="449"/>
      <c r="I69" s="448"/>
      <c r="J69" s="288"/>
      <c r="K69" s="288"/>
    </row>
    <row r="70" spans="1:11" s="252" customFormat="1" ht="7.8" customHeight="1">
      <c r="A70" s="726" t="s">
        <v>608</v>
      </c>
      <c r="B70" s="727"/>
      <c r="C70" s="728">
        <v>460.59131000000002</v>
      </c>
      <c r="D70" s="728">
        <v>391.08431999999999</v>
      </c>
      <c r="E70" s="728">
        <v>460.59131000000002</v>
      </c>
      <c r="F70" s="738">
        <v>17.772891022580499</v>
      </c>
      <c r="G70" s="288"/>
      <c r="H70" s="449"/>
      <c r="I70" s="448"/>
      <c r="J70" s="288"/>
      <c r="K70" s="288"/>
    </row>
    <row r="71" spans="1:11" s="252" customFormat="1" ht="7.8" customHeight="1">
      <c r="A71" s="730" t="s">
        <v>609</v>
      </c>
      <c r="B71" s="731" t="s">
        <v>225</v>
      </c>
      <c r="C71" s="732">
        <v>94.32638</v>
      </c>
      <c r="D71" s="732">
        <v>81.850880000000004</v>
      </c>
      <c r="E71" s="732">
        <v>94.32638</v>
      </c>
      <c r="F71" s="740">
        <v>15.241742055797078</v>
      </c>
      <c r="G71" s="296"/>
      <c r="H71" s="449"/>
      <c r="I71" s="448"/>
      <c r="J71" s="288"/>
      <c r="K71" s="288"/>
    </row>
    <row r="72" spans="1:11" s="252" customFormat="1" ht="7.8" customHeight="1">
      <c r="A72" s="726" t="s">
        <v>610</v>
      </c>
      <c r="B72" s="727"/>
      <c r="C72" s="728">
        <v>94.32638</v>
      </c>
      <c r="D72" s="728">
        <v>81.850880000000004</v>
      </c>
      <c r="E72" s="728">
        <v>94.32638</v>
      </c>
      <c r="F72" s="738">
        <v>15.241742055797078</v>
      </c>
      <c r="G72" s="296"/>
      <c r="H72" s="449"/>
      <c r="I72" s="448"/>
      <c r="J72" s="288"/>
      <c r="K72" s="288"/>
    </row>
    <row r="73" spans="1:11" s="252" customFormat="1" ht="7.8" customHeight="1">
      <c r="A73" s="730" t="s">
        <v>611</v>
      </c>
      <c r="B73" s="731" t="s">
        <v>58</v>
      </c>
      <c r="C73" s="732">
        <v>19.973669999999998</v>
      </c>
      <c r="D73" s="732">
        <v>19.979220000000002</v>
      </c>
      <c r="E73" s="732">
        <v>19.973669999999998</v>
      </c>
      <c r="F73" s="740">
        <v>-2.7778862237865142E-2</v>
      </c>
      <c r="G73" s="296"/>
      <c r="H73" s="449"/>
      <c r="I73" s="448"/>
      <c r="J73" s="288"/>
      <c r="K73" s="288"/>
    </row>
    <row r="74" spans="1:11" s="252" customFormat="1" ht="7.8" customHeight="1">
      <c r="A74" s="726" t="s">
        <v>612</v>
      </c>
      <c r="B74" s="727"/>
      <c r="C74" s="728">
        <v>19.973669999999998</v>
      </c>
      <c r="D74" s="728">
        <v>19.979220000000002</v>
      </c>
      <c r="E74" s="728">
        <v>19.973669999999998</v>
      </c>
      <c r="F74" s="738">
        <v>-2.7778862237865142E-2</v>
      </c>
      <c r="G74" s="296"/>
      <c r="H74" s="448"/>
      <c r="I74" s="448"/>
      <c r="J74" s="288"/>
      <c r="K74" s="288"/>
    </row>
    <row r="75" spans="1:11" s="252" customFormat="1" ht="7.8" customHeight="1">
      <c r="A75" s="730" t="s">
        <v>613</v>
      </c>
      <c r="B75" s="731" t="s">
        <v>56</v>
      </c>
      <c r="C75" s="732">
        <v>17.985530000000001</v>
      </c>
      <c r="D75" s="732">
        <v>18.455660000000002</v>
      </c>
      <c r="E75" s="732">
        <v>17.985530000000001</v>
      </c>
      <c r="F75" s="740">
        <v>-2.5473486182558629</v>
      </c>
      <c r="G75" s="296"/>
      <c r="H75" s="448"/>
      <c r="I75" s="448"/>
      <c r="J75" s="288"/>
      <c r="K75" s="288"/>
    </row>
    <row r="76" spans="1:11" s="252" customFormat="1" ht="7.8" customHeight="1">
      <c r="A76" s="726" t="s">
        <v>614</v>
      </c>
      <c r="B76" s="727"/>
      <c r="C76" s="728">
        <v>17.985530000000001</v>
      </c>
      <c r="D76" s="728">
        <v>18.455660000000002</v>
      </c>
      <c r="E76" s="728">
        <v>17.985530000000001</v>
      </c>
      <c r="F76" s="738">
        <v>-2.5473486182558629</v>
      </c>
      <c r="G76" s="288"/>
      <c r="H76" s="448"/>
      <c r="I76" s="448"/>
      <c r="J76" s="288"/>
      <c r="K76" s="288"/>
    </row>
    <row r="77" spans="1:11" s="252" customFormat="1" ht="7.8" customHeight="1">
      <c r="A77" s="432" t="s">
        <v>694</v>
      </c>
      <c r="B77" s="731" t="s">
        <v>691</v>
      </c>
      <c r="C77" s="732">
        <v>-0.152</v>
      </c>
      <c r="D77" s="732">
        <v>-0.159</v>
      </c>
      <c r="E77" s="732">
        <v>-0.152</v>
      </c>
      <c r="F77" s="740">
        <v>-4.4025157232704411</v>
      </c>
      <c r="G77" s="288"/>
      <c r="H77" s="448"/>
      <c r="I77" s="448"/>
      <c r="J77" s="288"/>
      <c r="K77" s="288"/>
    </row>
    <row r="78" spans="1:11" s="252" customFormat="1" ht="7.8" customHeight="1">
      <c r="A78" s="730" t="s">
        <v>407</v>
      </c>
      <c r="B78" s="731" t="s">
        <v>622</v>
      </c>
      <c r="C78" s="732">
        <v>100.053</v>
      </c>
      <c r="D78" s="732">
        <v>18.565000000000001</v>
      </c>
      <c r="E78" s="732">
        <v>100.053</v>
      </c>
      <c r="F78" s="740">
        <v>438.93347697279825</v>
      </c>
      <c r="G78" s="288"/>
      <c r="H78" s="448"/>
      <c r="I78" s="448"/>
      <c r="J78" s="288"/>
      <c r="K78" s="288"/>
    </row>
    <row r="79" spans="1:11" s="252" customFormat="1" ht="7.8" customHeight="1">
      <c r="A79" s="730" t="s">
        <v>407</v>
      </c>
      <c r="B79" s="731" t="s">
        <v>327</v>
      </c>
      <c r="C79" s="732">
        <v>112.51049999999999</v>
      </c>
      <c r="D79" s="732">
        <v>58.904000000000003</v>
      </c>
      <c r="E79" s="732">
        <v>112.51049999999999</v>
      </c>
      <c r="F79" s="740">
        <v>71.180225451582231</v>
      </c>
      <c r="G79" s="297"/>
      <c r="H79" s="448"/>
      <c r="I79" s="448"/>
      <c r="J79" s="288"/>
      <c r="K79" s="288"/>
    </row>
    <row r="80" spans="1:11" s="252" customFormat="1" ht="7.8" customHeight="1">
      <c r="A80" s="730" t="s">
        <v>407</v>
      </c>
      <c r="B80" s="731" t="s">
        <v>353</v>
      </c>
      <c r="C80" s="732">
        <v>75.635000000000005</v>
      </c>
      <c r="D80" s="732">
        <v>48.143999999999998</v>
      </c>
      <c r="E80" s="732">
        <v>75.635000000000005</v>
      </c>
      <c r="F80" s="740">
        <v>57.101611831173152</v>
      </c>
      <c r="G80" s="297"/>
      <c r="H80" s="235"/>
      <c r="I80" s="448"/>
      <c r="J80" s="288"/>
      <c r="K80" s="288"/>
    </row>
    <row r="81" spans="1:11" s="252" customFormat="1" ht="7.8" customHeight="1">
      <c r="A81" s="730" t="s">
        <v>407</v>
      </c>
      <c r="B81" s="731" t="s">
        <v>322</v>
      </c>
      <c r="C81" s="732">
        <v>0</v>
      </c>
      <c r="D81" s="732">
        <v>0</v>
      </c>
      <c r="E81" s="732">
        <v>0</v>
      </c>
      <c r="F81" s="740">
        <v>0</v>
      </c>
      <c r="G81" s="297"/>
      <c r="H81" s="235"/>
      <c r="I81" s="448"/>
      <c r="J81" s="288"/>
      <c r="K81" s="288"/>
    </row>
    <row r="82" spans="1:11" s="252" customFormat="1" ht="7.8" customHeight="1">
      <c r="A82" s="730" t="s">
        <v>407</v>
      </c>
      <c r="B82" s="731" t="s">
        <v>226</v>
      </c>
      <c r="C82" s="732">
        <v>0</v>
      </c>
      <c r="D82" s="732">
        <v>0</v>
      </c>
      <c r="E82" s="732">
        <v>0</v>
      </c>
      <c r="F82" s="740">
        <v>0</v>
      </c>
      <c r="G82" s="297"/>
      <c r="H82" s="235"/>
      <c r="I82" s="448"/>
      <c r="J82" s="288"/>
      <c r="K82" s="288"/>
    </row>
    <row r="83" spans="1:11" s="252" customFormat="1" ht="7.8" customHeight="1">
      <c r="A83" s="730" t="s">
        <v>407</v>
      </c>
      <c r="B83" s="731" t="s">
        <v>227</v>
      </c>
      <c r="C83" s="732">
        <v>214.435</v>
      </c>
      <c r="D83" s="732">
        <v>172.50200000000001</v>
      </c>
      <c r="E83" s="732">
        <v>214.435</v>
      </c>
      <c r="F83" s="740">
        <v>24.308703667203858</v>
      </c>
      <c r="G83" s="297"/>
      <c r="H83" s="235"/>
      <c r="I83" s="448"/>
      <c r="J83" s="288"/>
      <c r="K83" s="288"/>
    </row>
    <row r="84" spans="1:11" s="252" customFormat="1" ht="7.8" customHeight="1">
      <c r="A84" s="730" t="s">
        <v>407</v>
      </c>
      <c r="B84" s="731" t="s">
        <v>228</v>
      </c>
      <c r="C84" s="732">
        <v>127.32899999999999</v>
      </c>
      <c r="D84" s="732">
        <v>134.251</v>
      </c>
      <c r="E84" s="732">
        <v>127.32899999999999</v>
      </c>
      <c r="F84" s="740">
        <v>-5.1560137354656579</v>
      </c>
      <c r="G84" s="297"/>
      <c r="H84" s="235"/>
      <c r="I84" s="448"/>
      <c r="J84" s="288"/>
      <c r="K84" s="288"/>
    </row>
    <row r="85" spans="1:11" s="252" customFormat="1" ht="7.8" customHeight="1">
      <c r="A85" s="730"/>
      <c r="B85" s="731" t="s">
        <v>229</v>
      </c>
      <c r="C85" s="732">
        <v>62.844000000000001</v>
      </c>
      <c r="D85" s="732">
        <v>65.021000000000001</v>
      </c>
      <c r="E85" s="732">
        <v>62.844000000000001</v>
      </c>
      <c r="F85" s="740">
        <v>-3.3481490595346122</v>
      </c>
      <c r="G85" s="297"/>
      <c r="H85" s="235"/>
      <c r="I85" s="448"/>
      <c r="J85" s="288"/>
      <c r="K85" s="288"/>
    </row>
    <row r="86" spans="1:11" s="252" customFormat="1" ht="7.8" customHeight="1">
      <c r="A86" s="730"/>
      <c r="B86" s="731" t="s">
        <v>540</v>
      </c>
      <c r="C86" s="732">
        <v>0</v>
      </c>
      <c r="D86" s="732">
        <v>0</v>
      </c>
      <c r="E86" s="732">
        <v>0</v>
      </c>
      <c r="F86" s="740">
        <v>0</v>
      </c>
      <c r="G86" s="297"/>
      <c r="H86" s="235"/>
      <c r="I86" s="448"/>
      <c r="J86" s="288"/>
      <c r="K86" s="288"/>
    </row>
    <row r="87" spans="1:11" s="252" customFormat="1" ht="7.8" customHeight="1">
      <c r="A87" s="730"/>
      <c r="B87" s="731" t="s">
        <v>328</v>
      </c>
      <c r="C87" s="732">
        <v>0</v>
      </c>
      <c r="D87" s="732">
        <v>0</v>
      </c>
      <c r="E87" s="732">
        <v>0</v>
      </c>
      <c r="F87" s="740">
        <v>0</v>
      </c>
      <c r="G87" s="297"/>
      <c r="H87" s="235"/>
      <c r="I87" s="448"/>
      <c r="J87" s="288"/>
      <c r="K87" s="288"/>
    </row>
    <row r="88" spans="1:11" s="252" customFormat="1" ht="7.8" customHeight="1">
      <c r="A88" s="730" t="s">
        <v>407</v>
      </c>
      <c r="B88" s="731" t="s">
        <v>623</v>
      </c>
      <c r="C88" s="732">
        <v>0</v>
      </c>
      <c r="D88" s="732">
        <v>0</v>
      </c>
      <c r="E88" s="732">
        <v>0</v>
      </c>
      <c r="F88" s="740">
        <v>0</v>
      </c>
      <c r="G88" s="297"/>
      <c r="H88" s="235"/>
      <c r="I88" s="448"/>
      <c r="J88" s="288"/>
      <c r="K88" s="288"/>
    </row>
    <row r="89" spans="1:11" s="252" customFormat="1" ht="7.8" customHeight="1">
      <c r="A89" s="730" t="s">
        <v>407</v>
      </c>
      <c r="B89" s="731" t="s">
        <v>230</v>
      </c>
      <c r="C89" s="732">
        <v>103.187</v>
      </c>
      <c r="D89" s="732">
        <v>176.63200000000001</v>
      </c>
      <c r="E89" s="732">
        <v>103.187</v>
      </c>
      <c r="F89" s="740">
        <v>-41.580800760904026</v>
      </c>
      <c r="G89" s="297"/>
      <c r="H89" s="235"/>
      <c r="I89" s="448"/>
      <c r="J89" s="288"/>
      <c r="K89" s="288"/>
    </row>
    <row r="90" spans="1:11" s="252" customFormat="1" ht="9" customHeight="1">
      <c r="A90" s="730" t="s">
        <v>407</v>
      </c>
      <c r="B90" s="731" t="s">
        <v>231</v>
      </c>
      <c r="C90" s="732">
        <v>89.822000000000003</v>
      </c>
      <c r="D90" s="732">
        <v>446.69</v>
      </c>
      <c r="E90" s="732">
        <v>89.822000000000003</v>
      </c>
      <c r="F90" s="740">
        <v>-79.891647451252553</v>
      </c>
      <c r="G90" s="297"/>
      <c r="H90" s="235"/>
      <c r="I90" s="448"/>
      <c r="J90" s="288"/>
      <c r="K90" s="288"/>
    </row>
    <row r="91" spans="1:11" s="252" customFormat="1" ht="9" customHeight="1">
      <c r="A91" s="726" t="s">
        <v>695</v>
      </c>
      <c r="B91" s="727"/>
      <c r="C91" s="728">
        <v>885.6635</v>
      </c>
      <c r="D91" s="728">
        <v>1120.55</v>
      </c>
      <c r="E91" s="728">
        <v>885.6635</v>
      </c>
      <c r="F91" s="738">
        <v>0</v>
      </c>
    </row>
    <row r="92" spans="1:11" s="252" customFormat="1" ht="9" customHeight="1"/>
    <row r="93" spans="1:11" s="252" customFormat="1" ht="9" customHeight="1"/>
    <row r="94" spans="1:11" s="252" customFormat="1" ht="9" customHeight="1"/>
    <row r="95" spans="1:11" s="252" customFormat="1" ht="9" customHeight="1"/>
    <row r="96" spans="1:11" s="252" customFormat="1" ht="9" customHeight="1"/>
    <row r="97" s="252" customFormat="1" ht="9" customHeight="1"/>
    <row r="98" s="252" customFormat="1" ht="9" customHeight="1"/>
    <row r="99" s="252" customFormat="1" ht="9" customHeight="1"/>
    <row r="100" s="252" customFormat="1" ht="9" customHeight="1"/>
    <row r="101" s="252" customFormat="1" ht="9" customHeight="1"/>
    <row r="102" s="252" customFormat="1" ht="9" customHeight="1"/>
    <row r="103" s="252" customFormat="1" ht="9" customHeight="1"/>
    <row r="104" s="252" customFormat="1" ht="9" customHeight="1"/>
    <row r="105" s="252" customFormat="1" ht="9" customHeight="1"/>
    <row r="106" s="252" customFormat="1" ht="9" customHeight="1"/>
    <row r="107" s="252" customFormat="1" ht="9" customHeight="1"/>
    <row r="108" s="252" customFormat="1" ht="9" customHeight="1"/>
    <row r="109" s="252" customFormat="1" ht="9" customHeight="1"/>
    <row r="110" s="252" customFormat="1" ht="9" customHeight="1"/>
    <row r="111" s="252" customFormat="1" ht="9" customHeight="1"/>
    <row r="112" s="252" customFormat="1" ht="9" customHeight="1"/>
    <row r="113" s="252" customFormat="1" ht="9" customHeight="1"/>
    <row r="114" s="252" customFormat="1" ht="9" customHeight="1"/>
    <row r="115" s="252" customFormat="1" ht="9" customHeight="1"/>
    <row r="116" s="252" customFormat="1" ht="9" customHeight="1"/>
    <row r="117" s="252" customFormat="1" ht="9" customHeight="1"/>
    <row r="118" s="252" customFormat="1" ht="9" customHeight="1"/>
    <row r="119" s="252" customFormat="1" ht="9" customHeight="1"/>
    <row r="120" s="252" customFormat="1" ht="9" customHeight="1"/>
    <row r="121" s="252" customFormat="1" ht="9" customHeight="1"/>
    <row r="122" s="252" customFormat="1" ht="9" customHeight="1"/>
    <row r="123" s="252" customFormat="1" ht="9" customHeight="1"/>
    <row r="124" s="252" customFormat="1" ht="9" customHeight="1"/>
    <row r="125" s="252" customFormat="1" ht="9" customHeight="1"/>
    <row r="126" s="252" customFormat="1" ht="9" customHeight="1"/>
    <row r="127" s="252" customFormat="1" ht="9" customHeight="1"/>
    <row r="128" s="252" customFormat="1" ht="9" customHeight="1"/>
    <row r="129" s="252" customFormat="1" ht="9" customHeight="1"/>
    <row r="130" s="252" customFormat="1" ht="9" customHeight="1"/>
    <row r="131" s="252" customFormat="1" ht="9" customHeight="1"/>
    <row r="132" s="252" customFormat="1" ht="9" customHeight="1"/>
    <row r="133" s="252" customFormat="1" ht="9" customHeight="1"/>
    <row r="134" s="252" customFormat="1" ht="9" customHeight="1"/>
    <row r="135" s="252" customFormat="1" ht="9" customHeight="1"/>
    <row r="136" s="252" customFormat="1" ht="9" customHeight="1"/>
    <row r="137" s="252" customFormat="1" ht="9" customHeight="1"/>
    <row r="138" s="252" customFormat="1" ht="9" customHeight="1"/>
    <row r="139" s="252" customFormat="1" ht="9" customHeight="1"/>
    <row r="140" s="252" customFormat="1" ht="9" customHeight="1"/>
    <row r="141" s="252" customFormat="1" ht="9" customHeight="1"/>
    <row r="142" s="252" customFormat="1" ht="9" customHeight="1"/>
    <row r="143" s="252" customFormat="1" ht="9" customHeight="1"/>
    <row r="144" s="252" customFormat="1" ht="9" customHeight="1"/>
    <row r="145" s="252" customFormat="1" ht="9" customHeight="1"/>
    <row r="146" s="252" customFormat="1" ht="9" customHeight="1"/>
    <row r="147" s="252" customFormat="1" ht="9" customHeight="1"/>
    <row r="148" s="252" customFormat="1" ht="9" customHeight="1"/>
    <row r="149" s="252" customFormat="1" ht="10.5" customHeight="1"/>
    <row r="150" s="252" customFormat="1" ht="10.5" customHeight="1"/>
    <row r="151" s="252" customFormat="1" ht="10.5" customHeight="1"/>
    <row r="152" s="252" customFormat="1" ht="10.5" customHeight="1"/>
    <row r="153" s="252" customFormat="1" ht="10.5" customHeight="1"/>
    <row r="154" s="252" customFormat="1" ht="10.5" customHeight="1"/>
    <row r="155" s="252" customFormat="1" ht="10.5" customHeight="1"/>
    <row r="156" s="252" customFormat="1" ht="10.5" customHeight="1"/>
    <row r="157" s="252" customFormat="1" ht="10.5" customHeight="1"/>
    <row r="158" s="252" customFormat="1" ht="10.5" customHeight="1"/>
    <row r="159" s="252" customFormat="1" ht="10.5" customHeight="1"/>
    <row r="160" s="252" customFormat="1" ht="10.5" customHeight="1"/>
    <row r="161" s="252" customFormat="1" ht="10.5" customHeight="1"/>
    <row r="162" s="252" customFormat="1" ht="10.5" customHeight="1"/>
    <row r="163" s="252" customFormat="1" ht="10.5" customHeight="1"/>
    <row r="164" s="252" customFormat="1" ht="10.5" customHeight="1"/>
    <row r="165" s="252" customFormat="1" ht="10.5" customHeight="1"/>
    <row r="166" s="252" customFormat="1" ht="10.5" customHeight="1"/>
    <row r="167" s="252" customFormat="1" ht="10.5" customHeight="1"/>
    <row r="168" s="252" customFormat="1" ht="10.5" customHeight="1"/>
    <row r="169" s="252" customFormat="1" ht="10.5" customHeight="1"/>
    <row r="170" s="252" customFormat="1" ht="10.5" customHeight="1"/>
    <row r="171" s="252" customFormat="1" ht="10.5" customHeight="1"/>
    <row r="172" s="252" customFormat="1" ht="10.5" customHeight="1"/>
    <row r="173" s="252" customFormat="1" ht="10.5" customHeight="1"/>
    <row r="174" s="252" customFormat="1" ht="10.5" customHeight="1"/>
    <row r="175" s="252" customFormat="1" ht="10.5" customHeight="1"/>
    <row r="176" s="252" customFormat="1" ht="10.5" customHeight="1"/>
    <row r="177" s="252" customFormat="1" ht="10.5" customHeight="1"/>
    <row r="178" s="252" customFormat="1" ht="10.5" customHeight="1"/>
    <row r="179" s="252" customFormat="1" ht="7.8"/>
    <row r="180" s="252" customFormat="1" ht="7.8"/>
    <row r="181" s="252" customFormat="1" ht="7.8"/>
    <row r="182" s="252" customFormat="1" ht="7.8"/>
    <row r="183" s="252" customFormat="1" ht="7.8"/>
    <row r="184" s="252" customFormat="1" ht="7.8"/>
    <row r="185" s="252" customFormat="1" ht="7.8"/>
    <row r="186" s="252" customFormat="1" ht="7.8"/>
    <row r="187" s="252" customFormat="1" ht="7.8"/>
    <row r="188" s="252" customFormat="1" ht="7.8"/>
    <row r="189" s="252" customFormat="1" ht="7.8"/>
    <row r="190" s="252" customFormat="1" ht="7.8"/>
    <row r="191" s="252" customFormat="1" ht="7.8"/>
    <row r="192" s="252" customFormat="1" ht="7.8"/>
    <row r="193" s="252" customFormat="1" ht="7.8"/>
    <row r="194" s="252" customFormat="1" ht="7.8"/>
    <row r="195" s="252" customFormat="1" ht="7.8"/>
    <row r="196" s="252" customFormat="1" ht="7.8"/>
    <row r="197" s="252" customFormat="1" ht="7.8"/>
    <row r="198" s="252" customFormat="1" ht="7.8"/>
    <row r="199" s="252"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zoomScale="115" zoomScaleNormal="100" zoomScaleSheetLayoutView="115" workbookViewId="0">
      <selection activeCell="K7" sqref="K7"/>
    </sheetView>
  </sheetViews>
  <sheetFormatPr defaultColWidth="9.28515625" defaultRowHeight="9.6"/>
  <cols>
    <col min="1" max="1" width="36.28515625" style="235" customWidth="1"/>
    <col min="2" max="2" width="22.140625" style="235" customWidth="1"/>
    <col min="3" max="4" width="17.7109375" style="235" customWidth="1"/>
    <col min="5" max="5" width="15.140625" style="235" customWidth="1"/>
    <col min="6" max="6" width="13.28515625" style="235" customWidth="1"/>
    <col min="7" max="7" width="6.28515625" style="235" customWidth="1"/>
    <col min="8" max="16384" width="9.28515625" style="235"/>
  </cols>
  <sheetData>
    <row r="1" spans="1:11" s="252" customFormat="1" ht="11.25" customHeight="1">
      <c r="A1" s="906" t="s">
        <v>199</v>
      </c>
      <c r="B1" s="907" t="s">
        <v>50</v>
      </c>
      <c r="C1" s="907" t="s">
        <v>263</v>
      </c>
      <c r="D1" s="907"/>
      <c r="E1" s="907"/>
      <c r="F1" s="908"/>
      <c r="G1" s="286"/>
    </row>
    <row r="2" spans="1:11" s="252" customFormat="1" ht="11.25" customHeight="1">
      <c r="A2" s="900"/>
      <c r="B2" s="903"/>
      <c r="C2" s="327" t="str">
        <f>UPPER('1. Resumen'!Q4)&amp;" "&amp;'1. Resumen'!Q5</f>
        <v>FEBRERO 2025</v>
      </c>
      <c r="D2" s="328" t="str">
        <f>UPPER('1. Resumen'!Q4)&amp;" "&amp;'1. Resumen'!Q5-1</f>
        <v>FEBRERO 2024</v>
      </c>
      <c r="E2" s="328">
        <v>2025</v>
      </c>
      <c r="F2" s="413" t="s">
        <v>762</v>
      </c>
      <c r="G2" s="287"/>
      <c r="H2" s="286"/>
    </row>
    <row r="3" spans="1:11" s="252" customFormat="1" ht="11.25" customHeight="1">
      <c r="A3" s="900"/>
      <c r="B3" s="903"/>
      <c r="C3" s="329" t="str">
        <f>'21. ANEXOII-1'!C4</f>
        <v>27/01/2025</v>
      </c>
      <c r="D3" s="329" t="str">
        <f>'21. ANEXOII-1'!D4</f>
        <v>26/01/2024</v>
      </c>
      <c r="E3" s="329" t="str">
        <f>'21. ANEXOII-1'!E4</f>
        <v>27/01/2025</v>
      </c>
      <c r="F3" s="414" t="s">
        <v>260</v>
      </c>
      <c r="G3" s="288"/>
      <c r="H3" s="286"/>
    </row>
    <row r="4" spans="1:11" s="252" customFormat="1" ht="9" customHeight="1">
      <c r="A4" s="901"/>
      <c r="B4" s="904"/>
      <c r="C4" s="330">
        <f>+'8. Max Potencia'!D9</f>
        <v>45713.8125</v>
      </c>
      <c r="D4" s="330">
        <f>+'8. Max Potencia'!E9</f>
        <v>45329.854166666664</v>
      </c>
      <c r="E4" s="330" t="str">
        <f>+'21. ANEXOII-1'!E5</f>
        <v>19:45</v>
      </c>
      <c r="F4" s="415" t="s">
        <v>261</v>
      </c>
      <c r="G4" s="288"/>
      <c r="H4" s="290"/>
    </row>
    <row r="5" spans="1:11" s="252" customFormat="1" ht="9" customHeight="1">
      <c r="A5" s="596" t="s">
        <v>615</v>
      </c>
      <c r="B5" s="597" t="s">
        <v>232</v>
      </c>
      <c r="C5" s="598">
        <v>45.776249999999997</v>
      </c>
      <c r="D5" s="598">
        <v>47.154000000000003</v>
      </c>
      <c r="E5" s="598">
        <v>45.776249999999997</v>
      </c>
      <c r="F5" s="599">
        <v>-2.9218093905076983</v>
      </c>
      <c r="G5" s="288"/>
      <c r="H5" s="290"/>
    </row>
    <row r="6" spans="1:11" s="252" customFormat="1" ht="9" customHeight="1">
      <c r="A6" s="539" t="s">
        <v>407</v>
      </c>
      <c r="B6" s="441" t="s">
        <v>233</v>
      </c>
      <c r="C6" s="530">
        <v>0</v>
      </c>
      <c r="D6" s="530">
        <v>0</v>
      </c>
      <c r="E6" s="530">
        <v>0</v>
      </c>
      <c r="F6" s="600">
        <v>0</v>
      </c>
      <c r="G6" s="288"/>
      <c r="H6" s="290"/>
    </row>
    <row r="7" spans="1:11" s="252" customFormat="1" ht="9" customHeight="1">
      <c r="A7" s="539" t="s">
        <v>407</v>
      </c>
      <c r="B7" s="441" t="s">
        <v>616</v>
      </c>
      <c r="C7" s="530">
        <v>0</v>
      </c>
      <c r="D7" s="530">
        <v>0</v>
      </c>
      <c r="E7" s="530">
        <v>0</v>
      </c>
      <c r="F7" s="600">
        <v>0</v>
      </c>
      <c r="G7" s="288"/>
      <c r="H7" s="290"/>
    </row>
    <row r="8" spans="1:11" s="252" customFormat="1" ht="9" customHeight="1">
      <c r="A8" s="540" t="s">
        <v>617</v>
      </c>
      <c r="B8" s="541"/>
      <c r="C8" s="542">
        <v>45.776249999999997</v>
      </c>
      <c r="D8" s="542">
        <v>47.154000000000003</v>
      </c>
      <c r="E8" s="542">
        <v>45.776249999999997</v>
      </c>
      <c r="F8" s="601">
        <v>-2.9218093905076983</v>
      </c>
      <c r="G8" s="288"/>
      <c r="H8" s="290"/>
    </row>
    <row r="9" spans="1:11" s="252" customFormat="1" ht="9" customHeight="1">
      <c r="A9" s="539" t="s">
        <v>618</v>
      </c>
      <c r="B9" s="441" t="s">
        <v>72</v>
      </c>
      <c r="C9" s="530">
        <v>18.022590000000001</v>
      </c>
      <c r="D9" s="530">
        <v>36.628599999999999</v>
      </c>
      <c r="E9" s="530">
        <v>18.022590000000001</v>
      </c>
      <c r="F9" s="600">
        <v>-50.796399534789757</v>
      </c>
      <c r="K9" s="349"/>
    </row>
    <row r="10" spans="1:11" s="252" customFormat="1" ht="9" customHeight="1">
      <c r="A10" s="539" t="s">
        <v>407</v>
      </c>
      <c r="B10" s="441" t="s">
        <v>74</v>
      </c>
      <c r="C10" s="530">
        <v>1.9786300000000001</v>
      </c>
      <c r="D10" s="530">
        <v>3.4729800000000002</v>
      </c>
      <c r="E10" s="530">
        <v>1.9786300000000001</v>
      </c>
      <c r="F10" s="600">
        <v>-43.027889593375143</v>
      </c>
      <c r="K10" s="349"/>
    </row>
    <row r="11" spans="1:11" s="252" customFormat="1" ht="9" customHeight="1">
      <c r="A11" s="540" t="s">
        <v>619</v>
      </c>
      <c r="B11" s="541"/>
      <c r="C11" s="542">
        <v>20.00122</v>
      </c>
      <c r="D11" s="542">
        <v>40.101579999999998</v>
      </c>
      <c r="E11" s="542">
        <v>20.00122</v>
      </c>
      <c r="F11" s="601">
        <v>-50.123611089637869</v>
      </c>
      <c r="J11" s="349"/>
      <c r="K11" s="349"/>
    </row>
    <row r="12" spans="1:11" s="252" customFormat="1" ht="9" customHeight="1">
      <c r="A12" s="539" t="s">
        <v>620</v>
      </c>
      <c r="B12" s="441" t="s">
        <v>402</v>
      </c>
      <c r="C12" s="530">
        <v>65.253</v>
      </c>
      <c r="D12" s="530">
        <v>23.254999999999999</v>
      </c>
      <c r="E12" s="530">
        <v>65.253</v>
      </c>
      <c r="F12" s="600">
        <v>180.59772092023221</v>
      </c>
      <c r="J12" s="349"/>
      <c r="K12" s="349"/>
    </row>
    <row r="13" spans="1:11" s="252" customFormat="1" ht="9" customHeight="1">
      <c r="A13" s="540" t="s">
        <v>621</v>
      </c>
      <c r="B13" s="541"/>
      <c r="C13" s="542">
        <v>65.253</v>
      </c>
      <c r="D13" s="542">
        <v>23.254999999999999</v>
      </c>
      <c r="E13" s="542">
        <v>65.253</v>
      </c>
      <c r="F13" s="601">
        <v>180.59772092023221</v>
      </c>
      <c r="J13" s="349"/>
      <c r="K13" s="349"/>
    </row>
    <row r="14" spans="1:11" s="252" customFormat="1" ht="9" customHeight="1">
      <c r="A14" s="539" t="s">
        <v>82</v>
      </c>
      <c r="B14" s="441" t="s">
        <v>546</v>
      </c>
      <c r="C14" s="530">
        <v>7.7609999999999998E-2</v>
      </c>
      <c r="D14" s="530">
        <v>2.3179999999999999E-2</v>
      </c>
      <c r="E14" s="530">
        <v>7.7609999999999998E-2</v>
      </c>
      <c r="F14" s="600">
        <v>234.81449525452976</v>
      </c>
      <c r="J14" s="349"/>
      <c r="K14" s="349"/>
    </row>
    <row r="15" spans="1:11" s="252" customFormat="1" ht="9" customHeight="1">
      <c r="A15" s="539" t="s">
        <v>407</v>
      </c>
      <c r="B15" s="441" t="s">
        <v>395</v>
      </c>
      <c r="C15" s="530">
        <v>129.32436000000001</v>
      </c>
      <c r="D15" s="530">
        <v>79.5351</v>
      </c>
      <c r="E15" s="530">
        <v>129.32436000000001</v>
      </c>
      <c r="F15" s="600">
        <v>62.600361349894577</v>
      </c>
      <c r="J15" s="349"/>
      <c r="K15" s="349"/>
    </row>
    <row r="16" spans="1:11" s="252" customFormat="1" ht="9" customHeight="1">
      <c r="A16" s="539" t="s">
        <v>407</v>
      </c>
      <c r="B16" s="441" t="s">
        <v>403</v>
      </c>
      <c r="C16" s="530">
        <v>3.1983199999999998</v>
      </c>
      <c r="D16" s="530">
        <v>6.3713300000000004</v>
      </c>
      <c r="E16" s="530">
        <v>3.1983199999999998</v>
      </c>
      <c r="F16" s="600">
        <v>-49.801375850881996</v>
      </c>
      <c r="J16" s="349"/>
      <c r="K16" s="349"/>
    </row>
    <row r="17" spans="1:11" s="252" customFormat="1" ht="9" customHeight="1">
      <c r="A17" s="539" t="s">
        <v>407</v>
      </c>
      <c r="B17" s="441" t="s">
        <v>624</v>
      </c>
      <c r="C17" s="530">
        <v>114.37119</v>
      </c>
      <c r="D17" s="530">
        <v>57.113439999999997</v>
      </c>
      <c r="E17" s="530">
        <v>114.37119</v>
      </c>
      <c r="F17" s="600">
        <v>100.25267257584204</v>
      </c>
      <c r="J17" s="349"/>
      <c r="K17" s="349"/>
    </row>
    <row r="18" spans="1:11" s="252" customFormat="1" ht="9" customHeight="1">
      <c r="A18" s="539" t="s">
        <v>407</v>
      </c>
      <c r="B18" s="441" t="s">
        <v>234</v>
      </c>
      <c r="C18" s="530">
        <v>87.032250000000005</v>
      </c>
      <c r="D18" s="530">
        <v>132.03461999999999</v>
      </c>
      <c r="E18" s="530">
        <v>87.032250000000005</v>
      </c>
      <c r="F18" s="600">
        <v>-34.083765303372708</v>
      </c>
      <c r="J18" s="349"/>
      <c r="K18" s="349"/>
    </row>
    <row r="19" spans="1:11" s="252" customFormat="1" ht="9" customHeight="1">
      <c r="A19" s="539" t="s">
        <v>407</v>
      </c>
      <c r="B19" s="441" t="s">
        <v>329</v>
      </c>
      <c r="C19" s="530">
        <v>0</v>
      </c>
      <c r="D19" s="530">
        <v>0</v>
      </c>
      <c r="E19" s="530">
        <v>0</v>
      </c>
      <c r="F19" s="600">
        <v>0</v>
      </c>
      <c r="J19" s="349"/>
      <c r="K19" s="349"/>
    </row>
    <row r="20" spans="1:11" s="252" customFormat="1" ht="9" customHeight="1">
      <c r="A20" s="539" t="s">
        <v>407</v>
      </c>
      <c r="B20" s="441" t="s">
        <v>235</v>
      </c>
      <c r="C20" s="530">
        <v>494.90597000000002</v>
      </c>
      <c r="D20" s="530">
        <v>339.19355999999999</v>
      </c>
      <c r="E20" s="530">
        <v>494.90597000000002</v>
      </c>
      <c r="F20" s="600">
        <v>45.906652826781261</v>
      </c>
      <c r="J20" s="349"/>
      <c r="K20" s="349"/>
    </row>
    <row r="21" spans="1:11" s="252" customFormat="1" ht="9" customHeight="1">
      <c r="A21" s="539" t="s">
        <v>407</v>
      </c>
      <c r="B21" s="441" t="s">
        <v>236</v>
      </c>
      <c r="C21" s="530">
        <v>0</v>
      </c>
      <c r="D21" s="530">
        <v>104.34846</v>
      </c>
      <c r="E21" s="530">
        <v>0</v>
      </c>
      <c r="F21" s="600">
        <v>-100</v>
      </c>
      <c r="J21" s="349"/>
      <c r="K21" s="349"/>
    </row>
    <row r="22" spans="1:11" s="252" customFormat="1" ht="9" customHeight="1">
      <c r="A22" s="539" t="s">
        <v>407</v>
      </c>
      <c r="B22" s="441" t="s">
        <v>396</v>
      </c>
      <c r="C22" s="530">
        <v>0</v>
      </c>
      <c r="D22" s="530">
        <v>0</v>
      </c>
      <c r="E22" s="530">
        <v>0</v>
      </c>
      <c r="F22" s="600">
        <v>0</v>
      </c>
      <c r="J22" s="349"/>
      <c r="K22" s="349"/>
    </row>
    <row r="23" spans="1:11" s="252" customFormat="1" ht="9" customHeight="1">
      <c r="A23" s="539" t="s">
        <v>407</v>
      </c>
      <c r="B23" s="441" t="s">
        <v>237</v>
      </c>
      <c r="C23" s="530">
        <v>0</v>
      </c>
      <c r="D23" s="530">
        <v>0</v>
      </c>
      <c r="E23" s="530">
        <v>0</v>
      </c>
      <c r="F23" s="600">
        <v>0</v>
      </c>
      <c r="J23" s="349"/>
      <c r="K23" s="349"/>
    </row>
    <row r="24" spans="1:11" s="252" customFormat="1" ht="9" customHeight="1">
      <c r="A24" s="539" t="s">
        <v>407</v>
      </c>
      <c r="B24" s="441" t="s">
        <v>625</v>
      </c>
      <c r="C24" s="530">
        <v>0</v>
      </c>
      <c r="D24" s="530">
        <v>0</v>
      </c>
      <c r="E24" s="530">
        <v>0</v>
      </c>
      <c r="F24" s="600">
        <v>0</v>
      </c>
      <c r="J24" s="349"/>
      <c r="K24" s="349"/>
    </row>
    <row r="25" spans="1:11" s="252" customFormat="1" ht="9" customHeight="1">
      <c r="A25" s="540" t="s">
        <v>375</v>
      </c>
      <c r="B25" s="541"/>
      <c r="C25" s="542">
        <v>828.90970000000004</v>
      </c>
      <c r="D25" s="542">
        <v>718.61968999999999</v>
      </c>
      <c r="E25" s="542">
        <v>828.90970000000004</v>
      </c>
      <c r="F25" s="601">
        <v>15.347479554867192</v>
      </c>
      <c r="J25" s="349"/>
      <c r="K25" s="349"/>
    </row>
    <row r="26" spans="1:11" s="252" customFormat="1" ht="9" customHeight="1">
      <c r="A26" s="539" t="s">
        <v>626</v>
      </c>
      <c r="B26" s="441" t="s">
        <v>238</v>
      </c>
      <c r="C26" s="530">
        <v>522.68199000000004</v>
      </c>
      <c r="D26" s="530">
        <v>544.47199000000001</v>
      </c>
      <c r="E26" s="530">
        <v>522.68199000000004</v>
      </c>
      <c r="F26" s="600">
        <v>-4.0020424191150772</v>
      </c>
      <c r="J26" s="349"/>
      <c r="K26" s="349"/>
    </row>
    <row r="27" spans="1:11" s="252" customFormat="1" ht="9" customHeight="1">
      <c r="A27" s="540" t="s">
        <v>627</v>
      </c>
      <c r="B27" s="541"/>
      <c r="C27" s="542">
        <v>522.68199000000004</v>
      </c>
      <c r="D27" s="542">
        <v>544.47199000000001</v>
      </c>
      <c r="E27" s="542">
        <v>522.68199000000004</v>
      </c>
      <c r="F27" s="601">
        <v>-4.0020424191150772</v>
      </c>
      <c r="J27" s="349"/>
      <c r="K27" s="349"/>
    </row>
    <row r="28" spans="1:11" s="252" customFormat="1" ht="9" customHeight="1">
      <c r="A28" s="539" t="s">
        <v>628</v>
      </c>
      <c r="B28" s="441" t="s">
        <v>547</v>
      </c>
      <c r="C28" s="530">
        <v>-2.3500000000000001E-3</v>
      </c>
      <c r="D28" s="530">
        <v>-4.7800000000000004E-3</v>
      </c>
      <c r="E28" s="530">
        <v>-2.3500000000000001E-3</v>
      </c>
      <c r="F28" s="600">
        <v>-50.836820083682007</v>
      </c>
      <c r="J28" s="349"/>
      <c r="K28" s="349"/>
    </row>
    <row r="29" spans="1:11" s="252" customFormat="1" ht="9" customHeight="1">
      <c r="A29" s="539" t="s">
        <v>407</v>
      </c>
      <c r="B29" s="441" t="s">
        <v>351</v>
      </c>
      <c r="C29" s="530">
        <v>20.925999999999998</v>
      </c>
      <c r="D29" s="530">
        <v>20.796309999999998</v>
      </c>
      <c r="E29" s="530">
        <v>20.925999999999998</v>
      </c>
      <c r="F29" s="600">
        <v>0.6236202480151527</v>
      </c>
      <c r="J29" s="349"/>
      <c r="K29" s="349"/>
    </row>
    <row r="30" spans="1:11" s="252" customFormat="1" ht="9" customHeight="1">
      <c r="A30" s="539" t="s">
        <v>407</v>
      </c>
      <c r="B30" s="441" t="s">
        <v>348</v>
      </c>
      <c r="C30" s="530">
        <v>5.8639999999999999</v>
      </c>
      <c r="D30" s="530">
        <v>8.4458500000000001</v>
      </c>
      <c r="E30" s="530">
        <v>5.8639999999999999</v>
      </c>
      <c r="F30" s="600">
        <v>-30.569451268966414</v>
      </c>
      <c r="J30" s="349"/>
      <c r="K30" s="349"/>
    </row>
    <row r="31" spans="1:11" s="252" customFormat="1" ht="9" customHeight="1">
      <c r="A31" s="540" t="s">
        <v>629</v>
      </c>
      <c r="B31" s="541"/>
      <c r="C31" s="542">
        <v>26.787649999999999</v>
      </c>
      <c r="D31" s="542">
        <v>29.237380000000002</v>
      </c>
      <c r="E31" s="542">
        <v>26.787649999999999</v>
      </c>
      <c r="F31" s="601">
        <v>-8.3787603403588147</v>
      </c>
      <c r="J31" s="349"/>
      <c r="K31" s="349"/>
    </row>
    <row r="32" spans="1:11" s="252" customFormat="1" ht="9" customHeight="1">
      <c r="A32" s="539" t="s">
        <v>630</v>
      </c>
      <c r="B32" s="441" t="s">
        <v>321</v>
      </c>
      <c r="C32" s="530">
        <v>20.387560000000001</v>
      </c>
      <c r="D32" s="530">
        <v>20.397349999999999</v>
      </c>
      <c r="E32" s="530">
        <v>20.387560000000001</v>
      </c>
      <c r="F32" s="600">
        <v>-4.7996430908917094E-2</v>
      </c>
      <c r="J32" s="349"/>
      <c r="K32" s="349"/>
    </row>
    <row r="33" spans="1:11" s="252" customFormat="1" ht="9" customHeight="1">
      <c r="A33" s="539" t="s">
        <v>407</v>
      </c>
      <c r="B33" s="441" t="s">
        <v>319</v>
      </c>
      <c r="C33" s="530">
        <v>20.393439999999998</v>
      </c>
      <c r="D33" s="530">
        <v>20.403210000000001</v>
      </c>
      <c r="E33" s="530">
        <v>20.393439999999998</v>
      </c>
      <c r="F33" s="600">
        <v>-4.7884622076624223E-2</v>
      </c>
      <c r="J33" s="349"/>
      <c r="K33" s="349"/>
    </row>
    <row r="34" spans="1:11" s="252" customFormat="1" ht="9" customHeight="1">
      <c r="A34" s="539" t="s">
        <v>407</v>
      </c>
      <c r="B34" s="441" t="s">
        <v>320</v>
      </c>
      <c r="C34" s="530">
        <v>18.44256</v>
      </c>
      <c r="D34" s="530">
        <v>20.379639999999998</v>
      </c>
      <c r="E34" s="530">
        <v>18.44256</v>
      </c>
      <c r="F34" s="600">
        <v>-9.5049765354049445</v>
      </c>
      <c r="J34" s="349"/>
      <c r="K34" s="349"/>
    </row>
    <row r="35" spans="1:11" s="252" customFormat="1" ht="9.6" customHeight="1">
      <c r="A35" s="539" t="s">
        <v>407</v>
      </c>
      <c r="B35" s="441" t="s">
        <v>61</v>
      </c>
      <c r="C35" s="530">
        <v>0</v>
      </c>
      <c r="D35" s="530">
        <v>0</v>
      </c>
      <c r="E35" s="530">
        <v>0</v>
      </c>
      <c r="F35" s="600">
        <v>0</v>
      </c>
      <c r="J35" s="349"/>
      <c r="K35" s="349"/>
    </row>
    <row r="36" spans="1:11" s="252" customFormat="1" ht="9.6" customHeight="1">
      <c r="A36" s="540" t="s">
        <v>631</v>
      </c>
      <c r="B36" s="541"/>
      <c r="C36" s="542">
        <v>59.223559999999999</v>
      </c>
      <c r="D36" s="542">
        <v>61.180199999999999</v>
      </c>
      <c r="E36" s="542">
        <v>59.223559999999999</v>
      </c>
      <c r="F36" s="601">
        <v>-3.1981588814681876</v>
      </c>
      <c r="J36" s="349"/>
      <c r="K36" s="349"/>
    </row>
    <row r="37" spans="1:11" s="252" customFormat="1" ht="9.6" customHeight="1">
      <c r="A37" s="539" t="s">
        <v>632</v>
      </c>
      <c r="B37" s="441" t="s">
        <v>633</v>
      </c>
      <c r="C37" s="530">
        <v>36.528060000000004</v>
      </c>
      <c r="D37" s="530">
        <v>0</v>
      </c>
      <c r="E37" s="530">
        <v>36.528060000000004</v>
      </c>
      <c r="F37" s="600">
        <v>0</v>
      </c>
      <c r="J37" s="349"/>
      <c r="K37" s="349"/>
    </row>
    <row r="38" spans="1:11" s="252" customFormat="1" ht="9.6" customHeight="1">
      <c r="A38" s="540" t="s">
        <v>634</v>
      </c>
      <c r="B38" s="541"/>
      <c r="C38" s="542">
        <v>36.528060000000004</v>
      </c>
      <c r="D38" s="542">
        <v>0</v>
      </c>
      <c r="E38" s="542">
        <v>36.528060000000004</v>
      </c>
      <c r="F38" s="601">
        <v>0</v>
      </c>
      <c r="J38" s="349"/>
      <c r="K38" s="349"/>
    </row>
    <row r="39" spans="1:11" s="252" customFormat="1" ht="9.6" customHeight="1">
      <c r="A39" s="539" t="s">
        <v>1010</v>
      </c>
      <c r="B39" s="441" t="s">
        <v>635</v>
      </c>
      <c r="C39" s="530">
        <v>0</v>
      </c>
      <c r="D39" s="530">
        <v>0</v>
      </c>
      <c r="E39" s="530">
        <v>0</v>
      </c>
      <c r="F39" s="600">
        <v>0</v>
      </c>
      <c r="J39" s="349"/>
      <c r="K39" s="349"/>
    </row>
    <row r="40" spans="1:11" s="252" customFormat="1" ht="9.6" customHeight="1">
      <c r="A40" s="540" t="s">
        <v>636</v>
      </c>
      <c r="B40" s="541"/>
      <c r="C40" s="542">
        <v>0</v>
      </c>
      <c r="D40" s="542">
        <v>0</v>
      </c>
      <c r="E40" s="542">
        <v>0</v>
      </c>
      <c r="F40" s="601">
        <v>0</v>
      </c>
      <c r="J40" s="349"/>
      <c r="K40" s="349"/>
    </row>
    <row r="41" spans="1:11" s="252" customFormat="1" ht="9.6" customHeight="1">
      <c r="A41" s="539" t="s">
        <v>637</v>
      </c>
      <c r="B41" s="441" t="s">
        <v>367</v>
      </c>
      <c r="C41" s="530">
        <v>2.649E-2</v>
      </c>
      <c r="D41" s="530">
        <v>8.4010700000000007</v>
      </c>
      <c r="E41" s="530">
        <v>2.649E-2</v>
      </c>
      <c r="F41" s="600">
        <v>-99.684683022519749</v>
      </c>
      <c r="J41" s="349"/>
      <c r="K41" s="349"/>
    </row>
    <row r="42" spans="1:11" s="252" customFormat="1" ht="8.4" customHeight="1">
      <c r="A42" s="540" t="s">
        <v>638</v>
      </c>
      <c r="B42" s="541"/>
      <c r="C42" s="542">
        <v>2.649E-2</v>
      </c>
      <c r="D42" s="542">
        <v>8.4010700000000007</v>
      </c>
      <c r="E42" s="542">
        <v>2.649E-2</v>
      </c>
      <c r="F42" s="601">
        <v>-99.684683022519749</v>
      </c>
      <c r="J42" s="349"/>
      <c r="K42" s="349"/>
    </row>
    <row r="43" spans="1:11" s="252" customFormat="1" ht="8.4" customHeight="1">
      <c r="A43" s="539" t="s">
        <v>639</v>
      </c>
      <c r="B43" s="441" t="s">
        <v>368</v>
      </c>
      <c r="C43" s="530">
        <v>0</v>
      </c>
      <c r="D43" s="530">
        <v>11.21918</v>
      </c>
      <c r="E43" s="530">
        <v>0</v>
      </c>
      <c r="F43" s="600">
        <v>-100</v>
      </c>
      <c r="J43" s="349"/>
      <c r="K43" s="349"/>
    </row>
    <row r="44" spans="1:11" s="252" customFormat="1" ht="8.4" customHeight="1">
      <c r="A44" s="540" t="s">
        <v>640</v>
      </c>
      <c r="B44" s="541"/>
      <c r="C44" s="542">
        <v>0</v>
      </c>
      <c r="D44" s="542">
        <v>11.21918</v>
      </c>
      <c r="E44" s="542">
        <v>0</v>
      </c>
      <c r="F44" s="601">
        <v>-100</v>
      </c>
      <c r="J44" s="349"/>
      <c r="K44" s="349"/>
    </row>
    <row r="45" spans="1:11" s="252" customFormat="1" ht="8.4" customHeight="1">
      <c r="A45" s="539" t="s">
        <v>641</v>
      </c>
      <c r="B45" s="441" t="s">
        <v>69</v>
      </c>
      <c r="C45" s="530">
        <v>3.6</v>
      </c>
      <c r="D45" s="530">
        <v>3.6</v>
      </c>
      <c r="E45" s="530">
        <v>3.6</v>
      </c>
      <c r="F45" s="600">
        <v>0</v>
      </c>
      <c r="J45" s="349"/>
      <c r="K45" s="349"/>
    </row>
    <row r="46" spans="1:11" s="252" customFormat="1" ht="8.4" customHeight="1">
      <c r="A46" s="540" t="s">
        <v>642</v>
      </c>
      <c r="B46" s="541"/>
      <c r="C46" s="542">
        <v>3.6</v>
      </c>
      <c r="D46" s="542">
        <v>3.6</v>
      </c>
      <c r="E46" s="542">
        <v>3.6</v>
      </c>
      <c r="F46" s="601">
        <v>0</v>
      </c>
      <c r="J46" s="349"/>
      <c r="K46" s="349"/>
    </row>
    <row r="47" spans="1:11" s="441" customFormat="1" ht="8.4" customHeight="1">
      <c r="A47" s="539" t="s">
        <v>643</v>
      </c>
      <c r="B47" s="441" t="s">
        <v>239</v>
      </c>
      <c r="C47" s="530">
        <v>18.501470000000001</v>
      </c>
      <c r="D47" s="530">
        <v>18.655349999999999</v>
      </c>
      <c r="E47" s="530">
        <v>18.501470000000001</v>
      </c>
      <c r="F47" s="600">
        <v>-0.82485721254224653</v>
      </c>
      <c r="J47" s="531"/>
      <c r="K47" s="531"/>
    </row>
    <row r="48" spans="1:11" s="441" customFormat="1" ht="8.4" customHeight="1">
      <c r="A48" s="540" t="s">
        <v>644</v>
      </c>
      <c r="B48" s="541"/>
      <c r="C48" s="542">
        <v>18.501470000000001</v>
      </c>
      <c r="D48" s="542">
        <v>18.655349999999999</v>
      </c>
      <c r="E48" s="542">
        <v>18.501470000000001</v>
      </c>
      <c r="F48" s="601">
        <v>-0.82485721254224653</v>
      </c>
      <c r="J48" s="531"/>
      <c r="K48" s="531"/>
    </row>
    <row r="49" spans="1:11" s="252" customFormat="1" ht="8.4" customHeight="1">
      <c r="A49" s="539" t="s">
        <v>645</v>
      </c>
      <c r="B49" s="441" t="s">
        <v>548</v>
      </c>
      <c r="C49" s="530">
        <v>2.7E-4</v>
      </c>
      <c r="D49" s="530">
        <v>-5.8E-4</v>
      </c>
      <c r="E49" s="530">
        <v>2.7E-4</v>
      </c>
      <c r="F49" s="600">
        <v>-146.55172413793105</v>
      </c>
      <c r="J49" s="349"/>
      <c r="K49" s="349"/>
    </row>
    <row r="50" spans="1:11" s="252" customFormat="1" ht="8.4" customHeight="1">
      <c r="A50" s="539" t="s">
        <v>407</v>
      </c>
      <c r="B50" s="441" t="s">
        <v>54</v>
      </c>
      <c r="C50" s="530">
        <v>0</v>
      </c>
      <c r="D50" s="530">
        <v>18.369</v>
      </c>
      <c r="E50" s="530">
        <v>0</v>
      </c>
      <c r="F50" s="600">
        <v>-100</v>
      </c>
      <c r="J50" s="349"/>
      <c r="K50" s="349"/>
    </row>
    <row r="51" spans="1:11" s="252" customFormat="1" ht="8.4" customHeight="1">
      <c r="A51" s="540" t="s">
        <v>646</v>
      </c>
      <c r="B51" s="541"/>
      <c r="C51" s="542">
        <v>2.7E-4</v>
      </c>
      <c r="D51" s="542">
        <v>18.36842</v>
      </c>
      <c r="E51" s="542">
        <v>2.7E-4</v>
      </c>
      <c r="F51" s="601">
        <v>-99.998530085875643</v>
      </c>
      <c r="J51" s="349"/>
      <c r="K51" s="349"/>
    </row>
    <row r="52" spans="1:11" s="252" customFormat="1" ht="8.4" customHeight="1">
      <c r="A52" s="539" t="s">
        <v>647</v>
      </c>
      <c r="B52" s="441" t="s">
        <v>648</v>
      </c>
      <c r="C52" s="530">
        <v>0</v>
      </c>
      <c r="D52" s="530">
        <v>0</v>
      </c>
      <c r="E52" s="530">
        <v>0</v>
      </c>
      <c r="F52" s="600">
        <v>0</v>
      </c>
      <c r="J52" s="349"/>
      <c r="K52" s="349"/>
    </row>
    <row r="53" spans="1:11" s="252" customFormat="1" ht="8.4" customHeight="1">
      <c r="A53" s="539" t="s">
        <v>407</v>
      </c>
      <c r="B53" s="441" t="s">
        <v>649</v>
      </c>
      <c r="C53" s="530">
        <v>0</v>
      </c>
      <c r="D53" s="530">
        <v>0</v>
      </c>
      <c r="E53" s="530">
        <v>0</v>
      </c>
      <c r="F53" s="600">
        <v>0</v>
      </c>
      <c r="J53" s="349"/>
      <c r="K53" s="349"/>
    </row>
    <row r="54" spans="1:11" s="252" customFormat="1" ht="8.4" customHeight="1">
      <c r="A54" s="540" t="s">
        <v>650</v>
      </c>
      <c r="B54" s="541"/>
      <c r="C54" s="542">
        <v>0</v>
      </c>
      <c r="D54" s="542">
        <v>0</v>
      </c>
      <c r="E54" s="542">
        <v>0</v>
      </c>
      <c r="F54" s="601">
        <v>0</v>
      </c>
      <c r="J54" s="349"/>
      <c r="K54" s="349"/>
    </row>
    <row r="55" spans="1:11" s="252" customFormat="1" ht="8.4" customHeight="1">
      <c r="A55" s="539" t="s">
        <v>651</v>
      </c>
      <c r="B55" s="441" t="s">
        <v>334</v>
      </c>
      <c r="C55" s="530">
        <v>90.838999999999999</v>
      </c>
      <c r="D55" s="530">
        <v>51.949440000000003</v>
      </c>
      <c r="E55" s="530">
        <v>90.838999999999999</v>
      </c>
      <c r="F55" s="600">
        <v>74.860402730039041</v>
      </c>
      <c r="J55" s="349"/>
      <c r="K55" s="349"/>
    </row>
    <row r="56" spans="1:11" s="252" customFormat="1" ht="8.4" customHeight="1">
      <c r="A56" s="540" t="s">
        <v>652</v>
      </c>
      <c r="B56" s="541"/>
      <c r="C56" s="542">
        <v>90.838999999999999</v>
      </c>
      <c r="D56" s="542">
        <v>51.949440000000003</v>
      </c>
      <c r="E56" s="542">
        <v>90.838999999999999</v>
      </c>
      <c r="F56" s="601">
        <v>74.860402730039041</v>
      </c>
      <c r="J56" s="349"/>
      <c r="K56" s="349"/>
    </row>
    <row r="57" spans="1:11" s="252" customFormat="1" ht="8.4" customHeight="1">
      <c r="A57" s="539" t="s">
        <v>746</v>
      </c>
      <c r="B57" s="441" t="s">
        <v>255</v>
      </c>
      <c r="C57" s="530">
        <v>0</v>
      </c>
      <c r="D57" s="530"/>
      <c r="E57" s="530">
        <v>0</v>
      </c>
      <c r="F57" s="600" t="str">
        <f>+IF(D57="","",C57/D57-1)</f>
        <v/>
      </c>
      <c r="J57" s="349"/>
      <c r="K57" s="349"/>
    </row>
    <row r="58" spans="1:11" s="252" customFormat="1" ht="8.4" customHeight="1">
      <c r="A58" s="540" t="s">
        <v>747</v>
      </c>
      <c r="B58" s="541"/>
      <c r="C58" s="542">
        <v>0</v>
      </c>
      <c r="D58" s="542"/>
      <c r="E58" s="542">
        <v>0</v>
      </c>
      <c r="F58" s="601" t="str">
        <f>+IF(D58="","",C58/D58-1)</f>
        <v/>
      </c>
      <c r="J58" s="349"/>
      <c r="K58" s="349"/>
    </row>
    <row r="59" spans="1:11" s="252" customFormat="1" ht="8.4" customHeight="1">
      <c r="A59" s="539" t="s">
        <v>653</v>
      </c>
      <c r="B59" s="441" t="s">
        <v>549</v>
      </c>
      <c r="C59" s="530">
        <v>0.12615999999999999</v>
      </c>
      <c r="D59" s="530">
        <v>0</v>
      </c>
      <c r="E59" s="530">
        <v>0.12615999999999999</v>
      </c>
      <c r="F59" s="600">
        <v>0</v>
      </c>
      <c r="J59" s="349"/>
      <c r="K59" s="349"/>
    </row>
    <row r="60" spans="1:11" s="252" customFormat="1" ht="8.4" customHeight="1">
      <c r="A60" s="539" t="s">
        <v>407</v>
      </c>
      <c r="B60" s="441" t="s">
        <v>332</v>
      </c>
      <c r="C60" s="530">
        <v>563.25792999999999</v>
      </c>
      <c r="D60" s="530">
        <v>561.18841999999995</v>
      </c>
      <c r="E60" s="530">
        <v>563.25792999999999</v>
      </c>
      <c r="F60" s="600">
        <v>0.36877275550340116</v>
      </c>
      <c r="J60" s="349"/>
      <c r="K60" s="349"/>
    </row>
    <row r="61" spans="1:11" s="252" customFormat="1" ht="8.4" customHeight="1">
      <c r="A61" s="539" t="s">
        <v>407</v>
      </c>
      <c r="B61" s="441" t="s">
        <v>241</v>
      </c>
      <c r="C61" s="530">
        <v>832.58123999999998</v>
      </c>
      <c r="D61" s="530">
        <v>803.14072999999996</v>
      </c>
      <c r="E61" s="530">
        <v>832.58123999999998</v>
      </c>
      <c r="F61" s="600">
        <v>3.665672639961866</v>
      </c>
      <c r="J61" s="349"/>
      <c r="K61" s="349"/>
    </row>
    <row r="62" spans="1:11" s="252" customFormat="1" ht="8.4" customHeight="1">
      <c r="A62" s="539" t="s">
        <v>407</v>
      </c>
      <c r="B62" s="441" t="s">
        <v>388</v>
      </c>
      <c r="C62" s="530">
        <v>310.48160000000001</v>
      </c>
      <c r="D62" s="530">
        <v>293.7029</v>
      </c>
      <c r="E62" s="530">
        <v>310.48160000000001</v>
      </c>
      <c r="F62" s="600">
        <v>5.7128138673469007</v>
      </c>
      <c r="J62" s="349"/>
      <c r="K62" s="349"/>
    </row>
    <row r="63" spans="1:11" s="252" customFormat="1" ht="8.4" customHeight="1">
      <c r="A63" s="539" t="s">
        <v>407</v>
      </c>
      <c r="B63" s="441" t="s">
        <v>242</v>
      </c>
      <c r="C63" s="530">
        <v>10.47702</v>
      </c>
      <c r="D63" s="530">
        <v>10.13442</v>
      </c>
      <c r="E63" s="530">
        <v>10.47702</v>
      </c>
      <c r="F63" s="600">
        <v>3.3805585322100327</v>
      </c>
      <c r="J63" s="349"/>
      <c r="K63" s="349"/>
    </row>
    <row r="64" spans="1:11" s="252" customFormat="1" ht="8.4" customHeight="1">
      <c r="A64" s="540" t="s">
        <v>654</v>
      </c>
      <c r="B64" s="541"/>
      <c r="C64" s="542">
        <v>1716.9239500000001</v>
      </c>
      <c r="D64" s="542">
        <v>1668.1664699999999</v>
      </c>
      <c r="E64" s="542">
        <v>1716.9239500000001</v>
      </c>
      <c r="F64" s="601">
        <v>2.9228186081452652</v>
      </c>
      <c r="J64" s="349"/>
      <c r="K64" s="349"/>
    </row>
    <row r="65" spans="1:11" s="252" customFormat="1" ht="8.4" customHeight="1">
      <c r="A65" s="539" t="s">
        <v>655</v>
      </c>
      <c r="B65" s="441" t="s">
        <v>404</v>
      </c>
      <c r="C65" s="530">
        <v>0</v>
      </c>
      <c r="D65" s="530">
        <v>0</v>
      </c>
      <c r="E65" s="530">
        <v>0</v>
      </c>
      <c r="F65" s="600">
        <v>0</v>
      </c>
      <c r="J65" s="349"/>
      <c r="K65" s="349"/>
    </row>
    <row r="66" spans="1:11" s="252" customFormat="1" ht="8.4" customHeight="1">
      <c r="A66" s="540" t="s">
        <v>656</v>
      </c>
      <c r="B66" s="541"/>
      <c r="C66" s="542">
        <v>0</v>
      </c>
      <c r="D66" s="542">
        <v>0</v>
      </c>
      <c r="E66" s="542">
        <v>0</v>
      </c>
      <c r="F66" s="601">
        <v>0</v>
      </c>
      <c r="J66" s="349"/>
      <c r="K66" s="349"/>
    </row>
    <row r="67" spans="1:11" s="252" customFormat="1" ht="8.4" customHeight="1">
      <c r="A67" s="539" t="s">
        <v>369</v>
      </c>
      <c r="B67" s="441" t="s">
        <v>387</v>
      </c>
      <c r="C67" s="530">
        <v>81.977999999999994</v>
      </c>
      <c r="D67" s="530">
        <v>81.448999999999998</v>
      </c>
      <c r="E67" s="530">
        <v>81.977999999999994</v>
      </c>
      <c r="F67" s="600">
        <v>0.64948618153691262</v>
      </c>
      <c r="J67" s="349"/>
      <c r="K67" s="349"/>
    </row>
    <row r="68" spans="1:11" s="252" customFormat="1" ht="8.4" customHeight="1">
      <c r="A68" s="540" t="s">
        <v>376</v>
      </c>
      <c r="B68" s="541"/>
      <c r="C68" s="542">
        <v>81.977999999999994</v>
      </c>
      <c r="D68" s="542">
        <v>81.448999999999998</v>
      </c>
      <c r="E68" s="542">
        <v>81.977999999999994</v>
      </c>
      <c r="F68" s="601">
        <v>0.64948618153691262</v>
      </c>
      <c r="J68" s="349"/>
      <c r="K68" s="349"/>
    </row>
    <row r="69" spans="1:11" s="252" customFormat="1" ht="8.4" customHeight="1">
      <c r="A69" s="539" t="s">
        <v>657</v>
      </c>
      <c r="B69" s="441" t="s">
        <v>67</v>
      </c>
      <c r="C69" s="530">
        <v>3.58</v>
      </c>
      <c r="D69" s="530">
        <v>3.629</v>
      </c>
      <c r="E69" s="530">
        <v>3.58</v>
      </c>
      <c r="F69" s="600">
        <v>-1.350234224304216</v>
      </c>
      <c r="J69" s="349"/>
      <c r="K69" s="349"/>
    </row>
    <row r="70" spans="1:11" s="252" customFormat="1" ht="8.4" customHeight="1">
      <c r="A70" s="540" t="s">
        <v>658</v>
      </c>
      <c r="B70" s="541"/>
      <c r="C70" s="542">
        <v>3.58</v>
      </c>
      <c r="D70" s="542">
        <v>3.629</v>
      </c>
      <c r="E70" s="542">
        <v>3.58</v>
      </c>
      <c r="F70" s="601">
        <v>-1.350234224304216</v>
      </c>
      <c r="J70" s="349"/>
      <c r="K70" s="349"/>
    </row>
    <row r="71" spans="1:11" s="252" customFormat="1" ht="8.4" customHeight="1">
      <c r="A71" s="539" t="s">
        <v>659</v>
      </c>
      <c r="B71" s="441" t="s">
        <v>182</v>
      </c>
      <c r="C71" s="530">
        <v>0</v>
      </c>
      <c r="D71" s="530">
        <v>0</v>
      </c>
      <c r="E71" s="530">
        <v>0</v>
      </c>
      <c r="F71" s="600">
        <v>0</v>
      </c>
      <c r="J71" s="349"/>
      <c r="K71" s="349"/>
    </row>
    <row r="72" spans="1:11" s="252" customFormat="1" ht="8.4" customHeight="1">
      <c r="A72" s="540" t="s">
        <v>660</v>
      </c>
      <c r="B72" s="541"/>
      <c r="C72" s="542">
        <v>0</v>
      </c>
      <c r="D72" s="542">
        <v>0</v>
      </c>
      <c r="E72" s="542">
        <v>0</v>
      </c>
      <c r="F72" s="601">
        <v>0</v>
      </c>
      <c r="J72" s="349"/>
      <c r="K72" s="349"/>
    </row>
    <row r="73" spans="1:11" ht="8.4" customHeight="1">
      <c r="A73" s="539" t="s">
        <v>562</v>
      </c>
      <c r="B73" s="441" t="s">
        <v>208</v>
      </c>
      <c r="C73" s="530">
        <v>0</v>
      </c>
      <c r="D73" s="530">
        <v>0</v>
      </c>
      <c r="E73" s="530">
        <v>0</v>
      </c>
      <c r="F73" s="600">
        <v>0</v>
      </c>
    </row>
    <row r="74" spans="1:11">
      <c r="A74" s="540" t="s">
        <v>661</v>
      </c>
      <c r="B74" s="541"/>
      <c r="C74" s="542">
        <v>0</v>
      </c>
      <c r="D74" s="542">
        <v>0</v>
      </c>
      <c r="E74" s="542">
        <v>0</v>
      </c>
      <c r="F74" s="601">
        <v>0</v>
      </c>
    </row>
    <row r="75" spans="1:11">
      <c r="A75" s="539" t="s">
        <v>662</v>
      </c>
      <c r="B75" s="441" t="s">
        <v>76</v>
      </c>
      <c r="C75" s="530">
        <v>0</v>
      </c>
      <c r="D75" s="530">
        <v>0</v>
      </c>
      <c r="E75" s="530">
        <v>0</v>
      </c>
      <c r="F75" s="600">
        <v>0</v>
      </c>
    </row>
    <row r="76" spans="1:11">
      <c r="A76" s="540" t="s">
        <v>663</v>
      </c>
      <c r="B76" s="541"/>
      <c r="C76" s="542">
        <v>0</v>
      </c>
      <c r="D76" s="542">
        <v>0</v>
      </c>
      <c r="E76" s="542">
        <v>0</v>
      </c>
      <c r="F76" s="601">
        <v>0</v>
      </c>
    </row>
    <row r="77" spans="1:11">
      <c r="F77" s="522"/>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7"/>
  <sheetViews>
    <sheetView showGridLines="0" view="pageBreakPreview" zoomScale="130" zoomScaleNormal="100" zoomScaleSheetLayoutView="130" zoomScalePageLayoutView="130" workbookViewId="0">
      <selection activeCell="K7" sqref="K7"/>
    </sheetView>
  </sheetViews>
  <sheetFormatPr defaultColWidth="9.28515625" defaultRowHeight="9.6"/>
  <cols>
    <col min="1" max="1" width="36.7109375" style="235" customWidth="1"/>
    <col min="2" max="2" width="22.7109375" style="235" customWidth="1"/>
    <col min="3" max="3" width="16.42578125" style="235" customWidth="1"/>
    <col min="4" max="4" width="17.7109375" style="235" customWidth="1"/>
    <col min="5" max="5" width="15.140625" style="235" customWidth="1"/>
    <col min="6" max="6" width="12.85546875" style="235" customWidth="1"/>
    <col min="7" max="16384" width="9.28515625" style="235"/>
  </cols>
  <sheetData>
    <row r="1" spans="1:6" s="252" customFormat="1" ht="11.25" customHeight="1">
      <c r="A1" s="906" t="s">
        <v>199</v>
      </c>
      <c r="B1" s="907" t="s">
        <v>50</v>
      </c>
      <c r="C1" s="907" t="s">
        <v>263</v>
      </c>
      <c r="D1" s="907"/>
      <c r="E1" s="907"/>
      <c r="F1" s="908"/>
    </row>
    <row r="2" spans="1:6" s="252" customFormat="1" ht="11.25" customHeight="1">
      <c r="A2" s="900"/>
      <c r="B2" s="903"/>
      <c r="C2" s="327" t="str">
        <f>UPPER('1. Resumen'!Q4)&amp;" "&amp;'1. Resumen'!Q5</f>
        <v>FEBRERO 2025</v>
      </c>
      <c r="D2" s="328" t="str">
        <f>UPPER('1. Resumen'!Q4)&amp;" "&amp;'1. Resumen'!Q5-1</f>
        <v>FEBRERO 2024</v>
      </c>
      <c r="E2" s="328">
        <v>2025</v>
      </c>
      <c r="F2" s="413" t="s">
        <v>762</v>
      </c>
    </row>
    <row r="3" spans="1:6" s="252" customFormat="1" ht="11.25" customHeight="1">
      <c r="A3" s="900"/>
      <c r="B3" s="903"/>
      <c r="C3" s="329" t="str">
        <f>'21. ANEXOII-1'!C4</f>
        <v>27/01/2025</v>
      </c>
      <c r="D3" s="329" t="str">
        <f>'21. ANEXOII-1'!D4</f>
        <v>26/01/2024</v>
      </c>
      <c r="E3" s="329" t="str">
        <f>'21. ANEXOII-1'!E4</f>
        <v>27/01/2025</v>
      </c>
      <c r="F3" s="414" t="s">
        <v>260</v>
      </c>
    </row>
    <row r="4" spans="1:6" s="252" customFormat="1" ht="11.25" customHeight="1">
      <c r="A4" s="901"/>
      <c r="B4" s="904"/>
      <c r="C4" s="330">
        <f>+'8. Max Potencia'!D9</f>
        <v>45713.8125</v>
      </c>
      <c r="D4" s="330">
        <f>+'8. Max Potencia'!E9</f>
        <v>45329.854166666664</v>
      </c>
      <c r="E4" s="330" t="str">
        <f>+'22. ANEXOII-2'!E4</f>
        <v>19:45</v>
      </c>
      <c r="F4" s="415" t="s">
        <v>261</v>
      </c>
    </row>
    <row r="5" spans="1:6" s="252" customFormat="1" ht="8.4" customHeight="1">
      <c r="A5" s="432" t="s">
        <v>190</v>
      </c>
      <c r="B5" s="252" t="s">
        <v>66</v>
      </c>
      <c r="C5" s="405">
        <v>5.3214899999999998</v>
      </c>
      <c r="D5" s="405">
        <v>0</v>
      </c>
      <c r="E5" s="405">
        <v>5.3214899999999998</v>
      </c>
      <c r="F5" s="595" t="e">
        <f>+IF(D5="","",C5/D5-1)</f>
        <v>#DIV/0!</v>
      </c>
    </row>
    <row r="6" spans="1:6" s="252" customFormat="1" ht="8.4" customHeight="1">
      <c r="A6" s="432" t="s">
        <v>407</v>
      </c>
      <c r="B6" s="252" t="s">
        <v>243</v>
      </c>
      <c r="C6" s="405">
        <v>238.72134</v>
      </c>
      <c r="D6" s="405">
        <v>231.33190999999999</v>
      </c>
      <c r="E6" s="405">
        <v>238.72134</v>
      </c>
      <c r="F6" s="595">
        <f t="shared" ref="F6:F55" si="0">+IF(D6="","",C6/D6-1)</f>
        <v>3.1942977516590698E-2</v>
      </c>
    </row>
    <row r="7" spans="1:6" s="252" customFormat="1" ht="8.4" customHeight="1">
      <c r="A7" s="432" t="s">
        <v>407</v>
      </c>
      <c r="B7" s="252" t="s">
        <v>244</v>
      </c>
      <c r="C7" s="405">
        <v>90.143510000000006</v>
      </c>
      <c r="D7" s="405">
        <v>91.826620000000005</v>
      </c>
      <c r="E7" s="405">
        <v>90.143510000000006</v>
      </c>
      <c r="F7" s="595">
        <f t="shared" si="0"/>
        <v>-1.8329216516953406E-2</v>
      </c>
    </row>
    <row r="8" spans="1:6" s="252" customFormat="1" ht="8.4" customHeight="1">
      <c r="A8" s="432" t="s">
        <v>407</v>
      </c>
      <c r="B8" s="252" t="s">
        <v>57</v>
      </c>
      <c r="C8" s="405">
        <v>9.9082299999999996</v>
      </c>
      <c r="D8" s="405">
        <v>0</v>
      </c>
      <c r="E8" s="405">
        <v>9.9082299999999996</v>
      </c>
      <c r="F8" s="595" t="e">
        <f t="shared" si="0"/>
        <v>#DIV/0!</v>
      </c>
    </row>
    <row r="9" spans="1:6" s="252" customFormat="1" ht="8.4" customHeight="1">
      <c r="A9" s="540" t="s">
        <v>377</v>
      </c>
      <c r="B9" s="541"/>
      <c r="C9" s="542">
        <v>344.09456999999998</v>
      </c>
      <c r="D9" s="542">
        <v>323.15852999999998</v>
      </c>
      <c r="E9" s="542">
        <v>344.09456999999998</v>
      </c>
      <c r="F9" s="601">
        <f t="shared" si="0"/>
        <v>6.4785664175412538E-2</v>
      </c>
    </row>
    <row r="10" spans="1:6" s="252" customFormat="1" ht="8.4" customHeight="1">
      <c r="A10" s="432" t="s">
        <v>664</v>
      </c>
      <c r="B10" s="252" t="s">
        <v>181</v>
      </c>
      <c r="C10" s="405">
        <v>0</v>
      </c>
      <c r="D10" s="405">
        <v>0</v>
      </c>
      <c r="E10" s="405">
        <v>0</v>
      </c>
      <c r="F10" s="595"/>
    </row>
    <row r="11" spans="1:6" s="252" customFormat="1" ht="8.4" customHeight="1">
      <c r="A11" s="540" t="s">
        <v>665</v>
      </c>
      <c r="B11" s="541"/>
      <c r="C11" s="542">
        <v>0</v>
      </c>
      <c r="D11" s="542">
        <v>0</v>
      </c>
      <c r="E11" s="542">
        <v>0</v>
      </c>
      <c r="F11" s="601"/>
    </row>
    <row r="12" spans="1:6" s="252" customFormat="1" ht="8.4" customHeight="1">
      <c r="A12" s="432" t="s">
        <v>666</v>
      </c>
      <c r="B12" s="252" t="s">
        <v>73</v>
      </c>
      <c r="C12" s="405">
        <v>19.756640000000001</v>
      </c>
      <c r="D12" s="405">
        <v>21.530830000000002</v>
      </c>
      <c r="E12" s="405">
        <v>19.756640000000001</v>
      </c>
      <c r="F12" s="595">
        <f t="shared" si="0"/>
        <v>-8.2402304044943975E-2</v>
      </c>
    </row>
    <row r="13" spans="1:6" s="252" customFormat="1" ht="8.4" customHeight="1">
      <c r="A13" s="540" t="s">
        <v>667</v>
      </c>
      <c r="B13" s="541"/>
      <c r="C13" s="542">
        <v>19.756640000000001</v>
      </c>
      <c r="D13" s="542">
        <v>21.530830000000002</v>
      </c>
      <c r="E13" s="542">
        <v>19.756640000000001</v>
      </c>
      <c r="F13" s="601">
        <f t="shared" si="0"/>
        <v>-8.2402304044943975E-2</v>
      </c>
    </row>
    <row r="14" spans="1:6" s="252" customFormat="1" ht="8.4" customHeight="1">
      <c r="A14" s="432" t="s">
        <v>668</v>
      </c>
      <c r="B14" s="252" t="s">
        <v>71</v>
      </c>
      <c r="C14" s="405">
        <v>66.204470000000001</v>
      </c>
      <c r="D14" s="405">
        <v>53.904940000000003</v>
      </c>
      <c r="E14" s="405">
        <v>66.204470000000001</v>
      </c>
      <c r="F14" s="595">
        <f t="shared" si="0"/>
        <v>0.22817073908254049</v>
      </c>
    </row>
    <row r="15" spans="1:6" s="252" customFormat="1" ht="8.4" customHeight="1">
      <c r="A15" s="540" t="s">
        <v>669</v>
      </c>
      <c r="B15" s="541"/>
      <c r="C15" s="542">
        <v>66.204470000000001</v>
      </c>
      <c r="D15" s="542">
        <v>53.904940000000003</v>
      </c>
      <c r="E15" s="542">
        <v>66.204470000000001</v>
      </c>
      <c r="F15" s="601">
        <f t="shared" si="0"/>
        <v>0.22817073908254049</v>
      </c>
    </row>
    <row r="16" spans="1:6" s="252" customFormat="1" ht="8.4" customHeight="1">
      <c r="A16" s="432" t="s">
        <v>689</v>
      </c>
      <c r="B16" s="252" t="s">
        <v>358</v>
      </c>
      <c r="C16" s="405">
        <v>20.048200000000001</v>
      </c>
      <c r="D16" s="405">
        <v>9.9152900000000006</v>
      </c>
      <c r="E16" s="405">
        <v>20.048200000000001</v>
      </c>
      <c r="F16" s="595">
        <f t="shared" si="0"/>
        <v>1.0219479208374138</v>
      </c>
    </row>
    <row r="17" spans="1:6" s="252" customFormat="1" ht="8.4" customHeight="1">
      <c r="A17" s="540" t="s">
        <v>690</v>
      </c>
      <c r="B17" s="541"/>
      <c r="C17" s="542">
        <v>20.048200000000001</v>
      </c>
      <c r="D17" s="542">
        <v>9.9152900000000006</v>
      </c>
      <c r="E17" s="542">
        <v>20.048200000000001</v>
      </c>
      <c r="F17" s="601">
        <f t="shared" si="0"/>
        <v>1.0219479208374138</v>
      </c>
    </row>
    <row r="18" spans="1:6" s="252" customFormat="1" ht="8.4" customHeight="1">
      <c r="A18" s="432" t="s">
        <v>670</v>
      </c>
      <c r="B18" s="252" t="s">
        <v>79</v>
      </c>
      <c r="C18" s="405">
        <v>4.0144000000000002</v>
      </c>
      <c r="D18" s="405">
        <v>4.4261999999999997</v>
      </c>
      <c r="E18" s="405">
        <v>4.0144000000000002</v>
      </c>
      <c r="F18" s="595">
        <v>-9.3036916542406587</v>
      </c>
    </row>
    <row r="19" spans="1:6" s="252" customFormat="1" ht="8.4" customHeight="1">
      <c r="A19" s="432" t="s">
        <v>407</v>
      </c>
      <c r="B19" s="252" t="s">
        <v>80</v>
      </c>
      <c r="C19" s="405">
        <v>2.7303999999999999</v>
      </c>
      <c r="D19" s="405">
        <v>2.3018999999999998</v>
      </c>
      <c r="E19" s="405">
        <v>2.7303999999999999</v>
      </c>
      <c r="F19" s="595">
        <v>18.615057126721403</v>
      </c>
    </row>
    <row r="20" spans="1:6" s="252" customFormat="1" ht="8.4" customHeight="1">
      <c r="A20" s="432" t="s">
        <v>407</v>
      </c>
      <c r="B20" s="252" t="s">
        <v>671</v>
      </c>
      <c r="C20" s="405">
        <v>2.3197999999999999</v>
      </c>
      <c r="D20" s="405">
        <v>1.7978000000000001</v>
      </c>
      <c r="E20" s="405">
        <v>2.3197999999999999</v>
      </c>
      <c r="F20" s="595">
        <v>29.035487818444764</v>
      </c>
    </row>
    <row r="21" spans="1:6" s="252" customFormat="1" ht="8.4" customHeight="1">
      <c r="A21" s="432" t="s">
        <v>407</v>
      </c>
      <c r="B21" s="252" t="s">
        <v>672</v>
      </c>
      <c r="C21" s="405">
        <v>1.2062999999999999</v>
      </c>
      <c r="D21" s="405">
        <v>2.2894999999999999</v>
      </c>
      <c r="E21" s="405">
        <v>1.2062999999999999</v>
      </c>
      <c r="F21" s="595">
        <v>-47.311640096090855</v>
      </c>
    </row>
    <row r="22" spans="1:6" s="252" customFormat="1" ht="8.4" customHeight="1">
      <c r="A22" s="540" t="s">
        <v>673</v>
      </c>
      <c r="B22" s="541"/>
      <c r="C22" s="542">
        <v>10.270899999999999</v>
      </c>
      <c r="D22" s="542">
        <v>10.8154</v>
      </c>
      <c r="E22" s="542">
        <v>10.270899999999999</v>
      </c>
      <c r="F22" s="601">
        <v>-5.0344878599034715</v>
      </c>
    </row>
    <row r="23" spans="1:6" s="252" customFormat="1" ht="8.4" customHeight="1">
      <c r="A23" s="432" t="s">
        <v>1013</v>
      </c>
      <c r="B23" s="252" t="s">
        <v>674</v>
      </c>
      <c r="C23" s="405">
        <v>0</v>
      </c>
      <c r="D23" s="405">
        <v>0</v>
      </c>
      <c r="E23" s="405">
        <v>0</v>
      </c>
      <c r="F23" s="595">
        <v>0</v>
      </c>
    </row>
    <row r="24" spans="1:6" s="252" customFormat="1" ht="8.4" customHeight="1">
      <c r="A24" s="540" t="s">
        <v>1014</v>
      </c>
      <c r="B24" s="541"/>
      <c r="C24" s="542">
        <v>0</v>
      </c>
      <c r="D24" s="542">
        <v>0</v>
      </c>
      <c r="E24" s="542">
        <v>0</v>
      </c>
      <c r="F24" s="601">
        <v>0</v>
      </c>
    </row>
    <row r="25" spans="1:6" s="252" customFormat="1" ht="8.4" customHeight="1">
      <c r="A25" s="432" t="s">
        <v>675</v>
      </c>
      <c r="B25" s="252" t="s">
        <v>77</v>
      </c>
      <c r="C25" s="405">
        <v>0</v>
      </c>
      <c r="D25" s="405">
        <v>0</v>
      </c>
      <c r="E25" s="405">
        <v>0</v>
      </c>
      <c r="F25" s="595">
        <v>0</v>
      </c>
    </row>
    <row r="26" spans="1:6" s="252" customFormat="1" ht="8.4" customHeight="1">
      <c r="A26" s="540" t="s">
        <v>676</v>
      </c>
      <c r="B26" s="541"/>
      <c r="C26" s="542">
        <v>0</v>
      </c>
      <c r="D26" s="542">
        <v>0</v>
      </c>
      <c r="E26" s="542">
        <v>0</v>
      </c>
      <c r="F26" s="601">
        <v>0</v>
      </c>
    </row>
    <row r="27" spans="1:6" s="252" customFormat="1" ht="8.4" customHeight="1">
      <c r="A27" s="432" t="s">
        <v>677</v>
      </c>
      <c r="B27" s="252" t="s">
        <v>245</v>
      </c>
      <c r="C27" s="405">
        <v>0</v>
      </c>
      <c r="D27" s="405">
        <v>0</v>
      </c>
      <c r="E27" s="405">
        <v>0</v>
      </c>
      <c r="F27" s="595">
        <v>0</v>
      </c>
    </row>
    <row r="28" spans="1:6" s="252" customFormat="1" ht="8.4" customHeight="1">
      <c r="A28" s="540" t="s">
        <v>678</v>
      </c>
      <c r="B28" s="541"/>
      <c r="C28" s="542">
        <v>0</v>
      </c>
      <c r="D28" s="542">
        <v>0</v>
      </c>
      <c r="E28" s="542">
        <v>0</v>
      </c>
      <c r="F28" s="601">
        <v>0</v>
      </c>
    </row>
    <row r="29" spans="1:6" s="252" customFormat="1" ht="8.4" customHeight="1">
      <c r="A29" s="432" t="s">
        <v>90</v>
      </c>
      <c r="B29" s="252" t="s">
        <v>246</v>
      </c>
      <c r="C29" s="405">
        <v>110.85192000000001</v>
      </c>
      <c r="D29" s="405">
        <v>110.73872</v>
      </c>
      <c r="E29" s="405">
        <v>110.85192000000001</v>
      </c>
      <c r="F29" s="595">
        <v>0.10222260109201191</v>
      </c>
    </row>
    <row r="30" spans="1:6" s="252" customFormat="1" ht="8.4" customHeight="1">
      <c r="A30" s="432"/>
      <c r="B30" s="252" t="s">
        <v>1015</v>
      </c>
      <c r="C30" s="405">
        <v>0</v>
      </c>
      <c r="D30" s="405">
        <v>0</v>
      </c>
      <c r="E30" s="405">
        <v>0</v>
      </c>
      <c r="F30" s="595">
        <v>0</v>
      </c>
    </row>
    <row r="31" spans="1:6" s="252" customFormat="1" ht="8.4" customHeight="1">
      <c r="A31" s="540" t="s">
        <v>378</v>
      </c>
      <c r="B31" s="541"/>
      <c r="C31" s="542">
        <v>110.85192000000001</v>
      </c>
      <c r="D31" s="542">
        <v>110.73872</v>
      </c>
      <c r="E31" s="542">
        <v>110.85192000000001</v>
      </c>
      <c r="F31" s="601">
        <v>0.10222260109201191</v>
      </c>
    </row>
    <row r="32" spans="1:6" s="252" customFormat="1" ht="8.4" customHeight="1">
      <c r="A32" s="432" t="s">
        <v>111</v>
      </c>
      <c r="B32" s="252" t="s">
        <v>247</v>
      </c>
      <c r="C32" s="405">
        <v>0</v>
      </c>
      <c r="D32" s="405">
        <v>0</v>
      </c>
      <c r="E32" s="405">
        <v>0</v>
      </c>
      <c r="F32" s="595">
        <v>0</v>
      </c>
    </row>
    <row r="33" spans="1:6" s="252" customFormat="1" ht="8.4" customHeight="1">
      <c r="A33" s="540" t="s">
        <v>379</v>
      </c>
      <c r="B33" s="541"/>
      <c r="C33" s="542">
        <v>0</v>
      </c>
      <c r="D33" s="542">
        <v>0</v>
      </c>
      <c r="E33" s="542">
        <v>0</v>
      </c>
      <c r="F33" s="601">
        <v>0</v>
      </c>
    </row>
    <row r="34" spans="1:6" s="252" customFormat="1" ht="8.4" customHeight="1">
      <c r="A34" s="432" t="s">
        <v>679</v>
      </c>
      <c r="B34" s="252" t="s">
        <v>350</v>
      </c>
      <c r="C34" s="405">
        <v>20.061540000000001</v>
      </c>
      <c r="D34" s="405">
        <v>20.013580000000001</v>
      </c>
      <c r="E34" s="405">
        <v>20.061540000000001</v>
      </c>
      <c r="F34" s="595">
        <v>0.23963728628261413</v>
      </c>
    </row>
    <row r="35" spans="1:6" s="252" customFormat="1" ht="8.4" customHeight="1">
      <c r="A35" s="432" t="s">
        <v>407</v>
      </c>
      <c r="B35" s="252" t="s">
        <v>64</v>
      </c>
      <c r="C35" s="405">
        <v>8.0691000000000006</v>
      </c>
      <c r="D35" s="405">
        <v>6.1863200000000003</v>
      </c>
      <c r="E35" s="405">
        <v>8.0691000000000006</v>
      </c>
      <c r="F35" s="595">
        <v>30.434571764797166</v>
      </c>
    </row>
    <row r="36" spans="1:6" s="252" customFormat="1" ht="8.4" customHeight="1">
      <c r="A36" s="540" t="s">
        <v>680</v>
      </c>
      <c r="B36" s="541"/>
      <c r="C36" s="542">
        <v>28.13064</v>
      </c>
      <c r="D36" s="542">
        <v>26.1999</v>
      </c>
      <c r="E36" s="542">
        <v>28.13064</v>
      </c>
      <c r="F36" s="601">
        <v>7.3692647681861381</v>
      </c>
    </row>
    <row r="37" spans="1:6" s="252" customFormat="1" ht="8.4" customHeight="1">
      <c r="A37" s="432" t="s">
        <v>389</v>
      </c>
      <c r="B37" s="252" t="s">
        <v>248</v>
      </c>
      <c r="C37" s="405">
        <v>0</v>
      </c>
      <c r="D37" s="405">
        <v>43.070949999999996</v>
      </c>
      <c r="E37" s="405">
        <v>0</v>
      </c>
      <c r="F37" s="595">
        <f t="shared" si="0"/>
        <v>-1</v>
      </c>
    </row>
    <row r="38" spans="1:6" s="252" customFormat="1" ht="8.4" customHeight="1">
      <c r="A38" s="432" t="s">
        <v>407</v>
      </c>
      <c r="B38" s="252" t="s">
        <v>249</v>
      </c>
      <c r="C38" s="405">
        <v>173.48004</v>
      </c>
      <c r="D38" s="405">
        <v>173.54527000000002</v>
      </c>
      <c r="E38" s="405">
        <v>173.48004</v>
      </c>
      <c r="F38" s="595"/>
    </row>
    <row r="39" spans="1:6" s="252" customFormat="1" ht="8.4" customHeight="1">
      <c r="A39" s="432" t="s">
        <v>407</v>
      </c>
      <c r="B39" s="252" t="s">
        <v>250</v>
      </c>
      <c r="C39" s="405">
        <v>32.77422</v>
      </c>
      <c r="D39" s="405">
        <v>33.871400000000001</v>
      </c>
      <c r="E39" s="405">
        <v>32.77422</v>
      </c>
      <c r="F39" s="595">
        <v>-3.2392519943078821</v>
      </c>
    </row>
    <row r="40" spans="1:6" s="252" customFormat="1" ht="8.4" customHeight="1">
      <c r="A40" s="432" t="s">
        <v>407</v>
      </c>
      <c r="B40" s="252" t="s">
        <v>251</v>
      </c>
      <c r="C40" s="405">
        <v>0</v>
      </c>
      <c r="D40" s="405">
        <v>0</v>
      </c>
      <c r="E40" s="405">
        <v>0</v>
      </c>
      <c r="F40" s="595">
        <v>0</v>
      </c>
    </row>
    <row r="41" spans="1:6" s="252" customFormat="1" ht="8.4" customHeight="1">
      <c r="A41" s="432" t="s">
        <v>407</v>
      </c>
      <c r="B41" s="252" t="s">
        <v>252</v>
      </c>
      <c r="C41" s="405">
        <v>45.245370000000001</v>
      </c>
      <c r="D41" s="405">
        <v>38.508540000000004</v>
      </c>
      <c r="E41" s="405">
        <v>45.245370000000001</v>
      </c>
      <c r="F41" s="595">
        <v>17.49437916888046</v>
      </c>
    </row>
    <row r="42" spans="1:6" s="252" customFormat="1" ht="8.4" customHeight="1">
      <c r="A42" s="432" t="s">
        <v>407</v>
      </c>
      <c r="B42" s="252" t="s">
        <v>253</v>
      </c>
      <c r="C42" s="405">
        <v>3.8575300000000001</v>
      </c>
      <c r="D42" s="405">
        <v>3.8498199999999998</v>
      </c>
      <c r="E42" s="405">
        <v>3.8575300000000001</v>
      </c>
      <c r="F42" s="595">
        <v>0.20026910349055282</v>
      </c>
    </row>
    <row r="43" spans="1:6" s="252" customFormat="1" ht="8.4" customHeight="1">
      <c r="A43" s="432" t="s">
        <v>407</v>
      </c>
      <c r="B43" s="252" t="s">
        <v>254</v>
      </c>
      <c r="C43" s="405">
        <v>0</v>
      </c>
      <c r="D43" s="405">
        <v>0</v>
      </c>
      <c r="E43" s="405">
        <v>0</v>
      </c>
      <c r="F43" s="595">
        <v>0</v>
      </c>
    </row>
    <row r="44" spans="1:6" s="252" customFormat="1" ht="8.4" customHeight="1">
      <c r="A44" s="432" t="s">
        <v>407</v>
      </c>
      <c r="B44" s="252" t="s">
        <v>681</v>
      </c>
      <c r="C44" s="405">
        <v>6.0178200000000004</v>
      </c>
      <c r="D44" s="405">
        <v>0</v>
      </c>
      <c r="E44" s="405">
        <v>6.0178200000000004</v>
      </c>
      <c r="F44" s="595">
        <v>0</v>
      </c>
    </row>
    <row r="45" spans="1:6" s="252" customFormat="1" ht="8.4" customHeight="1">
      <c r="A45" s="432"/>
      <c r="B45" s="252" t="s">
        <v>255</v>
      </c>
      <c r="C45" s="405"/>
      <c r="D45" s="405">
        <v>3.9749400000000001</v>
      </c>
      <c r="E45" s="405"/>
      <c r="F45" s="595">
        <v>-100</v>
      </c>
    </row>
    <row r="46" spans="1:6" s="252" customFormat="1" ht="8.4" customHeight="1">
      <c r="A46" s="432" t="s">
        <v>407</v>
      </c>
      <c r="B46" s="252" t="s">
        <v>682</v>
      </c>
      <c r="C46" s="405">
        <v>0</v>
      </c>
      <c r="D46" s="405">
        <v>0</v>
      </c>
      <c r="E46" s="405">
        <v>0</v>
      </c>
      <c r="F46" s="595">
        <v>0</v>
      </c>
    </row>
    <row r="47" spans="1:6" s="252" customFormat="1" ht="8.4" customHeight="1">
      <c r="A47" s="432" t="s">
        <v>407</v>
      </c>
      <c r="B47" s="252" t="s">
        <v>683</v>
      </c>
      <c r="C47" s="405">
        <v>0</v>
      </c>
      <c r="D47" s="405">
        <v>0</v>
      </c>
      <c r="E47" s="405">
        <v>0</v>
      </c>
      <c r="F47" s="595">
        <v>0</v>
      </c>
    </row>
    <row r="48" spans="1:6" s="252" customFormat="1" ht="8.4" customHeight="1">
      <c r="A48" s="432" t="s">
        <v>407</v>
      </c>
      <c r="B48" s="252" t="s">
        <v>256</v>
      </c>
      <c r="C48" s="405">
        <v>108.34233999999999</v>
      </c>
      <c r="D48" s="405">
        <v>107.2368</v>
      </c>
      <c r="E48" s="405">
        <v>108.34233999999999</v>
      </c>
      <c r="F48" s="595">
        <v>1.0309334109186399</v>
      </c>
    </row>
    <row r="49" spans="1:22" s="252" customFormat="1" ht="8.4" customHeight="1">
      <c r="A49" s="540" t="s">
        <v>684</v>
      </c>
      <c r="B49" s="541"/>
      <c r="C49" s="542">
        <f>+SUM(C37:C48)</f>
        <v>369.71731999999997</v>
      </c>
      <c r="D49" s="542">
        <f>+SUM(D37:D48)</f>
        <v>404.05772000000002</v>
      </c>
      <c r="E49" s="542">
        <f>+SUM(E37:E48)</f>
        <v>369.71731999999997</v>
      </c>
      <c r="F49" s="601">
        <f t="shared" si="0"/>
        <v>-8.498884763295711E-2</v>
      </c>
    </row>
    <row r="50" spans="1:22" s="252" customFormat="1" ht="8.4" customHeight="1">
      <c r="A50" s="432" t="s">
        <v>685</v>
      </c>
      <c r="B50" s="252" t="s">
        <v>180</v>
      </c>
      <c r="C50" s="405">
        <v>0</v>
      </c>
      <c r="D50" s="405">
        <v>0</v>
      </c>
      <c r="E50" s="405">
        <v>0</v>
      </c>
      <c r="F50" s="595"/>
    </row>
    <row r="51" spans="1:22" s="252" customFormat="1" ht="8.4" customHeight="1">
      <c r="A51" s="540" t="s">
        <v>686</v>
      </c>
      <c r="B51" s="541"/>
      <c r="C51" s="542">
        <v>0</v>
      </c>
      <c r="D51" s="542">
        <v>0</v>
      </c>
      <c r="E51" s="542">
        <v>0</v>
      </c>
      <c r="F51" s="601"/>
    </row>
    <row r="52" spans="1:22" s="252" customFormat="1" ht="8.4" customHeight="1">
      <c r="A52" s="432" t="s">
        <v>94</v>
      </c>
      <c r="B52" s="252" t="s">
        <v>333</v>
      </c>
      <c r="C52" s="405">
        <v>0</v>
      </c>
      <c r="D52" s="405">
        <v>286.09706</v>
      </c>
      <c r="E52" s="405">
        <v>0</v>
      </c>
      <c r="F52" s="595"/>
    </row>
    <row r="53" spans="1:22" s="252" customFormat="1" ht="8.4" customHeight="1">
      <c r="A53" s="540" t="s">
        <v>380</v>
      </c>
      <c r="B53" s="541"/>
      <c r="C53" s="542">
        <v>0</v>
      </c>
      <c r="D53" s="542">
        <v>286.09706</v>
      </c>
      <c r="E53" s="542">
        <v>0</v>
      </c>
      <c r="F53" s="601"/>
    </row>
    <row r="54" spans="1:22" s="252" customFormat="1" ht="8.4" customHeight="1">
      <c r="A54" s="432" t="s">
        <v>99</v>
      </c>
      <c r="B54" s="252" t="s">
        <v>257</v>
      </c>
      <c r="C54" s="405">
        <v>0</v>
      </c>
      <c r="D54" s="405">
        <v>86.710539999999995</v>
      </c>
      <c r="E54" s="405">
        <v>0</v>
      </c>
      <c r="F54" s="595">
        <f t="shared" si="0"/>
        <v>-1</v>
      </c>
    </row>
    <row r="55" spans="1:22" s="252" customFormat="1" ht="8.4" customHeight="1">
      <c r="A55" s="540" t="s">
        <v>381</v>
      </c>
      <c r="B55" s="541"/>
      <c r="C55" s="542">
        <v>0</v>
      </c>
      <c r="D55" s="542">
        <v>86.710539999999995</v>
      </c>
      <c r="E55" s="542">
        <v>0</v>
      </c>
      <c r="F55" s="601">
        <f t="shared" si="0"/>
        <v>-1</v>
      </c>
    </row>
    <row r="56" spans="1:22" s="277" customFormat="1" ht="10.199999999999999" customHeight="1">
      <c r="A56" s="411" t="s">
        <v>311</v>
      </c>
      <c r="B56" s="418"/>
      <c r="C56" s="602">
        <v>7899.507810000001</v>
      </c>
      <c r="D56" s="602">
        <v>7762.1297800000029</v>
      </c>
      <c r="E56" s="602">
        <v>7899.507810000001</v>
      </c>
      <c r="F56" s="603">
        <f>+IF(D56=0,"",C56/D56-1)</f>
        <v>1.7698496919488216E-2</v>
      </c>
      <c r="G56" s="235"/>
      <c r="H56" s="235"/>
      <c r="I56" s="235"/>
      <c r="J56" s="235"/>
      <c r="K56" s="235"/>
      <c r="L56" s="235"/>
      <c r="M56" s="235"/>
      <c r="N56" s="235"/>
      <c r="O56" s="235"/>
      <c r="P56" s="235"/>
      <c r="Q56" s="235"/>
      <c r="R56" s="235"/>
      <c r="S56" s="235"/>
      <c r="T56" s="235"/>
      <c r="U56" s="235"/>
      <c r="V56" s="235"/>
    </row>
    <row r="57" spans="1:22" s="277" customFormat="1" ht="10.199999999999999" customHeight="1">
      <c r="A57" s="333" t="s">
        <v>258</v>
      </c>
      <c r="B57" s="324"/>
      <c r="C57" s="323">
        <f>+'8. Max Potencia'!D17</f>
        <v>0</v>
      </c>
      <c r="D57" s="323">
        <f>+'8. Max Potencia'!E17</f>
        <v>0</v>
      </c>
      <c r="E57" s="326">
        <f>+'8. Max Potencia'!G17</f>
        <v>0</v>
      </c>
      <c r="F57" s="417">
        <v>0</v>
      </c>
      <c r="G57" s="235"/>
      <c r="H57" s="235"/>
      <c r="I57" s="235"/>
      <c r="J57" s="235"/>
      <c r="K57" s="235"/>
      <c r="L57" s="235"/>
      <c r="M57" s="235"/>
      <c r="N57" s="235"/>
      <c r="O57" s="235"/>
      <c r="P57" s="235"/>
      <c r="Q57" s="235"/>
      <c r="R57" s="235"/>
      <c r="S57" s="235"/>
      <c r="T57" s="235"/>
      <c r="U57" s="235"/>
      <c r="V57" s="235"/>
    </row>
    <row r="58" spans="1:22" s="277" customFormat="1" ht="10.199999999999999" customHeight="1">
      <c r="A58" s="418" t="s">
        <v>259</v>
      </c>
      <c r="B58" s="418"/>
      <c r="C58" s="323">
        <f>+'8. Max Potencia'!D18</f>
        <v>0</v>
      </c>
      <c r="D58" s="323">
        <v>0</v>
      </c>
      <c r="E58" s="326">
        <f>+'8. Max Potencia'!G18</f>
        <v>0</v>
      </c>
      <c r="F58" s="417">
        <v>0</v>
      </c>
      <c r="G58" s="235"/>
      <c r="H58" s="235"/>
      <c r="I58" s="235"/>
      <c r="J58" s="235"/>
      <c r="K58" s="235"/>
      <c r="L58" s="235"/>
      <c r="M58" s="235"/>
      <c r="N58" s="235"/>
      <c r="O58" s="235"/>
      <c r="P58" s="235"/>
      <c r="Q58" s="235"/>
      <c r="R58" s="235"/>
      <c r="S58" s="235"/>
      <c r="T58" s="235"/>
      <c r="U58" s="235"/>
      <c r="V58" s="235"/>
    </row>
    <row r="59" spans="1:22" ht="10.199999999999999" customHeight="1">
      <c r="A59" s="450" t="s">
        <v>753</v>
      </c>
      <c r="B59" s="418"/>
      <c r="C59" s="323">
        <f>+C56+C57-C58</f>
        <v>7899.507810000001</v>
      </c>
      <c r="D59" s="323">
        <f t="shared" ref="D59:E59" si="1">+D56+D57-D58</f>
        <v>7762.1297800000029</v>
      </c>
      <c r="E59" s="323">
        <f t="shared" si="1"/>
        <v>7899.507810000001</v>
      </c>
      <c r="F59" s="416">
        <f>+IF(D59=0,"",C59/D59-1)</f>
        <v>1.7698496919488216E-2</v>
      </c>
    </row>
    <row r="60" spans="1:22">
      <c r="A60" s="252"/>
    </row>
    <row r="61" spans="1:22" ht="27.75" customHeight="1">
      <c r="A61" s="898" t="s">
        <v>545</v>
      </c>
      <c r="B61" s="898"/>
      <c r="C61" s="898"/>
      <c r="D61" s="898"/>
      <c r="E61" s="898"/>
      <c r="F61" s="898"/>
    </row>
    <row r="62" spans="1:22" ht="18" customHeight="1">
      <c r="A62" s="898" t="s">
        <v>390</v>
      </c>
      <c r="B62" s="898"/>
      <c r="C62" s="898"/>
      <c r="D62" s="898"/>
      <c r="E62" s="898"/>
      <c r="F62" s="898"/>
    </row>
    <row r="63" spans="1:22" ht="13.8" customHeight="1">
      <c r="A63" s="909"/>
      <c r="B63" s="909"/>
      <c r="C63" s="909"/>
      <c r="D63" s="909"/>
      <c r="E63" s="909"/>
      <c r="F63" s="909"/>
      <c r="G63" s="441"/>
    </row>
    <row r="64" spans="1:22" ht="13.8" customHeight="1">
      <c r="A64" s="560" t="s">
        <v>750</v>
      </c>
      <c r="B64" s="560"/>
      <c r="C64" s="560"/>
      <c r="D64" s="560"/>
      <c r="E64" s="560"/>
      <c r="F64" s="560"/>
      <c r="G64" s="441"/>
    </row>
    <row r="65" spans="1:7" ht="9.6" customHeight="1">
      <c r="A65" s="441" t="s">
        <v>1017</v>
      </c>
      <c r="B65" s="560"/>
      <c r="C65" s="560"/>
      <c r="D65" s="560"/>
      <c r="E65" s="560"/>
      <c r="F65" s="560"/>
      <c r="G65" s="441"/>
    </row>
    <row r="66" spans="1:7" ht="9.6" customHeight="1">
      <c r="A66" s="441"/>
    </row>
    <row r="67" spans="1:7" ht="9.6" customHeight="1"/>
  </sheetData>
  <mergeCells count="6">
    <mergeCell ref="A1:A4"/>
    <mergeCell ref="B1:B4"/>
    <mergeCell ref="C1:F1"/>
    <mergeCell ref="A61:F61"/>
    <mergeCell ref="A63:F63"/>
    <mergeCell ref="A62:F62"/>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C49:E49"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39"/>
  <sheetViews>
    <sheetView showGridLines="0" view="pageBreakPreview" zoomScaleNormal="100" zoomScaleSheetLayoutView="100" zoomScalePageLayoutView="115" workbookViewId="0">
      <selection activeCell="K7" sqref="K7"/>
    </sheetView>
  </sheetViews>
  <sheetFormatPr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8" t="s">
        <v>271</v>
      </c>
      <c r="B3" s="236"/>
    </row>
    <row r="4" spans="1:13" ht="11.25" customHeight="1">
      <c r="B4" s="236"/>
    </row>
    <row r="5" spans="1:13" ht="11.25" customHeight="1">
      <c r="A5" s="237" t="s">
        <v>316</v>
      </c>
      <c r="C5" s="674">
        <v>7887.8293100000001</v>
      </c>
    </row>
    <row r="6" spans="1:13" ht="11.25" customHeight="1">
      <c r="A6" s="237" t="s">
        <v>272</v>
      </c>
      <c r="C6" s="674" t="s">
        <v>960</v>
      </c>
    </row>
    <row r="7" spans="1:13" ht="11.25" customHeight="1">
      <c r="A7" s="237" t="s">
        <v>273</v>
      </c>
      <c r="C7" s="674" t="s">
        <v>558</v>
      </c>
    </row>
    <row r="8" spans="1:13" ht="11.25" customHeight="1"/>
    <row r="9" spans="1:13" ht="14.25" customHeight="1">
      <c r="A9" s="910" t="s">
        <v>264</v>
      </c>
      <c r="B9" s="913" t="s">
        <v>265</v>
      </c>
      <c r="C9" s="914"/>
      <c r="D9" s="914"/>
      <c r="E9" s="914"/>
      <c r="F9" s="915"/>
      <c r="G9" s="913" t="s">
        <v>266</v>
      </c>
      <c r="H9" s="914"/>
      <c r="I9" s="914"/>
      <c r="J9" s="914"/>
      <c r="K9" s="915"/>
    </row>
    <row r="10" spans="1:13" ht="26.25" customHeight="1">
      <c r="A10" s="911"/>
      <c r="B10" s="331" t="s">
        <v>267</v>
      </c>
      <c r="C10" s="331" t="s">
        <v>149</v>
      </c>
      <c r="D10" s="331" t="s">
        <v>258</v>
      </c>
      <c r="E10" s="331" t="s">
        <v>259</v>
      </c>
      <c r="F10" s="332" t="s">
        <v>270</v>
      </c>
      <c r="G10" s="331" t="s">
        <v>267</v>
      </c>
      <c r="H10" s="331" t="s">
        <v>149</v>
      </c>
      <c r="I10" s="331" t="s">
        <v>258</v>
      </c>
      <c r="J10" s="331" t="s">
        <v>259</v>
      </c>
      <c r="K10" s="332" t="s">
        <v>270</v>
      </c>
      <c r="L10" s="31"/>
      <c r="M10" s="40"/>
    </row>
    <row r="11" spans="1:13" ht="11.25" customHeight="1">
      <c r="A11" s="912"/>
      <c r="B11" s="331" t="s">
        <v>268</v>
      </c>
      <c r="C11" s="331" t="s">
        <v>269</v>
      </c>
      <c r="D11" s="331" t="s">
        <v>269</v>
      </c>
      <c r="E11" s="331" t="s">
        <v>269</v>
      </c>
      <c r="F11" s="331" t="s">
        <v>269</v>
      </c>
      <c r="G11" s="331" t="s">
        <v>268</v>
      </c>
      <c r="H11" s="331" t="s">
        <v>269</v>
      </c>
      <c r="I11" s="331" t="s">
        <v>269</v>
      </c>
      <c r="J11" s="331" t="s">
        <v>269</v>
      </c>
      <c r="K11" s="331" t="s">
        <v>269</v>
      </c>
      <c r="L11" s="31"/>
      <c r="M11" s="40"/>
    </row>
    <row r="12" spans="1:13" ht="15" customHeight="1">
      <c r="A12" s="775" t="s">
        <v>961</v>
      </c>
      <c r="B12" s="776" t="s">
        <v>356</v>
      </c>
      <c r="C12" s="776">
        <v>7701.9072200000001</v>
      </c>
      <c r="D12" s="776">
        <v>0</v>
      </c>
      <c r="E12" s="776">
        <v>0</v>
      </c>
      <c r="F12" s="776">
        <v>7701.9072200000001</v>
      </c>
      <c r="G12" s="776" t="s">
        <v>559</v>
      </c>
      <c r="H12" s="776">
        <v>7557.96756</v>
      </c>
      <c r="I12" s="776">
        <v>0</v>
      </c>
      <c r="J12" s="776">
        <v>0</v>
      </c>
      <c r="K12" s="776">
        <v>7557.96756</v>
      </c>
      <c r="L12" s="174"/>
      <c r="M12" s="40"/>
    </row>
    <row r="13" spans="1:13" ht="15" customHeight="1">
      <c r="A13" s="775" t="s">
        <v>962</v>
      </c>
      <c r="B13" s="776" t="s">
        <v>733</v>
      </c>
      <c r="C13" s="776">
        <v>6847.9124000000002</v>
      </c>
      <c r="D13" s="776">
        <v>0</v>
      </c>
      <c r="E13" s="776">
        <v>0</v>
      </c>
      <c r="F13" s="776">
        <v>6847.9124000000002</v>
      </c>
      <c r="G13" s="776" t="s">
        <v>699</v>
      </c>
      <c r="H13" s="776">
        <v>7498.74928</v>
      </c>
      <c r="I13" s="776">
        <v>0</v>
      </c>
      <c r="J13" s="776">
        <v>0</v>
      </c>
      <c r="K13" s="776">
        <v>7498.74928</v>
      </c>
      <c r="L13" s="5"/>
    </row>
    <row r="14" spans="1:13" ht="15" customHeight="1">
      <c r="A14" s="775" t="s">
        <v>963</v>
      </c>
      <c r="B14" s="776" t="s">
        <v>732</v>
      </c>
      <c r="C14" s="776">
        <v>7939.6249699999998</v>
      </c>
      <c r="D14" s="776">
        <v>0</v>
      </c>
      <c r="E14" s="776">
        <v>0</v>
      </c>
      <c r="F14" s="776">
        <v>7939.6249699999998</v>
      </c>
      <c r="G14" s="776" t="s">
        <v>557</v>
      </c>
      <c r="H14" s="776">
        <v>7616.1850599999998</v>
      </c>
      <c r="I14" s="776">
        <v>0</v>
      </c>
      <c r="J14" s="776">
        <v>0</v>
      </c>
      <c r="K14" s="776">
        <v>7616.1850599999998</v>
      </c>
      <c r="L14" s="12"/>
    </row>
    <row r="15" spans="1:13" ht="15" customHeight="1">
      <c r="A15" s="775" t="s">
        <v>964</v>
      </c>
      <c r="B15" s="776" t="s">
        <v>356</v>
      </c>
      <c r="C15" s="776">
        <v>8133.9872599999999</v>
      </c>
      <c r="D15" s="776">
        <v>0</v>
      </c>
      <c r="E15" s="776">
        <v>0</v>
      </c>
      <c r="F15" s="776">
        <v>8133.9872599999999</v>
      </c>
      <c r="G15" s="776" t="s">
        <v>559</v>
      </c>
      <c r="H15" s="776">
        <v>7810.0591899999999</v>
      </c>
      <c r="I15" s="776">
        <v>0</v>
      </c>
      <c r="J15" s="776">
        <v>0</v>
      </c>
      <c r="K15" s="776">
        <v>7810.0591899999999</v>
      </c>
      <c r="L15" s="9"/>
    </row>
    <row r="16" spans="1:13" ht="15" customHeight="1">
      <c r="A16" s="775" t="s">
        <v>965</v>
      </c>
      <c r="B16" s="776" t="s">
        <v>356</v>
      </c>
      <c r="C16" s="776">
        <v>7962.1491900000001</v>
      </c>
      <c r="D16" s="776">
        <v>0</v>
      </c>
      <c r="E16" s="776">
        <v>0</v>
      </c>
      <c r="F16" s="776">
        <v>7962.1491900000001</v>
      </c>
      <c r="G16" s="776" t="s">
        <v>566</v>
      </c>
      <c r="H16" s="776">
        <v>7758.9660899999999</v>
      </c>
      <c r="I16" s="776">
        <v>0</v>
      </c>
      <c r="J16" s="776">
        <v>0</v>
      </c>
      <c r="K16" s="776">
        <v>7758.9660899999999</v>
      </c>
      <c r="L16" s="19"/>
    </row>
    <row r="17" spans="1:12" ht="15" customHeight="1">
      <c r="A17" s="775" t="s">
        <v>966</v>
      </c>
      <c r="B17" s="776" t="s">
        <v>356</v>
      </c>
      <c r="C17" s="776">
        <v>8237.8598600000005</v>
      </c>
      <c r="D17" s="776">
        <v>0</v>
      </c>
      <c r="E17" s="776">
        <v>0</v>
      </c>
      <c r="F17" s="776">
        <v>8237.8598600000005</v>
      </c>
      <c r="G17" s="776" t="s">
        <v>967</v>
      </c>
      <c r="H17" s="776">
        <v>7803.4391500000002</v>
      </c>
      <c r="I17" s="776">
        <v>0</v>
      </c>
      <c r="J17" s="776">
        <v>0</v>
      </c>
      <c r="K17" s="776">
        <v>7803.4391500000002</v>
      </c>
      <c r="L17" s="19"/>
    </row>
    <row r="18" spans="1:12" ht="15" customHeight="1">
      <c r="A18" s="775" t="s">
        <v>968</v>
      </c>
      <c r="B18" s="776" t="s">
        <v>704</v>
      </c>
      <c r="C18" s="776">
        <v>8293.7868199999994</v>
      </c>
      <c r="D18" s="776">
        <v>0</v>
      </c>
      <c r="E18" s="776">
        <v>0</v>
      </c>
      <c r="F18" s="776">
        <v>8293.7868199999994</v>
      </c>
      <c r="G18" s="776" t="s">
        <v>558</v>
      </c>
      <c r="H18" s="776">
        <v>7872.6142300000001</v>
      </c>
      <c r="I18" s="776">
        <v>0</v>
      </c>
      <c r="J18" s="776">
        <v>0</v>
      </c>
      <c r="K18" s="776">
        <v>7872.6142300000001</v>
      </c>
      <c r="L18" s="19"/>
    </row>
    <row r="19" spans="1:12" ht="15" customHeight="1">
      <c r="A19" s="775" t="s">
        <v>969</v>
      </c>
      <c r="B19" s="776" t="s">
        <v>356</v>
      </c>
      <c r="C19" s="776">
        <v>7762.2250199999999</v>
      </c>
      <c r="D19" s="776">
        <v>0</v>
      </c>
      <c r="E19" s="776">
        <v>0</v>
      </c>
      <c r="F19" s="776">
        <v>7762.2250199999999</v>
      </c>
      <c r="G19" s="776" t="s">
        <v>558</v>
      </c>
      <c r="H19" s="776">
        <v>7668.2473499999996</v>
      </c>
      <c r="I19" s="776">
        <v>0</v>
      </c>
      <c r="J19" s="776">
        <v>0</v>
      </c>
      <c r="K19" s="776">
        <v>7668.2473499999996</v>
      </c>
      <c r="L19" s="19"/>
    </row>
    <row r="20" spans="1:12" ht="15" customHeight="1">
      <c r="A20" s="775" t="s">
        <v>970</v>
      </c>
      <c r="B20" s="776" t="s">
        <v>971</v>
      </c>
      <c r="C20" s="776">
        <v>7016.2072600000001</v>
      </c>
      <c r="D20" s="776">
        <v>0</v>
      </c>
      <c r="E20" s="776">
        <v>0</v>
      </c>
      <c r="F20" s="776">
        <v>7016.2072600000001</v>
      </c>
      <c r="G20" s="776" t="s">
        <v>559</v>
      </c>
      <c r="H20" s="776">
        <v>7579.7113799999997</v>
      </c>
      <c r="I20" s="776">
        <v>0</v>
      </c>
      <c r="J20" s="776">
        <v>0</v>
      </c>
      <c r="K20" s="776">
        <v>7579.7113799999997</v>
      </c>
      <c r="L20" s="21"/>
    </row>
    <row r="21" spans="1:12" ht="15" customHeight="1">
      <c r="A21" s="775" t="s">
        <v>972</v>
      </c>
      <c r="B21" s="776" t="s">
        <v>356</v>
      </c>
      <c r="C21" s="776">
        <v>8003.1841199999999</v>
      </c>
      <c r="D21" s="776">
        <v>0</v>
      </c>
      <c r="E21" s="776">
        <v>0</v>
      </c>
      <c r="F21" s="776">
        <v>8003.1841199999999</v>
      </c>
      <c r="G21" s="776" t="s">
        <v>557</v>
      </c>
      <c r="H21" s="776">
        <v>7760.19074</v>
      </c>
      <c r="I21" s="776">
        <v>0</v>
      </c>
      <c r="J21" s="776">
        <v>0</v>
      </c>
      <c r="K21" s="776">
        <v>7760.19074</v>
      </c>
      <c r="L21" s="19"/>
    </row>
    <row r="22" spans="1:12" ht="15" customHeight="1">
      <c r="A22" s="775" t="s">
        <v>973</v>
      </c>
      <c r="B22" s="777" t="s">
        <v>704</v>
      </c>
      <c r="C22" s="777">
        <v>8311.4685900000004</v>
      </c>
      <c r="D22" s="777">
        <v>0</v>
      </c>
      <c r="E22" s="777">
        <v>0</v>
      </c>
      <c r="F22" s="777">
        <v>8311.4685900000004</v>
      </c>
      <c r="G22" s="776" t="s">
        <v>559</v>
      </c>
      <c r="H22" s="776">
        <v>7836.7252099999996</v>
      </c>
      <c r="I22" s="776">
        <v>0</v>
      </c>
      <c r="J22" s="776">
        <v>0</v>
      </c>
      <c r="K22" s="776">
        <v>7836.7252099999996</v>
      </c>
      <c r="L22" s="19"/>
    </row>
    <row r="23" spans="1:12" ht="15" customHeight="1">
      <c r="A23" s="775" t="s">
        <v>974</v>
      </c>
      <c r="B23" s="776" t="s">
        <v>356</v>
      </c>
      <c r="C23" s="776">
        <v>8126.3315000000002</v>
      </c>
      <c r="D23" s="776">
        <v>0</v>
      </c>
      <c r="E23" s="776">
        <v>0</v>
      </c>
      <c r="F23" s="776">
        <v>8126.3315000000002</v>
      </c>
      <c r="G23" s="776" t="s">
        <v>557</v>
      </c>
      <c r="H23" s="776">
        <v>7798.7381800000003</v>
      </c>
      <c r="I23" s="776">
        <v>0</v>
      </c>
      <c r="J23" s="776">
        <v>0</v>
      </c>
      <c r="K23" s="776">
        <v>7798.7381800000003</v>
      </c>
      <c r="L23" s="19"/>
    </row>
    <row r="24" spans="1:12" ht="15" customHeight="1">
      <c r="A24" s="775" t="s">
        <v>975</v>
      </c>
      <c r="B24" s="776" t="s">
        <v>732</v>
      </c>
      <c r="C24" s="776">
        <v>8159.8651099999997</v>
      </c>
      <c r="D24" s="776">
        <v>0</v>
      </c>
      <c r="E24" s="776">
        <v>0</v>
      </c>
      <c r="F24" s="776">
        <v>8159.8651099999997</v>
      </c>
      <c r="G24" s="776" t="s">
        <v>559</v>
      </c>
      <c r="H24" s="776">
        <v>7861.2347099999997</v>
      </c>
      <c r="I24" s="776">
        <v>0</v>
      </c>
      <c r="J24" s="776">
        <v>0</v>
      </c>
      <c r="K24" s="776">
        <v>7861.2347099999997</v>
      </c>
      <c r="L24" s="19"/>
    </row>
    <row r="25" spans="1:12" ht="15" customHeight="1">
      <c r="A25" s="775" t="s">
        <v>976</v>
      </c>
      <c r="B25" s="776" t="s">
        <v>715</v>
      </c>
      <c r="C25" s="776">
        <v>8262.4853999999996</v>
      </c>
      <c r="D25" s="776">
        <v>0</v>
      </c>
      <c r="E25" s="776">
        <v>0</v>
      </c>
      <c r="F25" s="776">
        <v>8262.4853999999996</v>
      </c>
      <c r="G25" s="776" t="s">
        <v>977</v>
      </c>
      <c r="H25" s="776">
        <v>7787.7240599999996</v>
      </c>
      <c r="I25" s="776">
        <v>0</v>
      </c>
      <c r="J25" s="776">
        <v>0</v>
      </c>
      <c r="K25" s="776">
        <v>7787.7240599999996</v>
      </c>
      <c r="L25" s="19"/>
    </row>
    <row r="26" spans="1:12" ht="15" customHeight="1">
      <c r="A26" s="775" t="s">
        <v>978</v>
      </c>
      <c r="B26" s="776" t="s">
        <v>356</v>
      </c>
      <c r="C26" s="776">
        <v>7849.1430899999996</v>
      </c>
      <c r="D26" s="776">
        <v>0</v>
      </c>
      <c r="E26" s="776">
        <v>0</v>
      </c>
      <c r="F26" s="776">
        <v>7849.1430899999996</v>
      </c>
      <c r="G26" s="776" t="s">
        <v>559</v>
      </c>
      <c r="H26" s="776">
        <v>7568.5649800000001</v>
      </c>
      <c r="I26" s="776">
        <v>0</v>
      </c>
      <c r="J26" s="776">
        <v>0</v>
      </c>
      <c r="K26" s="776">
        <v>7568.5649800000001</v>
      </c>
      <c r="L26" s="19"/>
    </row>
    <row r="27" spans="1:12" ht="15" customHeight="1">
      <c r="A27" s="775" t="s">
        <v>979</v>
      </c>
      <c r="B27" s="776" t="s">
        <v>700</v>
      </c>
      <c r="C27" s="776">
        <v>6872.3526199999997</v>
      </c>
      <c r="D27" s="776">
        <v>0</v>
      </c>
      <c r="E27" s="776">
        <v>0</v>
      </c>
      <c r="F27" s="776">
        <v>6872.3526199999997</v>
      </c>
      <c r="G27" s="776" t="s">
        <v>557</v>
      </c>
      <c r="H27" s="776">
        <v>7481.6031999999996</v>
      </c>
      <c r="I27" s="776">
        <v>0</v>
      </c>
      <c r="J27" s="776">
        <v>0</v>
      </c>
      <c r="K27" s="776">
        <v>7481.6031999999996</v>
      </c>
      <c r="L27" s="19"/>
    </row>
    <row r="28" spans="1:12" ht="15" customHeight="1">
      <c r="A28" s="775" t="s">
        <v>980</v>
      </c>
      <c r="B28" s="776" t="s">
        <v>715</v>
      </c>
      <c r="C28" s="776">
        <v>8097.0918600000005</v>
      </c>
      <c r="D28" s="776">
        <v>0</v>
      </c>
      <c r="E28" s="776">
        <v>0</v>
      </c>
      <c r="F28" s="776">
        <v>8097.0918600000005</v>
      </c>
      <c r="G28" s="776" t="s">
        <v>559</v>
      </c>
      <c r="H28" s="776">
        <v>7703.7693399999998</v>
      </c>
      <c r="I28" s="776">
        <v>0</v>
      </c>
      <c r="J28" s="776">
        <v>0</v>
      </c>
      <c r="K28" s="776">
        <v>7703.7693399999998</v>
      </c>
      <c r="L28" s="19"/>
    </row>
    <row r="29" spans="1:12" ht="16.2" customHeight="1">
      <c r="A29" s="775" t="s">
        <v>981</v>
      </c>
      <c r="B29" s="776" t="s">
        <v>730</v>
      </c>
      <c r="C29" s="776">
        <v>8089.8905699999996</v>
      </c>
      <c r="D29" s="776">
        <v>0</v>
      </c>
      <c r="E29" s="776">
        <v>0</v>
      </c>
      <c r="F29" s="776">
        <v>8089.8905699999996</v>
      </c>
      <c r="G29" s="776" t="s">
        <v>558</v>
      </c>
      <c r="H29" s="776">
        <v>7815.07683</v>
      </c>
      <c r="I29" s="776">
        <v>0</v>
      </c>
      <c r="J29" s="776">
        <v>0</v>
      </c>
      <c r="K29" s="776">
        <v>7815.07683</v>
      </c>
      <c r="L29" s="19"/>
    </row>
    <row r="30" spans="1:12" ht="16.2" customHeight="1">
      <c r="A30" s="775" t="s">
        <v>982</v>
      </c>
      <c r="B30" s="776" t="s">
        <v>704</v>
      </c>
      <c r="C30" s="776">
        <v>8022.14131</v>
      </c>
      <c r="D30" s="776">
        <v>0</v>
      </c>
      <c r="E30" s="776">
        <v>0</v>
      </c>
      <c r="F30" s="776">
        <v>8022.14131</v>
      </c>
      <c r="G30" s="776" t="s">
        <v>559</v>
      </c>
      <c r="H30" s="776">
        <v>7661.8558000000003</v>
      </c>
      <c r="I30" s="776">
        <v>0</v>
      </c>
      <c r="J30" s="776">
        <v>0</v>
      </c>
      <c r="K30" s="776">
        <v>7661.8558000000003</v>
      </c>
      <c r="L30" s="19"/>
    </row>
    <row r="31" spans="1:12" ht="16.2" customHeight="1">
      <c r="A31" s="775" t="s">
        <v>983</v>
      </c>
      <c r="B31" s="776" t="s">
        <v>704</v>
      </c>
      <c r="C31" s="776">
        <v>8118.4005200000001</v>
      </c>
      <c r="D31" s="776">
        <v>0</v>
      </c>
      <c r="E31" s="776">
        <v>0</v>
      </c>
      <c r="F31" s="776">
        <v>8118.4005200000001</v>
      </c>
      <c r="G31" s="776" t="s">
        <v>984</v>
      </c>
      <c r="H31" s="776">
        <v>7796.4182899999996</v>
      </c>
      <c r="I31" s="776">
        <v>0</v>
      </c>
      <c r="J31" s="776">
        <v>0</v>
      </c>
      <c r="K31" s="776">
        <v>7796.4182899999996</v>
      </c>
      <c r="L31" s="26"/>
    </row>
    <row r="32" spans="1:12" ht="16.2" customHeight="1">
      <c r="A32" s="775" t="s">
        <v>985</v>
      </c>
      <c r="B32" s="776" t="s">
        <v>986</v>
      </c>
      <c r="C32" s="776">
        <v>8250.6678100000008</v>
      </c>
      <c r="D32" s="776">
        <v>0</v>
      </c>
      <c r="E32" s="776">
        <v>0</v>
      </c>
      <c r="F32" s="776">
        <v>8250.6678100000008</v>
      </c>
      <c r="G32" s="776" t="s">
        <v>558</v>
      </c>
      <c r="H32" s="776">
        <v>7851.76926</v>
      </c>
      <c r="I32" s="776">
        <v>0</v>
      </c>
      <c r="J32" s="776">
        <v>0</v>
      </c>
      <c r="K32" s="776">
        <v>7851.76926</v>
      </c>
      <c r="L32" s="19"/>
    </row>
    <row r="33" spans="1:12" ht="16.2" customHeight="1">
      <c r="A33" s="775" t="s">
        <v>987</v>
      </c>
      <c r="B33" s="776" t="s">
        <v>357</v>
      </c>
      <c r="C33" s="776">
        <v>7899.0193399999998</v>
      </c>
      <c r="D33" s="776">
        <v>0</v>
      </c>
      <c r="E33" s="776">
        <v>0</v>
      </c>
      <c r="F33" s="776">
        <v>7899.0193399999998</v>
      </c>
      <c r="G33" s="776" t="s">
        <v>559</v>
      </c>
      <c r="H33" s="776">
        <v>7719.4075999999995</v>
      </c>
      <c r="I33" s="776">
        <v>0</v>
      </c>
      <c r="J33" s="776">
        <v>0</v>
      </c>
      <c r="K33" s="776">
        <v>7719.4075999999995</v>
      </c>
      <c r="L33" s="19"/>
    </row>
    <row r="34" spans="1:12" ht="16.2" customHeight="1">
      <c r="A34" s="775" t="s">
        <v>988</v>
      </c>
      <c r="B34" s="776" t="s">
        <v>700</v>
      </c>
      <c r="C34" s="776">
        <v>6965.6593300000004</v>
      </c>
      <c r="D34" s="776">
        <v>0</v>
      </c>
      <c r="E34" s="776">
        <v>0</v>
      </c>
      <c r="F34" s="776">
        <v>6965.6593300000004</v>
      </c>
      <c r="G34" s="776" t="s">
        <v>989</v>
      </c>
      <c r="H34" s="776">
        <v>7365.5158300000003</v>
      </c>
      <c r="I34" s="776">
        <v>0</v>
      </c>
      <c r="J34" s="776">
        <v>0</v>
      </c>
      <c r="K34" s="776">
        <v>7365.5158300000003</v>
      </c>
      <c r="L34" s="12"/>
    </row>
    <row r="35" spans="1:12" ht="16.2" customHeight="1">
      <c r="A35" s="775" t="s">
        <v>990</v>
      </c>
      <c r="B35" s="776" t="s">
        <v>730</v>
      </c>
      <c r="C35" s="776">
        <v>8052.5257899999997</v>
      </c>
      <c r="D35" s="776">
        <v>37.271039999999999</v>
      </c>
      <c r="E35" s="776">
        <v>0</v>
      </c>
      <c r="F35" s="776">
        <v>8089.7968300000002</v>
      </c>
      <c r="G35" s="776" t="s">
        <v>559</v>
      </c>
      <c r="H35" s="776">
        <v>7733.1373599999997</v>
      </c>
      <c r="I35" s="776">
        <v>48.243160000000003</v>
      </c>
      <c r="J35" s="776">
        <v>0</v>
      </c>
      <c r="K35" s="776">
        <v>7781.3805199999997</v>
      </c>
      <c r="L35" s="13"/>
    </row>
    <row r="36" spans="1:12" ht="16.2" customHeight="1">
      <c r="A36" s="775" t="s">
        <v>960</v>
      </c>
      <c r="B36" s="776" t="s">
        <v>731</v>
      </c>
      <c r="C36" s="776">
        <v>8260.6841700000004</v>
      </c>
      <c r="D36" s="776">
        <v>0</v>
      </c>
      <c r="E36" s="776">
        <v>0</v>
      </c>
      <c r="F36" s="776">
        <v>8260.6841700000004</v>
      </c>
      <c r="G36" s="777" t="s">
        <v>558</v>
      </c>
      <c r="H36" s="777">
        <v>7899.5078100000001</v>
      </c>
      <c r="I36" s="777">
        <v>0</v>
      </c>
      <c r="J36" s="777">
        <v>0</v>
      </c>
      <c r="K36" s="777">
        <v>7899.5078100000001</v>
      </c>
      <c r="L36" s="12"/>
    </row>
    <row r="37" spans="1:12" ht="16.2" customHeight="1">
      <c r="A37" s="775" t="s">
        <v>991</v>
      </c>
      <c r="B37" s="776" t="s">
        <v>992</v>
      </c>
      <c r="C37" s="776">
        <v>8258.3847600000008</v>
      </c>
      <c r="D37" s="776">
        <v>0</v>
      </c>
      <c r="E37" s="776">
        <v>0</v>
      </c>
      <c r="F37" s="776">
        <v>8258.3847600000008</v>
      </c>
      <c r="G37" s="776" t="s">
        <v>558</v>
      </c>
      <c r="H37" s="776">
        <v>7879.2646800000002</v>
      </c>
      <c r="I37" s="776">
        <v>0</v>
      </c>
      <c r="J37" s="776">
        <v>0</v>
      </c>
      <c r="K37" s="776">
        <v>7879.2646800000002</v>
      </c>
      <c r="L37" s="12"/>
    </row>
    <row r="38" spans="1:12" ht="16.2" customHeight="1">
      <c r="A38" s="775" t="s">
        <v>993</v>
      </c>
      <c r="B38" s="776" t="s">
        <v>704</v>
      </c>
      <c r="C38" s="776">
        <v>8192.6700199999996</v>
      </c>
      <c r="D38" s="776">
        <v>0</v>
      </c>
      <c r="E38" s="776">
        <v>0</v>
      </c>
      <c r="F38" s="776">
        <v>8192.6700199999996</v>
      </c>
      <c r="G38" s="776" t="s">
        <v>559</v>
      </c>
      <c r="H38" s="776">
        <v>7706.82906</v>
      </c>
      <c r="I38" s="776">
        <v>0</v>
      </c>
      <c r="J38" s="776">
        <v>0</v>
      </c>
      <c r="K38" s="776">
        <v>7706.82906</v>
      </c>
      <c r="L38" s="12"/>
    </row>
    <row r="39" spans="1:12" ht="16.2" customHeight="1">
      <c r="A39" s="775" t="s">
        <v>994</v>
      </c>
      <c r="B39" s="776" t="s">
        <v>730</v>
      </c>
      <c r="C39" s="776">
        <v>8158.8729400000002</v>
      </c>
      <c r="D39" s="776">
        <v>0</v>
      </c>
      <c r="E39" s="776">
        <v>0</v>
      </c>
      <c r="F39" s="776">
        <v>8158.8729400000002</v>
      </c>
      <c r="G39" s="776" t="s">
        <v>558</v>
      </c>
      <c r="H39" s="776">
        <v>7854.8894399999999</v>
      </c>
      <c r="I39" s="776">
        <v>0</v>
      </c>
      <c r="J39" s="776">
        <v>0</v>
      </c>
      <c r="K39" s="776">
        <v>7854.8894399999999</v>
      </c>
      <c r="L39" s="12"/>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5"/>
  <sheetViews>
    <sheetView showGridLines="0" view="pageBreakPreview" zoomScale="110" zoomScaleNormal="100" zoomScaleSheetLayoutView="110" zoomScalePageLayoutView="130" workbookViewId="0">
      <selection activeCell="K7" sqref="K7"/>
    </sheetView>
  </sheetViews>
  <sheetFormatPr defaultColWidth="9.28515625" defaultRowHeight="9.6"/>
  <cols>
    <col min="1" max="1" width="15.28515625" style="464" customWidth="1"/>
    <col min="2" max="2" width="17.7109375" style="464" customWidth="1"/>
    <col min="3" max="3" width="12.85546875" style="464" bestFit="1" customWidth="1"/>
    <col min="4" max="4" width="56" style="464" customWidth="1"/>
    <col min="5" max="5" width="12.28515625" style="464" customWidth="1"/>
    <col min="6" max="6" width="10.42578125"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60.6" customHeight="1">
      <c r="A3" s="474" t="s">
        <v>359</v>
      </c>
      <c r="B3" s="474" t="s">
        <v>767</v>
      </c>
      <c r="C3" s="472" t="s">
        <v>768</v>
      </c>
      <c r="D3" s="473" t="s">
        <v>769</v>
      </c>
      <c r="E3" s="474">
        <v>17.5</v>
      </c>
      <c r="F3" s="474"/>
      <c r="H3" s="469"/>
      <c r="I3" s="471"/>
    </row>
    <row r="4" spans="1:9" ht="60" customHeight="1">
      <c r="A4" s="474" t="s">
        <v>738</v>
      </c>
      <c r="B4" s="474" t="s">
        <v>739</v>
      </c>
      <c r="C4" s="472" t="s">
        <v>770</v>
      </c>
      <c r="D4" s="473" t="s">
        <v>771</v>
      </c>
      <c r="E4" s="474">
        <v>13.25</v>
      </c>
      <c r="F4" s="474"/>
      <c r="G4" s="475"/>
      <c r="H4" s="475"/>
      <c r="I4" s="476"/>
    </row>
    <row r="5" spans="1:9" ht="75" customHeight="1">
      <c r="A5" s="474" t="s">
        <v>772</v>
      </c>
      <c r="B5" s="474" t="s">
        <v>773</v>
      </c>
      <c r="C5" s="472" t="s">
        <v>774</v>
      </c>
      <c r="D5" s="473" t="s">
        <v>775</v>
      </c>
      <c r="E5" s="474">
        <v>4.78</v>
      </c>
      <c r="F5" s="474"/>
      <c r="G5" s="475"/>
      <c r="H5" s="475"/>
      <c r="I5" s="477"/>
    </row>
    <row r="6" spans="1:9" ht="52.8" customHeight="1">
      <c r="A6" s="474" t="s">
        <v>772</v>
      </c>
      <c r="B6" s="474" t="s">
        <v>776</v>
      </c>
      <c r="C6" s="472" t="s">
        <v>777</v>
      </c>
      <c r="D6" s="473" t="s">
        <v>778</v>
      </c>
      <c r="E6" s="474">
        <v>1.9</v>
      </c>
      <c r="F6" s="474"/>
      <c r="G6" s="475"/>
      <c r="H6" s="475"/>
      <c r="I6" s="479"/>
    </row>
    <row r="7" spans="1:9" ht="61.2" customHeight="1">
      <c r="A7" s="474" t="s">
        <v>567</v>
      </c>
      <c r="B7" s="474" t="s">
        <v>568</v>
      </c>
      <c r="C7" s="472" t="s">
        <v>779</v>
      </c>
      <c r="D7" s="473" t="s">
        <v>780</v>
      </c>
      <c r="E7" s="474">
        <v>6.99</v>
      </c>
      <c r="F7" s="474"/>
      <c r="G7" s="475"/>
      <c r="H7" s="475"/>
      <c r="I7" s="478"/>
    </row>
    <row r="8" spans="1:9" ht="67.8" customHeight="1">
      <c r="A8" s="474" t="s">
        <v>359</v>
      </c>
      <c r="B8" s="474" t="s">
        <v>781</v>
      </c>
      <c r="C8" s="472" t="s">
        <v>782</v>
      </c>
      <c r="D8" s="473" t="s">
        <v>783</v>
      </c>
      <c r="E8" s="474">
        <v>7.83</v>
      </c>
      <c r="F8" s="474">
        <v>2.29</v>
      </c>
      <c r="G8" s="475"/>
      <c r="H8" s="475"/>
      <c r="I8" s="478"/>
    </row>
    <row r="9" spans="1:9" ht="60.6" customHeight="1">
      <c r="A9" s="474" t="s">
        <v>735</v>
      </c>
      <c r="B9" s="474" t="s">
        <v>784</v>
      </c>
      <c r="C9" s="472" t="s">
        <v>785</v>
      </c>
      <c r="D9" s="473" t="s">
        <v>786</v>
      </c>
      <c r="E9" s="474">
        <v>11.99</v>
      </c>
      <c r="F9" s="474"/>
      <c r="G9" s="475"/>
      <c r="H9" s="475"/>
      <c r="I9" s="478"/>
    </row>
    <row r="10" spans="1:9" ht="51.6" customHeight="1">
      <c r="A10" s="474" t="s">
        <v>569</v>
      </c>
      <c r="B10" s="474" t="s">
        <v>570</v>
      </c>
      <c r="C10" s="472" t="s">
        <v>787</v>
      </c>
      <c r="D10" s="473" t="s">
        <v>788</v>
      </c>
      <c r="E10" s="474">
        <v>1.45</v>
      </c>
      <c r="F10" s="474"/>
      <c r="G10" s="475"/>
      <c r="H10" s="475"/>
      <c r="I10" s="478"/>
    </row>
    <row r="11" spans="1:9" ht="52.2" customHeight="1">
      <c r="A11" s="474" t="s">
        <v>712</v>
      </c>
      <c r="B11" s="474" t="s">
        <v>789</v>
      </c>
      <c r="C11" s="472" t="s">
        <v>790</v>
      </c>
      <c r="D11" s="473" t="s">
        <v>791</v>
      </c>
      <c r="E11" s="474">
        <v>4.75</v>
      </c>
      <c r="F11" s="474"/>
      <c r="G11" s="475"/>
      <c r="H11" s="475"/>
      <c r="I11" s="478"/>
    </row>
    <row r="12" spans="1:9" ht="39.6" customHeight="1">
      <c r="A12" s="474" t="s">
        <v>792</v>
      </c>
      <c r="B12" s="474" t="s">
        <v>793</v>
      </c>
      <c r="C12" s="472" t="s">
        <v>794</v>
      </c>
      <c r="D12" s="473" t="s">
        <v>795</v>
      </c>
      <c r="E12" s="474">
        <v>66.930000000000007</v>
      </c>
      <c r="F12" s="474"/>
    </row>
    <row r="13" spans="1:9" ht="62.4" customHeight="1">
      <c r="A13" s="474" t="s">
        <v>736</v>
      </c>
      <c r="B13" s="474" t="s">
        <v>737</v>
      </c>
      <c r="C13" s="472" t="s">
        <v>796</v>
      </c>
      <c r="D13" s="473" t="s">
        <v>797</v>
      </c>
      <c r="E13" s="474">
        <v>20.059999999999999</v>
      </c>
      <c r="F13" s="474"/>
    </row>
    <row r="14" spans="1:9" ht="56.4" customHeight="1">
      <c r="A14" s="474" t="s">
        <v>389</v>
      </c>
      <c r="B14" s="474" t="s">
        <v>713</v>
      </c>
      <c r="C14" s="472" t="s">
        <v>798</v>
      </c>
      <c r="D14" s="473" t="s">
        <v>799</v>
      </c>
      <c r="E14" s="474">
        <v>15.36</v>
      </c>
      <c r="F14" s="474"/>
    </row>
    <row r="15" spans="1:9">
      <c r="E15" s="480"/>
      <c r="F15" s="480"/>
    </row>
    <row r="16" spans="1:9">
      <c r="E16" s="480"/>
      <c r="F16" s="480"/>
    </row>
    <row r="17" spans="5:6">
      <c r="E17" s="480"/>
      <c r="F17" s="480"/>
    </row>
    <row r="18" spans="5:6">
      <c r="E18" s="480"/>
      <c r="F18" s="480"/>
    </row>
    <row r="19" spans="5:6">
      <c r="E19" s="480"/>
      <c r="F19" s="480"/>
    </row>
    <row r="20" spans="5:6">
      <c r="E20" s="480"/>
      <c r="F20" s="480"/>
    </row>
    <row r="21" spans="5:6">
      <c r="E21" s="480"/>
      <c r="F21" s="480"/>
    </row>
    <row r="22" spans="5:6">
      <c r="E22" s="480"/>
      <c r="F22" s="480"/>
    </row>
    <row r="23" spans="5:6">
      <c r="E23" s="480"/>
      <c r="F23" s="480"/>
    </row>
    <row r="24" spans="5:6">
      <c r="E24" s="480"/>
      <c r="F24" s="480"/>
    </row>
    <row r="25" spans="5:6">
      <c r="E25" s="480"/>
      <c r="F25" s="480"/>
    </row>
    <row r="26" spans="5:6">
      <c r="E26" s="480"/>
      <c r="F26" s="480"/>
    </row>
    <row r="27" spans="5:6">
      <c r="E27" s="480"/>
      <c r="F27" s="480"/>
    </row>
    <row r="28" spans="5:6">
      <c r="E28" s="480"/>
      <c r="F28" s="480"/>
    </row>
    <row r="29" spans="5:6">
      <c r="E29" s="480"/>
      <c r="F29" s="480"/>
    </row>
    <row r="30" spans="5:6">
      <c r="E30" s="480"/>
      <c r="F30" s="480"/>
    </row>
    <row r="31" spans="5:6">
      <c r="E31" s="480"/>
      <c r="F31" s="480"/>
    </row>
    <row r="32" spans="5:6">
      <c r="E32" s="480"/>
      <c r="F32" s="480"/>
    </row>
    <row r="33" spans="5:6">
      <c r="E33" s="480"/>
      <c r="F33" s="480"/>
    </row>
    <row r="34" spans="5:6">
      <c r="E34" s="480"/>
      <c r="F34" s="480"/>
    </row>
    <row r="35" spans="5:6">
      <c r="E35" s="480"/>
      <c r="F35" s="480"/>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1"/>
  <sheetViews>
    <sheetView showGridLines="0" view="pageBreakPreview" topLeftCell="A3" zoomScale="115" zoomScaleNormal="100" zoomScaleSheetLayoutView="115" zoomScalePageLayoutView="130"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1.85546875"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c r="E2" s="468" t="s">
        <v>277</v>
      </c>
      <c r="F2" s="468" t="s">
        <v>278</v>
      </c>
      <c r="G2" s="469"/>
      <c r="H2" s="470"/>
      <c r="I2" s="471"/>
    </row>
    <row r="3" spans="1:9" ht="62.4" customHeight="1">
      <c r="A3" s="474" t="s">
        <v>389</v>
      </c>
      <c r="B3" s="474" t="s">
        <v>713</v>
      </c>
      <c r="C3" s="472" t="s">
        <v>800</v>
      </c>
      <c r="D3" s="473" t="s">
        <v>801</v>
      </c>
      <c r="E3" s="474">
        <v>15.36</v>
      </c>
      <c r="F3" s="474"/>
      <c r="G3" s="475"/>
      <c r="H3" s="475"/>
      <c r="I3" s="479"/>
    </row>
    <row r="4" spans="1:9" ht="78.599999999999994" customHeight="1">
      <c r="A4" s="474" t="s">
        <v>389</v>
      </c>
      <c r="B4" s="474" t="s">
        <v>713</v>
      </c>
      <c r="C4" s="472" t="s">
        <v>802</v>
      </c>
      <c r="D4" s="473" t="s">
        <v>803</v>
      </c>
      <c r="E4" s="474">
        <v>15.36</v>
      </c>
      <c r="F4" s="474"/>
      <c r="G4" s="475"/>
      <c r="H4" s="475"/>
      <c r="I4" s="479"/>
    </row>
    <row r="5" spans="1:9" ht="72" customHeight="1">
      <c r="A5" s="474" t="s">
        <v>389</v>
      </c>
      <c r="B5" s="474" t="s">
        <v>734</v>
      </c>
      <c r="C5" s="472" t="s">
        <v>804</v>
      </c>
      <c r="D5" s="473" t="s">
        <v>805</v>
      </c>
      <c r="E5" s="474">
        <v>7.55</v>
      </c>
      <c r="F5" s="474"/>
      <c r="G5" s="475"/>
      <c r="H5" s="475"/>
      <c r="I5" s="479"/>
    </row>
    <row r="6" spans="1:9" ht="58.8" customHeight="1">
      <c r="A6" s="474" t="s">
        <v>569</v>
      </c>
      <c r="B6" s="474" t="s">
        <v>702</v>
      </c>
      <c r="C6" s="472" t="s">
        <v>806</v>
      </c>
      <c r="D6" s="473" t="s">
        <v>807</v>
      </c>
      <c r="E6" s="474">
        <v>3.7</v>
      </c>
      <c r="F6" s="474"/>
      <c r="G6" s="475"/>
      <c r="H6" s="475"/>
      <c r="I6" s="479"/>
    </row>
    <row r="7" spans="1:9" ht="76.2" customHeight="1">
      <c r="A7" s="474" t="s">
        <v>712</v>
      </c>
      <c r="B7" s="474" t="s">
        <v>808</v>
      </c>
      <c r="C7" s="472" t="s">
        <v>809</v>
      </c>
      <c r="D7" s="473" t="s">
        <v>810</v>
      </c>
      <c r="E7" s="474">
        <v>23.52</v>
      </c>
      <c r="F7" s="474"/>
      <c r="G7" s="475"/>
      <c r="H7" s="475"/>
      <c r="I7" s="479"/>
    </row>
    <row r="8" spans="1:9" ht="119.4" customHeight="1">
      <c r="A8" s="474" t="s">
        <v>556</v>
      </c>
      <c r="B8" s="474" t="s">
        <v>811</v>
      </c>
      <c r="C8" s="472" t="s">
        <v>812</v>
      </c>
      <c r="D8" s="473" t="s">
        <v>813</v>
      </c>
      <c r="E8" s="474">
        <v>13.34</v>
      </c>
      <c r="F8" s="474">
        <v>5.2</v>
      </c>
      <c r="G8" s="475"/>
      <c r="H8" s="475"/>
      <c r="I8" s="479"/>
    </row>
    <row r="9" spans="1:9" ht="60" customHeight="1">
      <c r="A9" s="474" t="s">
        <v>569</v>
      </c>
      <c r="B9" s="474" t="s">
        <v>702</v>
      </c>
      <c r="C9" s="472" t="s">
        <v>814</v>
      </c>
      <c r="D9" s="473" t="s">
        <v>815</v>
      </c>
      <c r="E9" s="474">
        <v>5.5</v>
      </c>
      <c r="F9" s="474"/>
      <c r="G9" s="475"/>
      <c r="H9" s="475"/>
      <c r="I9" s="479"/>
    </row>
    <row r="10" spans="1:9" ht="61.2" customHeight="1">
      <c r="A10" s="474" t="s">
        <v>556</v>
      </c>
      <c r="B10" s="474" t="s">
        <v>816</v>
      </c>
      <c r="C10" s="472" t="s">
        <v>817</v>
      </c>
      <c r="D10" s="473" t="s">
        <v>818</v>
      </c>
      <c r="E10" s="474">
        <v>1.1000000000000001</v>
      </c>
      <c r="F10" s="474"/>
    </row>
    <row r="11" spans="1:9" ht="84" customHeight="1">
      <c r="A11" s="474" t="s">
        <v>735</v>
      </c>
      <c r="B11" s="474" t="s">
        <v>819</v>
      </c>
      <c r="C11" s="472" t="s">
        <v>820</v>
      </c>
      <c r="D11" s="473" t="s">
        <v>821</v>
      </c>
      <c r="E11" s="474">
        <v>11.78</v>
      </c>
      <c r="F11"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1"/>
  <sheetViews>
    <sheetView showGridLines="0" view="pageBreakPreview" topLeftCell="A3"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66" customHeight="1">
      <c r="A3" s="474" t="s">
        <v>389</v>
      </c>
      <c r="B3" s="474" t="s">
        <v>822</v>
      </c>
      <c r="C3" s="472" t="s">
        <v>823</v>
      </c>
      <c r="D3" s="473" t="s">
        <v>824</v>
      </c>
      <c r="E3" s="474">
        <v>2</v>
      </c>
      <c r="F3" s="474"/>
      <c r="G3" s="475"/>
      <c r="H3" s="475"/>
      <c r="I3" s="479"/>
    </row>
    <row r="4" spans="1:9" ht="57" customHeight="1">
      <c r="A4" s="474" t="s">
        <v>389</v>
      </c>
      <c r="B4" s="474" t="s">
        <v>822</v>
      </c>
      <c r="C4" s="472" t="s">
        <v>825</v>
      </c>
      <c r="D4" s="473" t="s">
        <v>826</v>
      </c>
      <c r="E4" s="474">
        <v>2</v>
      </c>
      <c r="F4" s="474"/>
      <c r="G4" s="475"/>
      <c r="H4" s="475"/>
      <c r="I4" s="479"/>
    </row>
    <row r="5" spans="1:9" ht="58.2" customHeight="1">
      <c r="A5" s="474" t="s">
        <v>569</v>
      </c>
      <c r="B5" s="474" t="s">
        <v>702</v>
      </c>
      <c r="C5" s="472" t="s">
        <v>827</v>
      </c>
      <c r="D5" s="473" t="s">
        <v>828</v>
      </c>
      <c r="E5" s="474">
        <v>5.47</v>
      </c>
      <c r="F5" s="474"/>
      <c r="G5" s="475"/>
      <c r="H5" s="475"/>
      <c r="I5" s="479"/>
    </row>
    <row r="6" spans="1:9" ht="70.8" customHeight="1">
      <c r="A6" s="474" t="s">
        <v>643</v>
      </c>
      <c r="B6" s="474" t="s">
        <v>829</v>
      </c>
      <c r="C6" s="472" t="s">
        <v>830</v>
      </c>
      <c r="D6" s="473" t="s">
        <v>831</v>
      </c>
      <c r="E6" s="474">
        <v>8.5</v>
      </c>
      <c r="F6" s="474"/>
      <c r="G6" s="475"/>
      <c r="H6" s="475"/>
      <c r="I6" s="479"/>
    </row>
    <row r="7" spans="1:9" ht="87" customHeight="1">
      <c r="A7" s="474" t="s">
        <v>562</v>
      </c>
      <c r="B7" s="474" t="s">
        <v>832</v>
      </c>
      <c r="C7" s="472" t="s">
        <v>833</v>
      </c>
      <c r="D7" s="473" t="s">
        <v>834</v>
      </c>
      <c r="E7" s="474">
        <v>114</v>
      </c>
      <c r="F7" s="474">
        <v>176.51</v>
      </c>
      <c r="G7" s="475"/>
      <c r="H7" s="475"/>
      <c r="I7" s="479"/>
    </row>
    <row r="8" spans="1:9" ht="92.4" customHeight="1">
      <c r="A8" s="474" t="s">
        <v>84</v>
      </c>
      <c r="B8" s="474" t="s">
        <v>835</v>
      </c>
      <c r="C8" s="472" t="s">
        <v>836</v>
      </c>
      <c r="D8" s="473" t="s">
        <v>837</v>
      </c>
      <c r="E8" s="474"/>
      <c r="F8" s="474">
        <v>23.43</v>
      </c>
    </row>
    <row r="9" spans="1:9" ht="79.2" customHeight="1">
      <c r="A9" s="474" t="s">
        <v>838</v>
      </c>
      <c r="B9" s="474" t="s">
        <v>839</v>
      </c>
      <c r="C9" s="472" t="s">
        <v>840</v>
      </c>
      <c r="D9" s="473" t="s">
        <v>841</v>
      </c>
      <c r="E9" s="474"/>
      <c r="F9" s="474">
        <v>40.880000000000003</v>
      </c>
    </row>
    <row r="10" spans="1:9" ht="86.4" customHeight="1">
      <c r="A10" s="474" t="s">
        <v>389</v>
      </c>
      <c r="B10" s="474" t="s">
        <v>822</v>
      </c>
      <c r="C10" s="472" t="s">
        <v>842</v>
      </c>
      <c r="D10" s="473" t="s">
        <v>843</v>
      </c>
      <c r="E10" s="474">
        <v>6.53</v>
      </c>
      <c r="F10" s="474"/>
    </row>
    <row r="11" spans="1:9" ht="66" customHeight="1">
      <c r="A11" s="474" t="s">
        <v>389</v>
      </c>
      <c r="B11" s="474" t="s">
        <v>701</v>
      </c>
      <c r="C11" s="472" t="s">
        <v>844</v>
      </c>
      <c r="D11" s="473" t="s">
        <v>845</v>
      </c>
      <c r="E11" s="474">
        <v>0.52</v>
      </c>
      <c r="F11"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topLeftCell="A19" zoomScaleNormal="100" zoomScaleSheetLayoutView="100" workbookViewId="0">
      <selection activeCell="O32" sqref="O32"/>
    </sheetView>
  </sheetViews>
  <sheetFormatPr defaultColWidth="9.28515625" defaultRowHeight="10.199999999999999"/>
  <cols>
    <col min="1" max="1" width="7.42578125" style="40" customWidth="1"/>
    <col min="2" max="9" width="9.28515625" style="40"/>
    <col min="10" max="11" width="9.28515625" style="40" customWidth="1"/>
    <col min="12" max="12" width="10.28515625" style="40" customWidth="1"/>
    <col min="13" max="13" width="13.85546875" style="40" customWidth="1"/>
    <col min="14" max="14" width="9.28515625" style="240"/>
    <col min="15" max="15" width="10.5703125" style="240" bestFit="1" customWidth="1"/>
    <col min="16" max="16" width="10.140625" style="240" bestFit="1" customWidth="1"/>
    <col min="17" max="17" width="14.7109375" style="240" customWidth="1"/>
    <col min="18" max="30" width="9.28515625" style="240"/>
    <col min="31" max="16384" width="9.28515625" style="40"/>
  </cols>
  <sheetData>
    <row r="1" spans="1:17" ht="27.75" customHeight="1">
      <c r="A1" s="794" t="s">
        <v>21</v>
      </c>
      <c r="B1" s="794"/>
      <c r="C1" s="794"/>
      <c r="D1" s="794"/>
      <c r="E1" s="794"/>
      <c r="F1" s="794"/>
      <c r="G1" s="794"/>
      <c r="H1" s="794"/>
      <c r="I1" s="794"/>
      <c r="J1" s="794"/>
      <c r="K1" s="794"/>
      <c r="L1" s="794"/>
      <c r="M1" s="794"/>
      <c r="N1" s="543"/>
      <c r="O1" s="543"/>
      <c r="P1" s="543"/>
      <c r="Q1" s="543"/>
    </row>
    <row r="2" spans="1:17" ht="11.25" customHeight="1">
      <c r="A2" s="35"/>
      <c r="B2" s="34"/>
      <c r="C2" s="59"/>
      <c r="D2" s="59"/>
      <c r="E2" s="59"/>
      <c r="F2" s="59"/>
      <c r="G2" s="59"/>
      <c r="H2" s="59"/>
      <c r="I2" s="59"/>
      <c r="J2" s="59"/>
      <c r="K2" s="34"/>
      <c r="L2" s="34"/>
      <c r="M2" s="34"/>
      <c r="N2" s="543"/>
      <c r="O2" s="543"/>
      <c r="P2" s="543"/>
      <c r="Q2" s="543"/>
    </row>
    <row r="3" spans="1:17" ht="21.75" customHeight="1">
      <c r="A3" s="34"/>
      <c r="B3" s="36"/>
      <c r="C3" s="801" t="str">
        <f>+UPPER(Q4)&amp;" "&amp;Q5</f>
        <v>FEBRERO 2025</v>
      </c>
      <c r="D3" s="801"/>
      <c r="E3" s="801"/>
      <c r="F3" s="801"/>
      <c r="G3" s="801"/>
      <c r="H3" s="801"/>
      <c r="I3" s="801"/>
      <c r="J3" s="801"/>
      <c r="K3" s="801"/>
      <c r="L3" s="34"/>
      <c r="M3" s="34"/>
      <c r="N3" s="543"/>
      <c r="O3" s="543"/>
      <c r="P3" s="543"/>
      <c r="Q3" s="543"/>
    </row>
    <row r="4" spans="1:17" ht="11.25" customHeight="1">
      <c r="A4" s="34"/>
      <c r="B4" s="36"/>
      <c r="C4" s="34"/>
      <c r="D4" s="34"/>
      <c r="E4" s="34"/>
      <c r="F4" s="34"/>
      <c r="G4" s="34"/>
      <c r="H4" s="34"/>
      <c r="I4" s="34"/>
      <c r="J4" s="34"/>
      <c r="K4" s="34"/>
      <c r="L4" s="34"/>
      <c r="M4" s="34"/>
      <c r="N4" s="544"/>
      <c r="O4" s="544"/>
      <c r="P4" s="543" t="s">
        <v>162</v>
      </c>
      <c r="Q4" s="545" t="s">
        <v>766</v>
      </c>
    </row>
    <row r="5" spans="1:17" ht="11.25" customHeight="1">
      <c r="A5" s="41"/>
      <c r="B5" s="42"/>
      <c r="C5" s="43"/>
      <c r="D5" s="43"/>
      <c r="E5" s="43"/>
      <c r="F5" s="43"/>
      <c r="G5" s="43"/>
      <c r="H5" s="43"/>
      <c r="I5" s="43"/>
      <c r="J5" s="43"/>
      <c r="K5" s="43"/>
      <c r="L5" s="43"/>
      <c r="M5" s="34"/>
      <c r="N5" s="544"/>
      <c r="O5" s="544"/>
      <c r="P5" s="543" t="s">
        <v>163</v>
      </c>
      <c r="Q5" s="544">
        <v>2025</v>
      </c>
    </row>
    <row r="6" spans="1:17" ht="17.25" customHeight="1">
      <c r="A6" s="54" t="s">
        <v>309</v>
      </c>
      <c r="B6" s="34"/>
      <c r="C6" s="34"/>
      <c r="D6" s="34"/>
      <c r="E6" s="34"/>
      <c r="F6" s="34"/>
      <c r="G6" s="34"/>
      <c r="H6" s="34"/>
      <c r="I6" s="34"/>
      <c r="J6" s="34"/>
      <c r="K6" s="34"/>
      <c r="L6" s="34"/>
      <c r="M6" s="34"/>
      <c r="N6" s="543"/>
      <c r="O6" s="543"/>
      <c r="P6" s="543"/>
      <c r="Q6" s="546">
        <v>45689</v>
      </c>
    </row>
    <row r="7" spans="1:17" ht="11.25" customHeight="1">
      <c r="A7" s="34"/>
      <c r="B7" s="34"/>
      <c r="C7" s="34"/>
      <c r="D7" s="34"/>
      <c r="E7" s="34"/>
      <c r="F7" s="34"/>
      <c r="G7" s="34"/>
      <c r="H7" s="34"/>
      <c r="I7" s="34"/>
      <c r="J7" s="34"/>
      <c r="K7" s="34"/>
      <c r="L7" s="34"/>
      <c r="M7" s="34"/>
      <c r="N7" s="543"/>
      <c r="O7" s="543"/>
      <c r="P7" s="543"/>
      <c r="Q7" s="543">
        <v>28</v>
      </c>
    </row>
    <row r="8" spans="1:17" ht="11.25" customHeight="1">
      <c r="A8" s="37"/>
      <c r="B8" s="37"/>
      <c r="C8" s="37"/>
      <c r="D8" s="37"/>
      <c r="E8" s="37"/>
      <c r="F8" s="37"/>
      <c r="G8" s="37"/>
      <c r="H8" s="37"/>
      <c r="I8" s="37"/>
      <c r="J8" s="37"/>
      <c r="K8" s="37"/>
      <c r="L8" s="37"/>
      <c r="M8" s="37"/>
      <c r="N8" s="547"/>
      <c r="O8" s="547"/>
      <c r="P8" s="547"/>
      <c r="Q8" s="547"/>
    </row>
    <row r="9" spans="1:17" ht="14.25" customHeight="1">
      <c r="A9" s="34" t="str">
        <f>"1.1. Producción de energía eléctrica en "&amp;LOWER(Q4)&amp;" "&amp;Q5&amp;" en comparación al mismo mes del año anterior"</f>
        <v>1.1. Producción de energía eléctrica en febrero 2025 en comparación al mismo mes del año anterior</v>
      </c>
      <c r="B9" s="34"/>
      <c r="C9" s="34"/>
      <c r="D9" s="34"/>
      <c r="E9" s="34"/>
      <c r="F9" s="34"/>
      <c r="G9" s="34"/>
      <c r="H9" s="34"/>
      <c r="I9" s="34"/>
      <c r="J9" s="34"/>
      <c r="K9" s="34"/>
      <c r="L9" s="34"/>
      <c r="M9" s="34"/>
      <c r="N9" s="543"/>
      <c r="O9" s="543"/>
      <c r="P9" s="543"/>
      <c r="Q9" s="543"/>
    </row>
    <row r="10" spans="1:17" ht="11.25" customHeight="1">
      <c r="A10" s="41"/>
      <c r="B10" s="38"/>
      <c r="C10" s="38"/>
      <c r="D10" s="38"/>
      <c r="E10" s="38"/>
      <c r="F10" s="38"/>
      <c r="G10" s="38"/>
      <c r="H10" s="38"/>
      <c r="I10" s="38"/>
      <c r="J10" s="38"/>
      <c r="K10" s="38"/>
      <c r="L10" s="38"/>
      <c r="M10" s="38"/>
      <c r="N10" s="544"/>
      <c r="O10" s="544"/>
      <c r="P10" s="544"/>
      <c r="Q10" s="544"/>
    </row>
    <row r="11" spans="1:17" ht="11.25" customHeight="1">
      <c r="A11" s="44"/>
      <c r="B11" s="44"/>
      <c r="C11" s="44"/>
      <c r="D11" s="44"/>
      <c r="E11" s="44"/>
      <c r="F11" s="44"/>
      <c r="G11" s="44"/>
      <c r="H11" s="44"/>
      <c r="I11" s="44"/>
      <c r="J11" s="44"/>
      <c r="K11" s="44"/>
      <c r="L11" s="44"/>
      <c r="M11" s="44"/>
      <c r="N11" s="548"/>
      <c r="O11" s="548"/>
      <c r="P11" s="548"/>
      <c r="Q11" s="548"/>
    </row>
    <row r="12" spans="1:17" ht="27" customHeight="1">
      <c r="A12" s="56" t="s">
        <v>22</v>
      </c>
      <c r="B12" s="799" t="s">
        <v>1021</v>
      </c>
      <c r="C12" s="799"/>
      <c r="D12" s="799"/>
      <c r="E12" s="799"/>
      <c r="F12" s="799"/>
      <c r="G12" s="799"/>
      <c r="H12" s="799"/>
      <c r="I12" s="799"/>
      <c r="J12" s="799"/>
      <c r="K12" s="799"/>
      <c r="L12" s="799"/>
      <c r="M12" s="799"/>
      <c r="N12" s="544"/>
      <c r="O12" s="544"/>
      <c r="P12" s="544"/>
      <c r="Q12" s="544"/>
    </row>
    <row r="13" spans="1:17" ht="12.75" customHeight="1">
      <c r="A13" s="34"/>
      <c r="B13" s="58"/>
      <c r="C13" s="58"/>
      <c r="D13" s="58"/>
      <c r="E13" s="58"/>
      <c r="F13" s="58"/>
      <c r="G13" s="58"/>
      <c r="H13" s="58"/>
      <c r="I13" s="58"/>
      <c r="J13" s="58"/>
      <c r="K13" s="58"/>
      <c r="L13" s="58"/>
      <c r="M13" s="38"/>
      <c r="N13" s="544"/>
      <c r="O13" s="544"/>
      <c r="P13" s="544"/>
      <c r="Q13" s="544"/>
    </row>
    <row r="14" spans="1:17" ht="28.5" customHeight="1">
      <c r="A14" s="56" t="s">
        <v>22</v>
      </c>
      <c r="B14" s="799" t="s">
        <v>1022</v>
      </c>
      <c r="C14" s="799"/>
      <c r="D14" s="799"/>
      <c r="E14" s="799"/>
      <c r="F14" s="799"/>
      <c r="G14" s="799"/>
      <c r="H14" s="799"/>
      <c r="I14" s="799"/>
      <c r="J14" s="799"/>
      <c r="K14" s="799"/>
      <c r="L14" s="799"/>
      <c r="M14" s="799"/>
      <c r="N14" s="544"/>
      <c r="O14" s="544"/>
      <c r="P14" s="544"/>
      <c r="Q14" s="544"/>
    </row>
    <row r="15" spans="1:17" ht="15" customHeight="1">
      <c r="A15" s="57"/>
      <c r="B15" s="58"/>
      <c r="C15" s="58"/>
      <c r="D15" s="58"/>
      <c r="E15" s="58"/>
      <c r="F15" s="58"/>
      <c r="G15" s="58"/>
      <c r="H15" s="58"/>
      <c r="I15" s="58"/>
      <c r="J15" s="58"/>
      <c r="K15" s="58"/>
      <c r="L15" s="58"/>
      <c r="M15" s="38"/>
      <c r="N15" s="544"/>
      <c r="O15" s="544"/>
      <c r="P15" s="544"/>
      <c r="Q15" s="544"/>
    </row>
    <row r="16" spans="1:17" ht="59.25" customHeight="1">
      <c r="A16" s="56" t="s">
        <v>22</v>
      </c>
      <c r="B16" s="799" t="s">
        <v>1018</v>
      </c>
      <c r="C16" s="799"/>
      <c r="D16" s="799"/>
      <c r="E16" s="799"/>
      <c r="F16" s="799"/>
      <c r="G16" s="799"/>
      <c r="H16" s="799"/>
      <c r="I16" s="799"/>
      <c r="J16" s="799"/>
      <c r="K16" s="799"/>
      <c r="L16" s="799"/>
      <c r="M16" s="799"/>
      <c r="N16" s="544"/>
      <c r="O16" s="544"/>
      <c r="P16" s="544"/>
      <c r="Q16" s="544"/>
    </row>
    <row r="17" spans="1:24" ht="17.25" customHeight="1">
      <c r="A17" s="38"/>
      <c r="B17" s="38"/>
      <c r="C17" s="38"/>
      <c r="D17" s="38"/>
      <c r="E17" s="38"/>
      <c r="F17" s="38"/>
      <c r="G17" s="38"/>
      <c r="H17" s="38"/>
      <c r="I17" s="38"/>
      <c r="J17" s="38"/>
      <c r="K17" s="38"/>
      <c r="L17" s="38"/>
      <c r="M17" s="38"/>
      <c r="N17" s="544"/>
      <c r="O17" s="544"/>
      <c r="P17" s="544"/>
      <c r="Q17" s="544"/>
    </row>
    <row r="18" spans="1:24" ht="25.5" customHeight="1">
      <c r="A18" s="55" t="s">
        <v>22</v>
      </c>
      <c r="B18" s="798" t="s">
        <v>1020</v>
      </c>
      <c r="C18" s="798"/>
      <c r="D18" s="798"/>
      <c r="E18" s="798"/>
      <c r="F18" s="798"/>
      <c r="G18" s="798"/>
      <c r="H18" s="798"/>
      <c r="I18" s="798"/>
      <c r="J18" s="798"/>
      <c r="K18" s="798"/>
      <c r="L18" s="798"/>
      <c r="M18" s="798"/>
      <c r="N18" s="544"/>
      <c r="O18" s="544"/>
      <c r="P18" s="544"/>
      <c r="Q18" s="544"/>
    </row>
    <row r="19" spans="1:24" ht="42.75" customHeight="1">
      <c r="A19" s="38"/>
      <c r="B19" s="38"/>
      <c r="C19" s="38"/>
      <c r="D19" s="38"/>
      <c r="E19" s="38"/>
      <c r="F19" s="38"/>
      <c r="G19" s="38"/>
      <c r="H19" s="38"/>
      <c r="I19" s="38"/>
      <c r="J19" s="38"/>
      <c r="K19" s="38"/>
      <c r="L19" s="38"/>
      <c r="M19" s="38"/>
      <c r="N19" s="38"/>
      <c r="O19" s="38"/>
      <c r="P19" s="38"/>
      <c r="Q19" s="38"/>
      <c r="R19" s="40"/>
      <c r="S19" s="40"/>
      <c r="T19" s="40"/>
      <c r="U19" s="40"/>
      <c r="V19" s="40"/>
      <c r="W19" s="40"/>
      <c r="X19" s="40"/>
    </row>
    <row r="20" spans="1:24" ht="15.75" customHeight="1">
      <c r="A20" s="38"/>
      <c r="B20" s="38"/>
      <c r="C20" s="800" t="str">
        <f>+UPPER(Q4)&amp;" "&amp;Q5</f>
        <v>FEBRERO 2025</v>
      </c>
      <c r="D20" s="800"/>
      <c r="E20" s="800"/>
      <c r="F20" s="34"/>
      <c r="G20" s="34"/>
      <c r="H20" s="34"/>
      <c r="I20" s="800" t="str">
        <f>+UPPER(Q4)&amp;" "&amp;Q5-1</f>
        <v>FEBRERO 2024</v>
      </c>
      <c r="J20" s="800"/>
      <c r="K20" s="800"/>
      <c r="L20" s="800"/>
      <c r="M20" s="38"/>
      <c r="N20" s="40"/>
      <c r="O20" s="40"/>
      <c r="P20" s="40"/>
      <c r="Q20" s="38"/>
      <c r="R20" s="40"/>
      <c r="S20" s="40"/>
      <c r="T20" s="40"/>
      <c r="U20" s="40"/>
      <c r="V20" s="40"/>
      <c r="W20" s="40"/>
      <c r="X20" s="40"/>
    </row>
    <row r="21" spans="1:24" ht="11.25" customHeight="1">
      <c r="A21" s="38"/>
      <c r="B21" s="38"/>
      <c r="C21" s="38"/>
      <c r="D21" s="38"/>
      <c r="E21" s="38"/>
      <c r="F21" s="38"/>
      <c r="G21" s="38"/>
      <c r="H21" s="38"/>
      <c r="I21" s="38"/>
      <c r="J21" s="38"/>
      <c r="K21" s="38"/>
      <c r="L21" s="38"/>
      <c r="M21" s="38"/>
      <c r="N21" s="40"/>
      <c r="O21" s="40"/>
      <c r="P21" s="40"/>
      <c r="Q21" s="38"/>
      <c r="R21" s="40"/>
      <c r="S21" s="40"/>
      <c r="T21" s="40"/>
      <c r="U21" s="40"/>
      <c r="V21" s="40"/>
      <c r="W21" s="40"/>
      <c r="X21" s="40"/>
    </row>
    <row r="22" spans="1:24" ht="11.25" customHeight="1">
      <c r="A22" s="45"/>
      <c r="B22" s="46"/>
      <c r="C22" s="46"/>
      <c r="D22" s="46"/>
      <c r="E22" s="46"/>
      <c r="F22" s="46"/>
      <c r="G22" s="46"/>
      <c r="H22" s="46"/>
      <c r="I22" s="46"/>
      <c r="J22" s="46"/>
      <c r="K22" s="46"/>
      <c r="L22" s="46"/>
      <c r="M22" s="46"/>
      <c r="N22" s="778" t="s">
        <v>29</v>
      </c>
      <c r="O22" s="779"/>
      <c r="P22" s="779"/>
      <c r="Q22" s="40"/>
      <c r="R22" s="40"/>
      <c r="S22" s="40"/>
      <c r="T22" s="40"/>
      <c r="U22" s="40"/>
      <c r="V22" s="40"/>
      <c r="W22" s="40"/>
      <c r="X22" s="40"/>
    </row>
    <row r="23" spans="1:24" ht="11.25" customHeight="1">
      <c r="A23" s="45"/>
      <c r="B23" s="46"/>
      <c r="C23" s="46"/>
      <c r="D23" s="46"/>
      <c r="E23" s="46"/>
      <c r="F23" s="46"/>
      <c r="G23" s="46"/>
      <c r="H23" s="46"/>
      <c r="I23" s="46"/>
      <c r="J23" s="46"/>
      <c r="K23" s="46"/>
      <c r="L23" s="46"/>
      <c r="M23" s="46"/>
      <c r="N23" s="778" t="s">
        <v>23</v>
      </c>
      <c r="O23" s="780">
        <v>3040.4695091525</v>
      </c>
      <c r="P23" s="916">
        <v>3010.3477086375001</v>
      </c>
      <c r="Q23" s="781"/>
      <c r="R23" s="40"/>
      <c r="S23" s="40"/>
      <c r="T23" s="40"/>
      <c r="U23" s="40"/>
      <c r="V23" s="40"/>
      <c r="W23" s="40"/>
      <c r="X23" s="40"/>
    </row>
    <row r="24" spans="1:24" ht="11.25" customHeight="1">
      <c r="A24" s="38"/>
      <c r="B24" s="38"/>
      <c r="C24" s="38"/>
      <c r="D24" s="38"/>
      <c r="E24" s="37"/>
      <c r="F24" s="38"/>
      <c r="G24" s="38"/>
      <c r="H24" s="38"/>
      <c r="I24" s="38"/>
      <c r="J24" s="38"/>
      <c r="K24" s="38"/>
      <c r="L24" s="38"/>
      <c r="M24" s="37"/>
      <c r="N24" s="782" t="s">
        <v>24</v>
      </c>
      <c r="O24" s="783">
        <v>1480.4140834250002</v>
      </c>
      <c r="P24" s="917">
        <v>1545.6135136224998</v>
      </c>
      <c r="Q24" s="781"/>
      <c r="R24" s="784"/>
      <c r="S24" s="40"/>
      <c r="T24" s="40"/>
      <c r="U24" s="40"/>
      <c r="V24" s="40"/>
      <c r="W24" s="40"/>
      <c r="X24" s="40"/>
    </row>
    <row r="25" spans="1:24" ht="11.25" customHeight="1">
      <c r="A25" s="38"/>
      <c r="B25" s="38"/>
      <c r="C25" s="38"/>
      <c r="D25" s="38"/>
      <c r="E25" s="38"/>
      <c r="F25" s="38"/>
      <c r="G25" s="38"/>
      <c r="H25" s="38"/>
      <c r="I25" s="38"/>
      <c r="J25" s="47"/>
      <c r="K25" s="47"/>
      <c r="L25" s="38"/>
      <c r="M25" s="38"/>
      <c r="N25" s="782" t="s">
        <v>25</v>
      </c>
      <c r="O25" s="783">
        <v>0</v>
      </c>
      <c r="P25" s="917">
        <v>0</v>
      </c>
      <c r="Q25" s="781"/>
      <c r="R25" s="40"/>
      <c r="S25" s="40"/>
      <c r="T25" s="40"/>
      <c r="U25" s="40"/>
      <c r="V25" s="40"/>
      <c r="W25" s="40"/>
      <c r="X25" s="40"/>
    </row>
    <row r="26" spans="1:24" ht="11.25" customHeight="1">
      <c r="A26" s="38"/>
      <c r="B26" s="38"/>
      <c r="C26" s="38"/>
      <c r="D26" s="38"/>
      <c r="E26" s="38"/>
      <c r="F26" s="38"/>
      <c r="G26" s="38"/>
      <c r="H26" s="38"/>
      <c r="I26" s="38"/>
      <c r="J26" s="47"/>
      <c r="K26" s="47"/>
      <c r="L26" s="38"/>
      <c r="M26" s="38"/>
      <c r="N26" s="778" t="s">
        <v>705</v>
      </c>
      <c r="O26" s="780">
        <v>26.237400125000001</v>
      </c>
      <c r="P26" s="916">
        <v>6.7900895874999998</v>
      </c>
      <c r="Q26" s="781"/>
      <c r="R26" s="40"/>
      <c r="S26" s="40"/>
      <c r="T26" s="40"/>
      <c r="U26" s="40"/>
      <c r="V26" s="40"/>
      <c r="W26" s="40"/>
      <c r="X26" s="40"/>
    </row>
    <row r="27" spans="1:24" ht="11.25" customHeight="1">
      <c r="A27" s="38"/>
      <c r="B27" s="38"/>
      <c r="C27" s="38"/>
      <c r="D27" s="38"/>
      <c r="E27" s="38"/>
      <c r="F27" s="38"/>
      <c r="G27" s="38"/>
      <c r="H27" s="38"/>
      <c r="I27" s="38"/>
      <c r="J27" s="47"/>
      <c r="K27" s="38"/>
      <c r="L27" s="38"/>
      <c r="M27" s="38"/>
      <c r="N27" s="778" t="s">
        <v>26</v>
      </c>
      <c r="O27" s="780">
        <v>29.042492500000002</v>
      </c>
      <c r="P27" s="916">
        <v>23.846949237499999</v>
      </c>
      <c r="Q27" s="781"/>
      <c r="R27" s="40"/>
      <c r="S27" s="40"/>
      <c r="T27" s="40"/>
      <c r="U27" s="40"/>
      <c r="V27" s="40"/>
      <c r="W27" s="40"/>
      <c r="X27" s="40"/>
    </row>
    <row r="28" spans="1:24" ht="11.25" customHeight="1">
      <c r="A28" s="38"/>
      <c r="B28" s="38"/>
      <c r="C28" s="47"/>
      <c r="D28" s="47"/>
      <c r="E28" s="47"/>
      <c r="F28" s="47"/>
      <c r="G28" s="47"/>
      <c r="H28" s="47"/>
      <c r="I28" s="47"/>
      <c r="J28" s="47"/>
      <c r="K28" s="47"/>
      <c r="L28" s="38"/>
      <c r="M28" s="38"/>
      <c r="N28" s="778" t="s">
        <v>27</v>
      </c>
      <c r="O28" s="780">
        <v>192.03353596250003</v>
      </c>
      <c r="P28" s="916">
        <v>233.49556601750001</v>
      </c>
      <c r="Q28" s="781"/>
      <c r="R28" s="40"/>
      <c r="S28" s="40"/>
      <c r="T28" s="40"/>
      <c r="U28" s="40"/>
      <c r="V28" s="40"/>
      <c r="W28" s="40"/>
      <c r="X28" s="40"/>
    </row>
    <row r="29" spans="1:24" ht="11.25" customHeight="1">
      <c r="A29" s="38"/>
      <c r="B29" s="38"/>
      <c r="C29" s="47"/>
      <c r="D29" s="47"/>
      <c r="E29" s="47"/>
      <c r="F29" s="47"/>
      <c r="G29" s="47"/>
      <c r="H29" s="47"/>
      <c r="I29" s="47"/>
      <c r="J29" s="47"/>
      <c r="K29" s="47"/>
      <c r="L29" s="38"/>
      <c r="M29" s="38"/>
      <c r="N29" s="778" t="s">
        <v>28</v>
      </c>
      <c r="O29" s="780">
        <v>92.66295069249999</v>
      </c>
      <c r="P29" s="916">
        <v>84.630934647500013</v>
      </c>
      <c r="Q29" s="781"/>
      <c r="R29" s="40"/>
      <c r="S29" s="40"/>
      <c r="T29" s="40"/>
      <c r="U29" s="40"/>
      <c r="V29" s="40"/>
      <c r="W29" s="40"/>
      <c r="X29" s="40"/>
    </row>
    <row r="30" spans="1:24" ht="11.25" customHeight="1">
      <c r="A30" s="38"/>
      <c r="B30" s="38"/>
      <c r="C30" s="47"/>
      <c r="D30" s="47"/>
      <c r="E30" s="47"/>
      <c r="F30" s="47"/>
      <c r="G30" s="47"/>
      <c r="H30" s="47"/>
      <c r="I30" s="47"/>
      <c r="J30" s="47"/>
      <c r="K30" s="47"/>
      <c r="L30" s="38"/>
      <c r="M30" s="38"/>
      <c r="N30" s="778"/>
      <c r="O30" s="778"/>
      <c r="P30" s="778"/>
      <c r="Q30" s="778"/>
      <c r="R30" s="40"/>
      <c r="S30" s="40"/>
      <c r="T30" s="40"/>
      <c r="U30" s="40"/>
      <c r="V30" s="40"/>
      <c r="W30" s="40"/>
      <c r="X30" s="40"/>
    </row>
    <row r="31" spans="1:24" ht="11.25" customHeight="1">
      <c r="A31" s="38"/>
      <c r="B31" s="38"/>
      <c r="C31" s="47"/>
      <c r="D31" s="47"/>
      <c r="E31" s="47"/>
      <c r="F31" s="47"/>
      <c r="G31" s="47"/>
      <c r="H31" s="47"/>
      <c r="I31" s="47"/>
      <c r="J31" s="47"/>
      <c r="K31" s="47"/>
      <c r="L31" s="38"/>
      <c r="M31" s="38"/>
      <c r="N31" s="40"/>
      <c r="O31" s="785"/>
      <c r="P31" s="785"/>
      <c r="Q31" s="786"/>
      <c r="R31" s="40"/>
      <c r="S31" s="40"/>
      <c r="T31" s="40"/>
      <c r="U31" s="40"/>
      <c r="V31" s="40"/>
      <c r="W31" s="40"/>
      <c r="X31" s="40"/>
    </row>
    <row r="32" spans="1:24" ht="11.25" customHeight="1">
      <c r="A32" s="38"/>
      <c r="B32" s="38"/>
      <c r="C32" s="47"/>
      <c r="D32" s="47"/>
      <c r="E32" s="47"/>
      <c r="F32" s="47"/>
      <c r="G32" s="47"/>
      <c r="H32" s="47"/>
      <c r="I32" s="47"/>
      <c r="J32" s="47"/>
      <c r="K32" s="47"/>
      <c r="L32" s="38"/>
      <c r="M32" s="38"/>
      <c r="N32" s="40"/>
      <c r="O32" s="785">
        <f>SUM(O24:O27)*1000</f>
        <v>1535693.9760500002</v>
      </c>
      <c r="P32" s="40"/>
      <c r="Q32" s="38"/>
      <c r="R32" s="40"/>
      <c r="S32" s="40"/>
      <c r="T32" s="40"/>
      <c r="U32" s="40"/>
      <c r="V32" s="40"/>
      <c r="W32" s="40"/>
      <c r="X32" s="40"/>
    </row>
    <row r="33" spans="1:24" ht="11.25" customHeight="1">
      <c r="A33" s="38"/>
      <c r="B33" s="38"/>
      <c r="C33" s="47"/>
      <c r="D33" s="47"/>
      <c r="E33" s="47"/>
      <c r="F33" s="47"/>
      <c r="G33" s="47"/>
      <c r="H33" s="47"/>
      <c r="I33" s="47"/>
      <c r="J33" s="47"/>
      <c r="K33" s="47"/>
      <c r="L33" s="38"/>
      <c r="M33" s="38"/>
      <c r="N33" s="40"/>
      <c r="O33" s="40"/>
      <c r="P33" s="40"/>
      <c r="Q33" s="38"/>
      <c r="R33" s="40"/>
      <c r="S33" s="40"/>
      <c r="T33" s="40"/>
      <c r="U33" s="40"/>
      <c r="V33" s="40"/>
      <c r="W33" s="40"/>
      <c r="X33" s="40"/>
    </row>
    <row r="34" spans="1:24" ht="11.25" customHeight="1">
      <c r="A34" s="38"/>
      <c r="B34" s="38"/>
      <c r="C34" s="47"/>
      <c r="D34" s="47"/>
      <c r="E34" s="47"/>
      <c r="F34" s="47"/>
      <c r="G34" s="47"/>
      <c r="H34" s="47"/>
      <c r="I34" s="47"/>
      <c r="J34" s="47"/>
      <c r="K34" s="47"/>
      <c r="L34" s="38"/>
      <c r="M34" s="38"/>
      <c r="N34" s="40"/>
      <c r="O34" s="40"/>
      <c r="P34" s="40"/>
      <c r="Q34" s="38"/>
      <c r="R34" s="40"/>
      <c r="S34" s="40"/>
      <c r="T34" s="40"/>
      <c r="U34" s="40"/>
      <c r="V34" s="40"/>
      <c r="W34" s="40"/>
      <c r="X34" s="40"/>
    </row>
    <row r="35" spans="1:24" ht="11.25" customHeight="1">
      <c r="A35" s="48"/>
      <c r="B35" s="48"/>
      <c r="C35" s="49"/>
      <c r="D35" s="49"/>
      <c r="E35" s="49"/>
      <c r="F35" s="49"/>
      <c r="G35" s="49"/>
      <c r="H35" s="49"/>
      <c r="I35" s="49"/>
      <c r="J35" s="48"/>
      <c r="K35" s="48"/>
      <c r="L35" s="48"/>
      <c r="M35" s="48"/>
      <c r="N35" s="40"/>
      <c r="O35" s="40"/>
      <c r="P35" s="40"/>
      <c r="Q35" s="38"/>
      <c r="R35" s="40"/>
      <c r="S35" s="40"/>
      <c r="T35" s="40"/>
      <c r="U35" s="40"/>
      <c r="V35" s="40"/>
      <c r="W35" s="40"/>
      <c r="X35" s="40"/>
    </row>
    <row r="36" spans="1:24" ht="11.25" customHeight="1">
      <c r="A36" s="48"/>
      <c r="B36" s="48"/>
      <c r="C36" s="49"/>
      <c r="D36" s="49"/>
      <c r="E36" s="49"/>
      <c r="F36" s="49"/>
      <c r="G36" s="49"/>
      <c r="H36" s="49"/>
      <c r="I36" s="49"/>
      <c r="J36" s="48"/>
      <c r="K36" s="48"/>
      <c r="L36" s="48"/>
      <c r="M36" s="48"/>
      <c r="N36" s="40"/>
      <c r="O36" s="40"/>
      <c r="P36" s="40"/>
      <c r="Q36" s="38"/>
      <c r="R36" s="40"/>
      <c r="S36" s="40"/>
      <c r="T36" s="40"/>
      <c r="U36" s="40"/>
      <c r="V36" s="40"/>
      <c r="W36" s="40"/>
      <c r="X36" s="40"/>
    </row>
    <row r="37" spans="1:24" ht="11.25" customHeight="1">
      <c r="A37" s="48"/>
      <c r="B37" s="48"/>
      <c r="C37" s="49"/>
      <c r="D37" s="49"/>
      <c r="E37" s="49"/>
      <c r="F37" s="49"/>
      <c r="G37" s="49"/>
      <c r="H37" s="49"/>
      <c r="I37" s="49"/>
      <c r="J37" s="48"/>
      <c r="K37" s="48"/>
      <c r="L37" s="48"/>
      <c r="M37" s="48"/>
      <c r="N37" s="38"/>
      <c r="O37" s="38"/>
      <c r="P37" s="38"/>
      <c r="Q37" s="38"/>
      <c r="R37" s="40"/>
      <c r="S37" s="40"/>
      <c r="T37" s="40"/>
      <c r="U37" s="40"/>
      <c r="V37" s="40"/>
      <c r="W37" s="40"/>
      <c r="X37" s="40"/>
    </row>
    <row r="38" spans="1:24" ht="11.25" customHeight="1">
      <c r="A38" s="48"/>
      <c r="B38" s="48"/>
      <c r="C38" s="49"/>
      <c r="D38" s="49"/>
      <c r="E38" s="49"/>
      <c r="F38" s="49"/>
      <c r="G38" s="49"/>
      <c r="H38" s="49"/>
      <c r="I38" s="49"/>
      <c r="J38" s="48"/>
      <c r="K38" s="48"/>
      <c r="L38" s="48"/>
      <c r="M38" s="48"/>
      <c r="N38" s="38"/>
      <c r="O38" s="38"/>
      <c r="P38" s="38"/>
      <c r="Q38" s="38"/>
      <c r="R38" s="40"/>
      <c r="S38" s="40"/>
      <c r="T38" s="40"/>
      <c r="U38" s="40"/>
      <c r="V38" s="40"/>
      <c r="W38" s="40"/>
      <c r="X38" s="40"/>
    </row>
    <row r="39" spans="1:24" ht="11.25" customHeight="1">
      <c r="A39" s="48"/>
      <c r="B39" s="48"/>
      <c r="C39" s="49"/>
      <c r="D39" s="49"/>
      <c r="E39" s="49"/>
      <c r="F39" s="49"/>
      <c r="G39" s="49"/>
      <c r="H39" s="49"/>
      <c r="I39" s="49"/>
      <c r="J39" s="48"/>
      <c r="K39" s="48"/>
      <c r="L39" s="48"/>
      <c r="M39" s="48"/>
      <c r="N39" s="38"/>
      <c r="O39" s="38"/>
      <c r="P39" s="38"/>
      <c r="Q39" s="38"/>
      <c r="R39" s="40"/>
      <c r="S39" s="40"/>
      <c r="T39" s="40"/>
      <c r="U39" s="40"/>
      <c r="V39" s="40"/>
      <c r="W39" s="40"/>
      <c r="X39" s="40"/>
    </row>
    <row r="40" spans="1:24" ht="11.25" customHeight="1">
      <c r="A40" s="48"/>
      <c r="B40" s="48"/>
      <c r="C40" s="49"/>
      <c r="D40" s="49"/>
      <c r="E40" s="49"/>
      <c r="F40" s="49"/>
      <c r="G40" s="49"/>
      <c r="H40" s="49"/>
      <c r="I40" s="49"/>
      <c r="J40" s="48"/>
      <c r="K40" s="48"/>
      <c r="L40" s="48"/>
      <c r="M40" s="48"/>
      <c r="N40" s="38"/>
      <c r="O40" s="38"/>
      <c r="P40" s="38"/>
      <c r="Q40" s="38"/>
      <c r="R40" s="40"/>
      <c r="S40" s="40"/>
      <c r="T40" s="40"/>
      <c r="U40" s="40"/>
      <c r="V40" s="40"/>
      <c r="W40" s="40"/>
      <c r="X40" s="40"/>
    </row>
    <row r="41" spans="1:24" ht="11.25" customHeight="1">
      <c r="A41" s="48"/>
      <c r="B41" s="48"/>
      <c r="C41" s="48"/>
      <c r="D41" s="49"/>
      <c r="E41" s="49"/>
      <c r="F41" s="49"/>
      <c r="G41" s="49"/>
      <c r="H41" s="48"/>
      <c r="I41" s="48"/>
      <c r="J41" s="48"/>
      <c r="K41" s="48"/>
      <c r="L41" s="48"/>
      <c r="M41" s="48"/>
      <c r="N41" s="38"/>
      <c r="O41" s="38"/>
      <c r="P41" s="38"/>
      <c r="Q41" s="38"/>
      <c r="R41" s="40"/>
      <c r="S41" s="40"/>
      <c r="T41" s="40"/>
      <c r="U41" s="40"/>
      <c r="V41" s="40"/>
      <c r="W41" s="40"/>
      <c r="X41" s="40"/>
    </row>
    <row r="42" spans="1:24" ht="11.25" customHeight="1">
      <c r="A42" s="48"/>
      <c r="B42" s="48"/>
      <c r="C42" s="49"/>
      <c r="D42" s="49"/>
      <c r="E42" s="49"/>
      <c r="F42" s="49"/>
      <c r="G42" s="49"/>
      <c r="H42" s="49"/>
      <c r="I42" s="49"/>
      <c r="J42" s="48"/>
      <c r="K42" s="48"/>
      <c r="L42" s="48"/>
      <c r="M42" s="48"/>
      <c r="N42" s="38"/>
      <c r="O42" s="38"/>
      <c r="P42" s="38"/>
      <c r="Q42" s="38"/>
      <c r="R42" s="40"/>
      <c r="S42" s="40"/>
      <c r="T42" s="40"/>
      <c r="U42" s="40"/>
      <c r="V42" s="40"/>
      <c r="W42" s="40"/>
      <c r="X42" s="40"/>
    </row>
    <row r="43" spans="1:24" ht="11.25" customHeight="1">
      <c r="A43" s="48"/>
      <c r="B43" s="48"/>
      <c r="C43" s="49"/>
      <c r="D43" s="49"/>
      <c r="E43" s="49"/>
      <c r="F43" s="49"/>
      <c r="G43" s="49"/>
      <c r="H43" s="49"/>
      <c r="I43" s="49"/>
      <c r="J43" s="48"/>
      <c r="K43" s="48"/>
      <c r="L43" s="48"/>
      <c r="M43" s="48"/>
      <c r="N43" s="38"/>
      <c r="O43" s="38"/>
      <c r="P43" s="38"/>
      <c r="Q43" s="38"/>
      <c r="R43" s="40"/>
      <c r="S43" s="40"/>
      <c r="T43" s="40"/>
      <c r="U43" s="40"/>
      <c r="V43" s="40"/>
      <c r="W43" s="40"/>
      <c r="X43" s="40"/>
    </row>
    <row r="44" spans="1:24" ht="11.25" customHeight="1">
      <c r="A44" s="48"/>
      <c r="B44" s="48"/>
      <c r="C44" s="49"/>
      <c r="D44" s="49"/>
      <c r="E44" s="49"/>
      <c r="F44" s="49"/>
      <c r="G44" s="49"/>
      <c r="H44" s="49"/>
      <c r="I44" s="49"/>
      <c r="J44" s="48"/>
      <c r="K44" s="48"/>
      <c r="L44" s="48"/>
      <c r="M44" s="48"/>
      <c r="N44" s="38"/>
      <c r="O44" s="38"/>
      <c r="P44" s="38"/>
      <c r="Q44" s="38"/>
      <c r="R44" s="40"/>
      <c r="S44" s="40"/>
      <c r="T44" s="40"/>
      <c r="U44" s="40"/>
      <c r="V44" s="40"/>
      <c r="W44" s="40"/>
      <c r="X44" s="40"/>
    </row>
    <row r="45" spans="1:24" ht="11.25" customHeight="1">
      <c r="A45" s="48"/>
      <c r="B45" s="48"/>
      <c r="C45" s="49"/>
      <c r="D45" s="49"/>
      <c r="E45" s="49"/>
      <c r="F45" s="49"/>
      <c r="G45" s="49"/>
      <c r="H45" s="49"/>
      <c r="I45" s="49"/>
      <c r="J45" s="48"/>
      <c r="K45" s="48"/>
      <c r="L45" s="48"/>
      <c r="M45" s="48"/>
      <c r="N45" s="38"/>
      <c r="O45" s="38"/>
      <c r="P45" s="38"/>
      <c r="Q45" s="38"/>
      <c r="R45" s="40"/>
      <c r="S45" s="40"/>
      <c r="T45" s="40"/>
      <c r="U45" s="40"/>
      <c r="V45" s="40"/>
      <c r="W45" s="40"/>
      <c r="X45" s="40"/>
    </row>
    <row r="46" spans="1:24" ht="11.25" customHeight="1">
      <c r="A46" s="48"/>
      <c r="B46" s="48"/>
      <c r="C46" s="48"/>
      <c r="D46" s="48"/>
      <c r="E46" s="48"/>
      <c r="F46" s="48"/>
      <c r="G46" s="48"/>
      <c r="H46" s="48"/>
      <c r="I46" s="48"/>
      <c r="J46" s="48"/>
      <c r="K46" s="48"/>
      <c r="L46" s="48"/>
      <c r="M46" s="48"/>
      <c r="N46" s="38"/>
      <c r="O46" s="38"/>
      <c r="P46" s="38"/>
      <c r="Q46" s="38"/>
      <c r="R46" s="40"/>
      <c r="S46" s="40"/>
      <c r="T46" s="40"/>
      <c r="U46" s="40"/>
      <c r="V46" s="40"/>
      <c r="W46" s="40"/>
      <c r="X46" s="40"/>
    </row>
    <row r="47" spans="1:24" ht="16.5" customHeight="1">
      <c r="A47" s="48"/>
      <c r="B47" s="797" t="str">
        <f>"Total = "&amp;TEXT(ROUND(SUM(O23:O29),2),"0 000,00")&amp;" GWh"</f>
        <v>Total = 4 860,86 GWh</v>
      </c>
      <c r="C47" s="797"/>
      <c r="D47" s="797"/>
      <c r="E47" s="797"/>
      <c r="F47" s="48"/>
      <c r="G47" s="48"/>
      <c r="H47" s="796" t="str">
        <f>"Total = "&amp;TEXT(ROUND(SUM(P23:P29),3),"0 000,000")&amp;" GWh"</f>
        <v>Total = 4 904,725 GWh</v>
      </c>
      <c r="I47" s="796"/>
      <c r="J47" s="796"/>
      <c r="K47" s="796"/>
      <c r="L47" s="48"/>
      <c r="M47" s="48"/>
      <c r="N47" s="38"/>
      <c r="O47" s="38"/>
      <c r="P47" s="38"/>
      <c r="Q47" s="38"/>
      <c r="R47" s="40"/>
      <c r="S47" s="40"/>
      <c r="T47" s="40"/>
      <c r="U47" s="40"/>
      <c r="V47" s="40"/>
      <c r="W47" s="40"/>
      <c r="X47" s="40"/>
    </row>
    <row r="48" spans="1:24" ht="11.25" customHeight="1">
      <c r="H48" s="48"/>
      <c r="I48" s="48"/>
      <c r="J48" s="48"/>
      <c r="K48" s="48"/>
      <c r="L48" s="48"/>
      <c r="M48" s="48"/>
      <c r="N48" s="38"/>
      <c r="O48" s="38"/>
      <c r="P48" s="38"/>
      <c r="Q48" s="38"/>
      <c r="R48" s="40"/>
      <c r="S48" s="40"/>
      <c r="T48" s="40"/>
      <c r="U48" s="40"/>
      <c r="V48" s="40"/>
      <c r="W48" s="40"/>
      <c r="X48" s="40"/>
    </row>
    <row r="49" spans="1:24" ht="11.25" customHeight="1">
      <c r="B49" s="795" t="str">
        <f>"Gráfico 1: Comparación de producción mensual de electricidad en "&amp;Q4&amp;" por tipo de recurso energético."</f>
        <v>Gráfico 1: Comparación de producción mensual de electricidad en febrero por tipo de recurso energético.</v>
      </c>
      <c r="C49" s="795"/>
      <c r="D49" s="795"/>
      <c r="E49" s="795"/>
      <c r="F49" s="795"/>
      <c r="G49" s="795"/>
      <c r="H49" s="795"/>
      <c r="I49" s="795"/>
      <c r="J49" s="795"/>
      <c r="K49" s="795"/>
      <c r="L49" s="795"/>
      <c r="M49" s="196"/>
      <c r="N49" s="787"/>
      <c r="O49" s="38"/>
      <c r="P49" s="38"/>
      <c r="Q49" s="38"/>
      <c r="R49" s="40"/>
      <c r="S49" s="40"/>
      <c r="T49" s="40"/>
      <c r="U49" s="40"/>
      <c r="V49" s="40"/>
      <c r="W49" s="40"/>
      <c r="X49" s="40"/>
    </row>
    <row r="50" spans="1:24" ht="11.25" customHeight="1">
      <c r="B50" s="461"/>
      <c r="C50" s="461"/>
      <c r="D50" s="461"/>
      <c r="E50" s="461"/>
      <c r="F50" s="461"/>
      <c r="G50" s="461"/>
      <c r="H50" s="461"/>
      <c r="I50" s="461"/>
      <c r="J50" s="461"/>
      <c r="K50" s="461"/>
      <c r="L50" s="461"/>
      <c r="M50" s="196"/>
      <c r="N50" s="549"/>
      <c r="O50" s="544"/>
      <c r="P50" s="544"/>
      <c r="Q50" s="544"/>
    </row>
    <row r="51" spans="1:24" ht="11.25" customHeight="1">
      <c r="A51" s="48"/>
      <c r="B51" s="48"/>
      <c r="C51" s="39"/>
      <c r="D51" s="39"/>
      <c r="E51" s="48"/>
      <c r="F51" s="48"/>
      <c r="G51" s="48"/>
      <c r="H51" s="48"/>
      <c r="I51" s="48"/>
      <c r="J51" s="48"/>
      <c r="K51" s="48"/>
      <c r="L51" s="48"/>
      <c r="M51" s="48"/>
      <c r="N51" s="544"/>
      <c r="O51" s="544"/>
      <c r="P51" s="544"/>
      <c r="Q51" s="544"/>
    </row>
    <row r="52" spans="1:24" ht="11.25" customHeight="1">
      <c r="A52" s="48"/>
      <c r="B52" s="48"/>
      <c r="C52" s="48"/>
      <c r="D52" s="48"/>
      <c r="E52" s="48"/>
      <c r="F52" s="48"/>
      <c r="G52" s="48"/>
      <c r="H52" s="48"/>
      <c r="I52" s="48"/>
      <c r="J52" s="48"/>
      <c r="K52" s="48"/>
      <c r="L52" s="48"/>
      <c r="M52" s="48"/>
      <c r="N52" s="544"/>
      <c r="O52" s="544"/>
      <c r="P52" s="544"/>
      <c r="Q52" s="544"/>
    </row>
    <row r="53" spans="1:24" ht="11.25" customHeight="1">
      <c r="A53" s="48"/>
      <c r="B53" s="48"/>
      <c r="C53" s="48"/>
      <c r="D53" s="48"/>
      <c r="E53" s="48"/>
      <c r="F53" s="48"/>
      <c r="G53" s="48"/>
      <c r="H53" s="48"/>
      <c r="I53" s="48"/>
      <c r="J53" s="48"/>
      <c r="K53" s="48"/>
      <c r="L53" s="48"/>
      <c r="M53" s="48"/>
      <c r="N53" s="544"/>
      <c r="O53" s="544"/>
      <c r="P53" s="544"/>
      <c r="Q53" s="544"/>
    </row>
    <row r="54" spans="1:24" ht="11.25" customHeight="1">
      <c r="A54" s="48"/>
      <c r="B54" s="48"/>
      <c r="C54" s="48"/>
      <c r="D54" s="48"/>
      <c r="E54" s="48"/>
      <c r="F54" s="48"/>
      <c r="G54" s="48"/>
      <c r="H54" s="48"/>
      <c r="I54" s="48"/>
      <c r="J54" s="48"/>
      <c r="K54" s="48"/>
      <c r="L54" s="48"/>
      <c r="M54" s="48"/>
      <c r="N54" s="544"/>
      <c r="O54" s="544"/>
      <c r="P54" s="544"/>
      <c r="Q54" s="544"/>
    </row>
    <row r="55" spans="1:24" ht="11.25" customHeight="1">
      <c r="A55" s="7"/>
      <c r="B55" s="50"/>
      <c r="C55" s="50"/>
      <c r="D55" s="50"/>
      <c r="E55" s="50"/>
      <c r="F55" s="50"/>
      <c r="G55" s="50"/>
      <c r="H55" s="50"/>
      <c r="I55" s="50"/>
      <c r="J55" s="50"/>
      <c r="K55" s="51"/>
      <c r="L55" s="52"/>
    </row>
    <row r="56" spans="1:24" ht="11.25" customHeight="1">
      <c r="A56" s="7"/>
      <c r="B56" s="50"/>
      <c r="C56" s="50"/>
      <c r="D56" s="50"/>
      <c r="E56" s="50"/>
      <c r="F56" s="50"/>
      <c r="G56" s="50"/>
      <c r="H56" s="50"/>
      <c r="I56" s="50"/>
      <c r="J56" s="50"/>
      <c r="K56" s="51"/>
      <c r="L56" s="52"/>
    </row>
    <row r="57" spans="1:24" ht="11.25" customHeight="1">
      <c r="A57" s="53"/>
      <c r="B57" s="53"/>
      <c r="C57" s="53"/>
      <c r="D57" s="53"/>
      <c r="E57" s="53"/>
      <c r="F57" s="53"/>
      <c r="G57" s="53"/>
      <c r="H57" s="53"/>
      <c r="I57" s="53"/>
      <c r="J57" s="53"/>
      <c r="K57" s="53"/>
      <c r="L57" s="53"/>
    </row>
    <row r="58" spans="1:24" ht="11.25" customHeight="1">
      <c r="A58" s="53"/>
      <c r="B58" s="53"/>
      <c r="C58" s="53"/>
      <c r="D58" s="53"/>
      <c r="E58" s="53"/>
      <c r="F58" s="53"/>
      <c r="G58" s="53"/>
      <c r="H58" s="53"/>
      <c r="I58" s="53"/>
      <c r="J58" s="53"/>
      <c r="K58" s="53"/>
      <c r="L58" s="53"/>
    </row>
    <row r="59" spans="1:24" ht="11.25" customHeight="1">
      <c r="A59" s="53"/>
      <c r="B59" s="53"/>
      <c r="C59" s="53"/>
      <c r="D59" s="53"/>
      <c r="E59" s="53"/>
      <c r="F59" s="53"/>
      <c r="G59" s="53"/>
      <c r="H59" s="53"/>
      <c r="I59" s="53"/>
      <c r="J59" s="53"/>
      <c r="K59" s="53"/>
      <c r="L59" s="53"/>
    </row>
    <row r="60" spans="1:24" ht="11.25" customHeight="1">
      <c r="A60" s="53"/>
      <c r="B60" s="53"/>
      <c r="C60" s="53"/>
      <c r="D60" s="53"/>
      <c r="E60" s="53"/>
      <c r="F60" s="53"/>
      <c r="G60" s="53"/>
      <c r="H60" s="53"/>
      <c r="I60" s="53"/>
      <c r="J60" s="53"/>
      <c r="K60" s="53"/>
      <c r="L60" s="53"/>
    </row>
    <row r="61" spans="1:24" ht="11.25" customHeight="1">
      <c r="A61" s="53"/>
      <c r="B61" s="53"/>
      <c r="C61" s="53"/>
      <c r="D61" s="53"/>
      <c r="E61" s="53"/>
      <c r="F61" s="53"/>
      <c r="G61" s="53"/>
      <c r="H61" s="53"/>
      <c r="I61" s="53"/>
      <c r="J61" s="53"/>
      <c r="K61" s="53"/>
      <c r="L61" s="53"/>
    </row>
    <row r="62" spans="1:24" ht="11.4">
      <c r="A62" s="53"/>
      <c r="B62" s="53"/>
      <c r="C62" s="53"/>
      <c r="D62" s="53"/>
      <c r="E62" s="53"/>
      <c r="F62" s="53"/>
      <c r="G62" s="53"/>
      <c r="H62" s="53"/>
      <c r="I62" s="53"/>
      <c r="J62" s="53"/>
      <c r="K62" s="53"/>
      <c r="L62" s="53"/>
    </row>
    <row r="63" spans="1:24" ht="11.4">
      <c r="A63" s="53"/>
      <c r="B63" s="53"/>
      <c r="C63" s="53"/>
      <c r="D63" s="53"/>
      <c r="E63" s="53"/>
      <c r="F63" s="53"/>
      <c r="G63" s="53"/>
      <c r="H63" s="53"/>
      <c r="I63" s="53"/>
      <c r="J63" s="53"/>
      <c r="K63" s="53"/>
      <c r="L63" s="53"/>
    </row>
    <row r="64" spans="1:24" ht="11.4">
      <c r="A64" s="53"/>
      <c r="B64" s="53"/>
      <c r="C64" s="53"/>
      <c r="D64" s="53"/>
      <c r="E64" s="53"/>
      <c r="F64" s="53"/>
      <c r="G64" s="53"/>
      <c r="H64" s="53"/>
      <c r="I64" s="53"/>
      <c r="J64" s="53"/>
      <c r="K64" s="53"/>
      <c r="L64" s="53"/>
    </row>
    <row r="65" spans="1:12" ht="11.4">
      <c r="A65" s="53"/>
      <c r="B65" s="53"/>
      <c r="C65" s="53"/>
      <c r="D65" s="53"/>
      <c r="E65" s="53"/>
      <c r="F65" s="53"/>
      <c r="G65" s="53"/>
      <c r="H65" s="53"/>
      <c r="I65" s="53"/>
      <c r="J65" s="53"/>
      <c r="K65" s="53"/>
      <c r="L65" s="53"/>
    </row>
    <row r="66" spans="1:12" ht="11.4">
      <c r="A66" s="53"/>
      <c r="B66" s="53"/>
      <c r="C66" s="53"/>
      <c r="D66" s="53"/>
      <c r="E66" s="53"/>
      <c r="F66" s="53"/>
      <c r="G66" s="53"/>
      <c r="H66" s="53"/>
      <c r="I66" s="53"/>
      <c r="J66" s="53"/>
      <c r="K66" s="53"/>
      <c r="L66" s="53"/>
    </row>
    <row r="67" spans="1:12" ht="11.4">
      <c r="A67" s="53"/>
      <c r="B67" s="53"/>
      <c r="C67" s="53"/>
      <c r="D67" s="53"/>
      <c r="E67" s="53"/>
      <c r="F67" s="53"/>
      <c r="G67" s="53"/>
      <c r="H67" s="53"/>
      <c r="I67" s="53"/>
      <c r="J67" s="53"/>
      <c r="K67" s="53"/>
      <c r="L67" s="53"/>
    </row>
    <row r="68" spans="1:12" ht="11.4">
      <c r="A68" s="53"/>
      <c r="B68" s="53"/>
      <c r="C68" s="53"/>
      <c r="D68" s="53"/>
      <c r="E68" s="53"/>
      <c r="F68" s="53"/>
      <c r="G68" s="53"/>
      <c r="H68" s="53"/>
      <c r="I68" s="53"/>
      <c r="J68" s="53"/>
      <c r="K68" s="53"/>
      <c r="L68" s="53"/>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sheetPr>
    <tabColor theme="4"/>
  </sheetPr>
  <dimension ref="A1:I14"/>
  <sheetViews>
    <sheetView showGridLines="0" view="pageBreakPreview"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57" customHeight="1">
      <c r="A3" s="474" t="s">
        <v>846</v>
      </c>
      <c r="B3" s="474" t="s">
        <v>847</v>
      </c>
      <c r="C3" s="472" t="s">
        <v>848</v>
      </c>
      <c r="D3" s="473" t="s">
        <v>849</v>
      </c>
      <c r="E3" s="474"/>
      <c r="F3" s="474">
        <v>109.65</v>
      </c>
      <c r="G3" s="475"/>
      <c r="H3" s="475"/>
      <c r="I3" s="479"/>
    </row>
    <row r="4" spans="1:9" ht="61.8" customHeight="1">
      <c r="A4" s="474" t="s">
        <v>846</v>
      </c>
      <c r="B4" s="474" t="s">
        <v>847</v>
      </c>
      <c r="C4" s="472" t="s">
        <v>850</v>
      </c>
      <c r="D4" s="473" t="s">
        <v>851</v>
      </c>
      <c r="E4" s="474"/>
      <c r="F4" s="474">
        <v>100.85</v>
      </c>
      <c r="G4" s="475"/>
      <c r="H4" s="475"/>
      <c r="I4" s="479"/>
    </row>
    <row r="5" spans="1:9" ht="49.2" customHeight="1">
      <c r="A5" s="474" t="s">
        <v>846</v>
      </c>
      <c r="B5" s="474" t="s">
        <v>847</v>
      </c>
      <c r="C5" s="472" t="s">
        <v>852</v>
      </c>
      <c r="D5" s="473" t="s">
        <v>853</v>
      </c>
      <c r="E5" s="474"/>
      <c r="F5" s="474">
        <v>37.770000000000003</v>
      </c>
      <c r="G5" s="475"/>
      <c r="H5" s="475"/>
      <c r="I5" s="479"/>
    </row>
    <row r="6" spans="1:9" ht="57.6" customHeight="1">
      <c r="A6" s="474" t="s">
        <v>359</v>
      </c>
      <c r="B6" s="474" t="s">
        <v>854</v>
      </c>
      <c r="C6" s="472" t="s">
        <v>855</v>
      </c>
      <c r="D6" s="473" t="s">
        <v>856</v>
      </c>
      <c r="E6" s="474">
        <v>1.83</v>
      </c>
      <c r="F6" s="474"/>
      <c r="G6" s="475"/>
      <c r="H6" s="475"/>
      <c r="I6" s="479"/>
    </row>
    <row r="7" spans="1:9" ht="50.4" customHeight="1">
      <c r="A7" s="474" t="s">
        <v>359</v>
      </c>
      <c r="B7" s="474" t="s">
        <v>854</v>
      </c>
      <c r="C7" s="472" t="s">
        <v>857</v>
      </c>
      <c r="D7" s="473" t="s">
        <v>858</v>
      </c>
      <c r="E7" s="474">
        <v>0.8</v>
      </c>
      <c r="F7" s="474"/>
      <c r="G7" s="475"/>
      <c r="H7" s="475"/>
      <c r="I7" s="479"/>
    </row>
    <row r="8" spans="1:9" ht="66.599999999999994" customHeight="1">
      <c r="A8" s="474" t="s">
        <v>389</v>
      </c>
      <c r="B8" s="474" t="s">
        <v>713</v>
      </c>
      <c r="C8" s="472" t="s">
        <v>859</v>
      </c>
      <c r="D8" s="473" t="s">
        <v>860</v>
      </c>
      <c r="E8" s="474">
        <v>10.07</v>
      </c>
      <c r="F8" s="474"/>
    </row>
    <row r="9" spans="1:9" ht="85.2" customHeight="1">
      <c r="A9" s="474" t="s">
        <v>389</v>
      </c>
      <c r="B9" s="474" t="s">
        <v>861</v>
      </c>
      <c r="C9" s="472" t="s">
        <v>862</v>
      </c>
      <c r="D9" s="473" t="s">
        <v>863</v>
      </c>
      <c r="E9" s="474">
        <v>22.5</v>
      </c>
      <c r="F9" s="474"/>
    </row>
    <row r="10" spans="1:9" ht="50.4" customHeight="1">
      <c r="A10" s="474" t="s">
        <v>389</v>
      </c>
      <c r="B10" s="474" t="s">
        <v>822</v>
      </c>
      <c r="C10" s="472" t="s">
        <v>864</v>
      </c>
      <c r="D10" s="473" t="s">
        <v>865</v>
      </c>
      <c r="E10" s="474">
        <v>2.1</v>
      </c>
      <c r="F10" s="474"/>
    </row>
    <row r="11" spans="1:9" ht="53.4" customHeight="1">
      <c r="A11" s="474" t="s">
        <v>389</v>
      </c>
      <c r="B11" s="474" t="s">
        <v>866</v>
      </c>
      <c r="C11" s="472" t="s">
        <v>867</v>
      </c>
      <c r="D11" s="473" t="s">
        <v>868</v>
      </c>
      <c r="E11" s="474">
        <v>4.75</v>
      </c>
      <c r="F11" s="474"/>
    </row>
    <row r="12" spans="1:9" ht="52.8" customHeight="1">
      <c r="A12" s="474" t="s">
        <v>389</v>
      </c>
      <c r="B12" s="474" t="s">
        <v>869</v>
      </c>
      <c r="C12" s="472" t="s">
        <v>870</v>
      </c>
      <c r="D12" s="473" t="s">
        <v>871</v>
      </c>
      <c r="E12" s="474">
        <v>11</v>
      </c>
      <c r="F12" s="474"/>
    </row>
    <row r="13" spans="1:9" ht="50.4" customHeight="1">
      <c r="A13" s="474" t="s">
        <v>389</v>
      </c>
      <c r="B13" s="474" t="s">
        <v>869</v>
      </c>
      <c r="C13" s="472" t="s">
        <v>872</v>
      </c>
      <c r="D13" s="473" t="s">
        <v>873</v>
      </c>
      <c r="E13" s="474">
        <v>11.5</v>
      </c>
      <c r="F13" s="474"/>
    </row>
    <row r="14" spans="1:9" ht="48" customHeight="1">
      <c r="A14" s="474" t="s">
        <v>389</v>
      </c>
      <c r="B14" s="474" t="s">
        <v>822</v>
      </c>
      <c r="C14" s="472" t="s">
        <v>874</v>
      </c>
      <c r="D14" s="473" t="s">
        <v>875</v>
      </c>
      <c r="E14" s="474">
        <v>2</v>
      </c>
      <c r="F14"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6CF5B-A9A1-440B-BA83-D4A6BF149149}">
  <sheetPr>
    <tabColor theme="4"/>
  </sheetPr>
  <dimension ref="A1:I12"/>
  <sheetViews>
    <sheetView showGridLines="0" view="pageBreakPreview"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66" customHeight="1">
      <c r="A3" s="474" t="s">
        <v>743</v>
      </c>
      <c r="B3" s="474" t="s">
        <v>876</v>
      </c>
      <c r="C3" s="472" t="s">
        <v>877</v>
      </c>
      <c r="D3" s="473" t="s">
        <v>878</v>
      </c>
      <c r="E3" s="474">
        <v>6.24</v>
      </c>
      <c r="F3" s="474"/>
      <c r="G3" s="475"/>
      <c r="H3" s="475"/>
      <c r="I3" s="479"/>
    </row>
    <row r="4" spans="1:9" ht="49.2" customHeight="1">
      <c r="A4" s="474" t="s">
        <v>567</v>
      </c>
      <c r="B4" s="474" t="s">
        <v>568</v>
      </c>
      <c r="C4" s="472" t="s">
        <v>879</v>
      </c>
      <c r="D4" s="473" t="s">
        <v>880</v>
      </c>
      <c r="E4" s="474">
        <v>5</v>
      </c>
      <c r="F4" s="474"/>
      <c r="G4" s="475"/>
      <c r="H4" s="475"/>
      <c r="I4" s="479"/>
    </row>
    <row r="5" spans="1:9" ht="72.599999999999994" customHeight="1">
      <c r="A5" s="474" t="s">
        <v>743</v>
      </c>
      <c r="B5" s="474" t="s">
        <v>876</v>
      </c>
      <c r="C5" s="472" t="s">
        <v>881</v>
      </c>
      <c r="D5" s="473" t="s">
        <v>882</v>
      </c>
      <c r="E5" s="474">
        <v>2.17</v>
      </c>
      <c r="F5" s="474"/>
      <c r="G5" s="475"/>
      <c r="H5" s="475"/>
      <c r="I5" s="479"/>
    </row>
    <row r="6" spans="1:9" ht="52.8" customHeight="1">
      <c r="A6" s="474" t="s">
        <v>567</v>
      </c>
      <c r="B6" s="474" t="s">
        <v>568</v>
      </c>
      <c r="C6" s="472" t="s">
        <v>883</v>
      </c>
      <c r="D6" s="473" t="s">
        <v>884</v>
      </c>
      <c r="E6" s="474">
        <v>4.9000000000000004</v>
      </c>
      <c r="F6" s="474"/>
      <c r="G6" s="475"/>
      <c r="H6" s="475"/>
      <c r="I6" s="479"/>
    </row>
    <row r="7" spans="1:9" ht="59.4" customHeight="1">
      <c r="A7" s="474" t="s">
        <v>567</v>
      </c>
      <c r="B7" s="474" t="s">
        <v>568</v>
      </c>
      <c r="C7" s="472" t="s">
        <v>885</v>
      </c>
      <c r="D7" s="473" t="s">
        <v>886</v>
      </c>
      <c r="E7" s="474">
        <v>4.7</v>
      </c>
      <c r="F7" s="474"/>
      <c r="G7" s="475"/>
      <c r="H7" s="475"/>
      <c r="I7" s="479"/>
    </row>
    <row r="8" spans="1:9" ht="55.8" customHeight="1">
      <c r="A8" s="474" t="s">
        <v>567</v>
      </c>
      <c r="B8" s="474" t="s">
        <v>568</v>
      </c>
      <c r="C8" s="472" t="s">
        <v>887</v>
      </c>
      <c r="D8" s="473" t="s">
        <v>888</v>
      </c>
      <c r="E8" s="474">
        <v>6.1</v>
      </c>
      <c r="F8" s="474"/>
    </row>
    <row r="9" spans="1:9" ht="97.8" customHeight="1">
      <c r="A9" s="474" t="s">
        <v>889</v>
      </c>
      <c r="B9" s="474" t="s">
        <v>890</v>
      </c>
      <c r="C9" s="472" t="s">
        <v>891</v>
      </c>
      <c r="D9" s="473" t="s">
        <v>892</v>
      </c>
      <c r="E9" s="474">
        <v>55.24</v>
      </c>
      <c r="F9" s="474"/>
    </row>
    <row r="10" spans="1:9" ht="51" customHeight="1">
      <c r="A10" s="474" t="s">
        <v>569</v>
      </c>
      <c r="B10" s="474" t="s">
        <v>570</v>
      </c>
      <c r="C10" s="472" t="s">
        <v>893</v>
      </c>
      <c r="D10" s="473" t="s">
        <v>894</v>
      </c>
      <c r="E10" s="474">
        <v>1.41</v>
      </c>
      <c r="F10" s="474"/>
    </row>
    <row r="11" spans="1:9" ht="56.4" customHeight="1">
      <c r="A11" s="474" t="s">
        <v>743</v>
      </c>
      <c r="B11" s="474" t="s">
        <v>895</v>
      </c>
      <c r="C11" s="472" t="s">
        <v>896</v>
      </c>
      <c r="D11" s="473" t="s">
        <v>897</v>
      </c>
      <c r="E11" s="474">
        <v>1.2</v>
      </c>
      <c r="F11" s="474"/>
    </row>
    <row r="12" spans="1:9" ht="123" customHeight="1">
      <c r="A12" s="474" t="s">
        <v>86</v>
      </c>
      <c r="B12" s="474" t="s">
        <v>898</v>
      </c>
      <c r="C12" s="472" t="s">
        <v>899</v>
      </c>
      <c r="D12" s="473" t="s">
        <v>919</v>
      </c>
      <c r="E12" s="474">
        <v>4.7</v>
      </c>
      <c r="F12"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E158-6FA0-4C21-A5C1-3056FF48B639}">
  <sheetPr>
    <tabColor theme="4"/>
  </sheetPr>
  <dimension ref="A1:I12"/>
  <sheetViews>
    <sheetView showGridLines="0" view="pageBreakPreview"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81.599999999999994" customHeight="1">
      <c r="A3" s="474" t="s">
        <v>359</v>
      </c>
      <c r="B3" s="474" t="s">
        <v>900</v>
      </c>
      <c r="C3" s="472" t="s">
        <v>901</v>
      </c>
      <c r="D3" s="473" t="s">
        <v>920</v>
      </c>
      <c r="E3" s="474">
        <v>6.1</v>
      </c>
      <c r="F3" s="474"/>
      <c r="G3" s="475"/>
      <c r="H3" s="475"/>
      <c r="I3" s="479"/>
    </row>
    <row r="4" spans="1:9" ht="48" customHeight="1">
      <c r="A4" s="474" t="s">
        <v>744</v>
      </c>
      <c r="B4" s="474" t="s">
        <v>902</v>
      </c>
      <c r="C4" s="472" t="s">
        <v>903</v>
      </c>
      <c r="D4" s="473" t="s">
        <v>904</v>
      </c>
      <c r="E4" s="474"/>
      <c r="F4" s="474">
        <v>5</v>
      </c>
      <c r="G4" s="475"/>
      <c r="H4" s="475"/>
      <c r="I4" s="479"/>
    </row>
    <row r="5" spans="1:9" ht="55.8" customHeight="1">
      <c r="A5" s="474" t="s">
        <v>741</v>
      </c>
      <c r="B5" s="474" t="s">
        <v>742</v>
      </c>
      <c r="C5" s="472" t="s">
        <v>905</v>
      </c>
      <c r="D5" s="473" t="s">
        <v>906</v>
      </c>
      <c r="E5" s="474">
        <v>0.1</v>
      </c>
      <c r="F5" s="474"/>
      <c r="G5" s="475"/>
      <c r="H5" s="475"/>
      <c r="I5" s="479"/>
    </row>
    <row r="6" spans="1:9" ht="135" customHeight="1">
      <c r="A6" s="474" t="s">
        <v>744</v>
      </c>
      <c r="B6" s="474" t="s">
        <v>907</v>
      </c>
      <c r="C6" s="472" t="s">
        <v>908</v>
      </c>
      <c r="D6" s="473" t="s">
        <v>909</v>
      </c>
      <c r="E6" s="474">
        <v>40.64</v>
      </c>
      <c r="F6" s="474"/>
      <c r="G6" s="475"/>
      <c r="H6" s="475"/>
      <c r="I6" s="479"/>
    </row>
    <row r="7" spans="1:9" ht="50.4" customHeight="1">
      <c r="A7" s="474" t="s">
        <v>741</v>
      </c>
      <c r="B7" s="474" t="s">
        <v>742</v>
      </c>
      <c r="C7" s="472" t="s">
        <v>910</v>
      </c>
      <c r="D7" s="473" t="s">
        <v>911</v>
      </c>
      <c r="E7" s="474">
        <v>0.1</v>
      </c>
      <c r="F7" s="474"/>
      <c r="G7" s="475"/>
      <c r="H7" s="475"/>
      <c r="I7" s="479"/>
    </row>
    <row r="8" spans="1:9" ht="76.2" customHeight="1">
      <c r="A8" s="474" t="s">
        <v>604</v>
      </c>
      <c r="B8" s="474" t="s">
        <v>912</v>
      </c>
      <c r="C8" s="472" t="s">
        <v>913</v>
      </c>
      <c r="D8" s="473" t="s">
        <v>914</v>
      </c>
      <c r="E8" s="474">
        <v>6.55</v>
      </c>
      <c r="F8" s="474"/>
    </row>
    <row r="9" spans="1:9" ht="52.8" customHeight="1">
      <c r="A9" s="474" t="s">
        <v>569</v>
      </c>
      <c r="B9" s="474" t="s">
        <v>570</v>
      </c>
      <c r="C9" s="472" t="s">
        <v>915</v>
      </c>
      <c r="D9" s="473" t="s">
        <v>916</v>
      </c>
      <c r="E9" s="474">
        <v>1.57</v>
      </c>
      <c r="F9" s="474"/>
    </row>
    <row r="10" spans="1:9" ht="81" customHeight="1">
      <c r="A10" s="474" t="s">
        <v>359</v>
      </c>
      <c r="B10" s="474" t="s">
        <v>714</v>
      </c>
      <c r="C10" s="472" t="s">
        <v>917</v>
      </c>
      <c r="D10" s="473" t="s">
        <v>918</v>
      </c>
      <c r="E10" s="474">
        <v>2.44</v>
      </c>
      <c r="F10" s="474"/>
    </row>
    <row r="11" spans="1:9" ht="64.8" customHeight="1">
      <c r="A11" s="474" t="s">
        <v>743</v>
      </c>
      <c r="B11" s="474" t="s">
        <v>921</v>
      </c>
      <c r="C11" s="472" t="s">
        <v>922</v>
      </c>
      <c r="D11" s="473" t="s">
        <v>923</v>
      </c>
      <c r="E11" s="474"/>
      <c r="F11" s="474">
        <v>0.8</v>
      </c>
    </row>
    <row r="12" spans="1:9" ht="65.400000000000006" customHeight="1">
      <c r="A12" s="474" t="s">
        <v>389</v>
      </c>
      <c r="B12" s="474" t="s">
        <v>924</v>
      </c>
      <c r="C12" s="472" t="s">
        <v>925</v>
      </c>
      <c r="D12" s="473" t="s">
        <v>926</v>
      </c>
      <c r="E12" s="474">
        <v>0.15</v>
      </c>
      <c r="F12"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0509-A12E-4410-A9A6-5C932524A191}">
  <sheetPr>
    <tabColor theme="4"/>
  </sheetPr>
  <dimension ref="A1:I10"/>
  <sheetViews>
    <sheetView showGridLines="0" view="pageBreakPreview"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53.4" customHeight="1">
      <c r="A3" s="474" t="s">
        <v>569</v>
      </c>
      <c r="B3" s="474" t="s">
        <v>702</v>
      </c>
      <c r="C3" s="472" t="s">
        <v>927</v>
      </c>
      <c r="D3" s="473" t="s">
        <v>928</v>
      </c>
      <c r="E3" s="474">
        <v>6.4</v>
      </c>
      <c r="F3" s="474"/>
      <c r="G3" s="475"/>
      <c r="H3" s="475"/>
      <c r="I3" s="479"/>
    </row>
    <row r="4" spans="1:9" ht="54" customHeight="1">
      <c r="A4" s="474" t="s">
        <v>359</v>
      </c>
      <c r="B4" s="474" t="s">
        <v>929</v>
      </c>
      <c r="C4" s="472" t="s">
        <v>930</v>
      </c>
      <c r="D4" s="473" t="s">
        <v>931</v>
      </c>
      <c r="E4" s="474">
        <v>4.8</v>
      </c>
      <c r="F4" s="474"/>
      <c r="G4" s="475"/>
      <c r="H4" s="475"/>
      <c r="I4" s="479"/>
    </row>
    <row r="5" spans="1:9" ht="60" customHeight="1">
      <c r="A5" s="474" t="s">
        <v>389</v>
      </c>
      <c r="B5" s="474" t="s">
        <v>713</v>
      </c>
      <c r="C5" s="472" t="s">
        <v>932</v>
      </c>
      <c r="D5" s="473" t="s">
        <v>933</v>
      </c>
      <c r="E5" s="474">
        <v>9.5</v>
      </c>
      <c r="F5" s="474"/>
      <c r="G5" s="475"/>
      <c r="H5" s="475"/>
      <c r="I5" s="479"/>
    </row>
    <row r="6" spans="1:9" ht="55.2" customHeight="1">
      <c r="A6" s="474" t="s">
        <v>569</v>
      </c>
      <c r="B6" s="474" t="s">
        <v>697</v>
      </c>
      <c r="C6" s="472" t="s">
        <v>934</v>
      </c>
      <c r="D6" s="473" t="s">
        <v>935</v>
      </c>
      <c r="E6" s="474">
        <v>13.7</v>
      </c>
      <c r="F6" s="474"/>
      <c r="G6" s="475"/>
      <c r="H6" s="475"/>
      <c r="I6" s="479"/>
    </row>
    <row r="7" spans="1:9" ht="204.6" customHeight="1">
      <c r="A7" s="474" t="s">
        <v>556</v>
      </c>
      <c r="B7" s="474" t="s">
        <v>936</v>
      </c>
      <c r="C7" s="472" t="s">
        <v>937</v>
      </c>
      <c r="D7" s="473" t="s">
        <v>938</v>
      </c>
      <c r="E7" s="474">
        <v>55</v>
      </c>
      <c r="F7" s="474">
        <v>8.4</v>
      </c>
      <c r="G7" s="475"/>
      <c r="H7" s="475"/>
      <c r="I7" s="479"/>
    </row>
    <row r="8" spans="1:9" ht="96.6" customHeight="1">
      <c r="A8" s="474" t="s">
        <v>744</v>
      </c>
      <c r="B8" s="474" t="s">
        <v>939</v>
      </c>
      <c r="C8" s="472" t="s">
        <v>940</v>
      </c>
      <c r="D8" s="473" t="s">
        <v>941</v>
      </c>
      <c r="E8" s="474">
        <v>12.33</v>
      </c>
      <c r="F8" s="474"/>
    </row>
    <row r="9" spans="1:9" ht="61.2" customHeight="1">
      <c r="A9" s="474" t="s">
        <v>889</v>
      </c>
      <c r="B9" s="474" t="s">
        <v>942</v>
      </c>
      <c r="C9" s="472" t="s">
        <v>943</v>
      </c>
      <c r="D9" s="473" t="s">
        <v>944</v>
      </c>
      <c r="E9" s="474"/>
      <c r="F9" s="474">
        <v>1</v>
      </c>
    </row>
    <row r="10" spans="1:9" ht="115.8" customHeight="1">
      <c r="A10" s="474" t="s">
        <v>698</v>
      </c>
      <c r="B10" s="474" t="s">
        <v>945</v>
      </c>
      <c r="C10" s="472" t="s">
        <v>946</v>
      </c>
      <c r="D10" s="473" t="s">
        <v>947</v>
      </c>
      <c r="E10" s="474">
        <v>20.41</v>
      </c>
      <c r="F10" s="474"/>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A9B8-B8FA-4E7A-A28B-1758394DA4F5}">
  <sheetPr>
    <tabColor theme="4"/>
  </sheetPr>
  <dimension ref="A1:I7"/>
  <sheetViews>
    <sheetView showGridLines="0" view="pageBreakPreview" zoomScale="120" zoomScaleNormal="100" zoomScaleSheetLayoutView="120" zoomScalePageLayoutView="145" workbookViewId="0">
      <selection activeCell="K7" sqref="K7"/>
    </sheetView>
  </sheetViews>
  <sheetFormatPr defaultColWidth="9.28515625" defaultRowHeight="9.6"/>
  <cols>
    <col min="1" max="1" width="16.140625" style="464" customWidth="1"/>
    <col min="2" max="2" width="19.7109375" style="464" customWidth="1"/>
    <col min="3" max="3" width="12.85546875" style="464" bestFit="1" customWidth="1"/>
    <col min="4" max="4" width="51.28515625" style="464" customWidth="1"/>
    <col min="5" max="5" width="12.140625" style="464" customWidth="1"/>
    <col min="6" max="6" width="12" style="464" customWidth="1"/>
    <col min="7" max="8" width="9.28515625" style="464" customWidth="1"/>
    <col min="9" max="16384" width="9.28515625" style="464"/>
  </cols>
  <sheetData>
    <row r="1" spans="1:9" ht="11.25" customHeight="1">
      <c r="A1" s="462" t="s">
        <v>274</v>
      </c>
      <c r="B1" s="463"/>
      <c r="C1" s="463"/>
      <c r="D1" s="463"/>
      <c r="E1" s="463"/>
      <c r="F1" s="463"/>
    </row>
    <row r="2" spans="1:9" ht="30" customHeight="1">
      <c r="A2" s="465" t="s">
        <v>199</v>
      </c>
      <c r="B2" s="466" t="s">
        <v>275</v>
      </c>
      <c r="C2" s="465" t="s">
        <v>264</v>
      </c>
      <c r="D2" s="467" t="s">
        <v>276</v>
      </c>
      <c r="E2" s="468" t="s">
        <v>277</v>
      </c>
      <c r="F2" s="468" t="s">
        <v>278</v>
      </c>
      <c r="G2" s="469"/>
      <c r="H2" s="470"/>
      <c r="I2" s="471"/>
    </row>
    <row r="3" spans="1:9" ht="69" customHeight="1">
      <c r="A3" s="474" t="s">
        <v>359</v>
      </c>
      <c r="B3" s="474" t="s">
        <v>948</v>
      </c>
      <c r="C3" s="472" t="s">
        <v>949</v>
      </c>
      <c r="D3" s="473" t="s">
        <v>950</v>
      </c>
      <c r="E3" s="474">
        <v>96.65</v>
      </c>
      <c r="F3" s="474"/>
      <c r="G3" s="475"/>
      <c r="H3" s="475"/>
      <c r="I3" s="479"/>
    </row>
    <row r="4" spans="1:9" ht="118.2" customHeight="1">
      <c r="A4" s="474" t="s">
        <v>556</v>
      </c>
      <c r="B4" s="474" t="s">
        <v>951</v>
      </c>
      <c r="C4" s="472" t="s">
        <v>952</v>
      </c>
      <c r="D4" s="473" t="s">
        <v>953</v>
      </c>
      <c r="E4" s="474">
        <v>23.26</v>
      </c>
      <c r="F4" s="474"/>
      <c r="G4" s="475"/>
      <c r="H4" s="475"/>
      <c r="I4" s="479"/>
    </row>
    <row r="5" spans="1:9" ht="96" customHeight="1">
      <c r="A5" s="474" t="s">
        <v>105</v>
      </c>
      <c r="B5" s="474" t="s">
        <v>703</v>
      </c>
      <c r="C5" s="472" t="s">
        <v>954</v>
      </c>
      <c r="D5" s="473" t="s">
        <v>955</v>
      </c>
      <c r="E5" s="474">
        <v>11.15</v>
      </c>
      <c r="F5" s="474"/>
      <c r="G5" s="475"/>
      <c r="H5" s="475"/>
      <c r="I5" s="479"/>
    </row>
    <row r="6" spans="1:9" ht="50.4" customHeight="1">
      <c r="A6" s="474" t="s">
        <v>741</v>
      </c>
      <c r="B6" s="474" t="s">
        <v>742</v>
      </c>
      <c r="C6" s="472" t="s">
        <v>956</v>
      </c>
      <c r="D6" s="473" t="s">
        <v>957</v>
      </c>
      <c r="E6" s="474">
        <v>0.4</v>
      </c>
      <c r="F6" s="474"/>
      <c r="G6" s="475"/>
      <c r="H6" s="475"/>
      <c r="I6" s="479"/>
    </row>
    <row r="7" spans="1:9" ht="53.4" customHeight="1">
      <c r="A7" s="474" t="s">
        <v>736</v>
      </c>
      <c r="B7" s="474" t="s">
        <v>740</v>
      </c>
      <c r="C7" s="472" t="s">
        <v>958</v>
      </c>
      <c r="D7" s="473" t="s">
        <v>959</v>
      </c>
      <c r="E7" s="474">
        <v>4.2</v>
      </c>
      <c r="F7" s="474"/>
      <c r="G7" s="475"/>
      <c r="H7" s="475"/>
      <c r="I7" s="479"/>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K7" sqref="K7"/>
    </sheetView>
  </sheetViews>
  <sheetFormatPr defaultColWidth="9.28515625" defaultRowHeight="10.199999999999999"/>
  <sheetData>
    <row r="4" spans="2:15">
      <c r="B4" s="22"/>
      <c r="C4" s="22"/>
      <c r="D4" s="22"/>
      <c r="E4" s="22"/>
      <c r="F4" s="22"/>
      <c r="G4" s="22"/>
      <c r="H4" s="22"/>
      <c r="I4" s="22"/>
      <c r="J4" s="22"/>
      <c r="K4" s="22"/>
      <c r="L4" s="22"/>
      <c r="M4" s="22"/>
      <c r="N4" s="22"/>
      <c r="O4" s="22"/>
    </row>
    <row r="5" spans="2:15">
      <c r="B5" s="22"/>
      <c r="C5" s="22"/>
      <c r="D5" s="22"/>
      <c r="E5" s="22"/>
      <c r="F5" s="22"/>
      <c r="G5" s="22"/>
      <c r="H5" s="22"/>
      <c r="I5" s="22"/>
      <c r="J5" s="22"/>
      <c r="K5" s="22"/>
      <c r="L5" s="22"/>
      <c r="M5" s="22"/>
      <c r="N5" s="22"/>
      <c r="O5" s="22"/>
    </row>
    <row r="6" spans="2:15">
      <c r="B6" s="22"/>
      <c r="C6" s="22"/>
      <c r="D6" s="22"/>
      <c r="E6" s="22"/>
      <c r="F6" s="22"/>
      <c r="G6" s="22"/>
      <c r="H6" s="22"/>
      <c r="I6" s="22"/>
      <c r="J6" s="22"/>
      <c r="K6" s="22"/>
      <c r="L6" s="22"/>
      <c r="M6" s="22"/>
      <c r="N6" s="22"/>
      <c r="O6" s="22"/>
    </row>
    <row r="7" spans="2:15">
      <c r="B7" s="186"/>
      <c r="C7" s="22"/>
      <c r="D7" s="22"/>
      <c r="E7" s="22"/>
      <c r="F7" s="22"/>
      <c r="G7" s="22"/>
      <c r="H7" s="22"/>
      <c r="I7" s="22"/>
      <c r="J7" s="22"/>
      <c r="K7" s="22"/>
      <c r="L7" s="22"/>
      <c r="M7" s="22"/>
      <c r="N7" s="22"/>
      <c r="O7" s="22"/>
    </row>
    <row r="8" spans="2:15">
      <c r="B8" s="186"/>
      <c r="C8" s="22"/>
      <c r="D8" s="22"/>
      <c r="E8" s="22"/>
      <c r="F8" s="22"/>
      <c r="G8" s="22"/>
      <c r="H8" s="22"/>
      <c r="I8" s="22"/>
      <c r="J8" s="22"/>
      <c r="K8" s="22"/>
      <c r="L8" s="22"/>
      <c r="M8" s="22"/>
      <c r="N8" s="22"/>
      <c r="O8" s="22"/>
    </row>
    <row r="9" spans="2:15">
      <c r="B9" s="186"/>
      <c r="C9" s="22"/>
      <c r="D9" s="22"/>
      <c r="E9" s="22"/>
      <c r="F9" s="22"/>
      <c r="G9" s="22"/>
      <c r="H9" s="22"/>
      <c r="I9" s="22"/>
      <c r="J9" s="22"/>
      <c r="K9" s="22"/>
      <c r="L9" s="22"/>
      <c r="M9" s="22"/>
      <c r="N9" s="22"/>
      <c r="O9" s="22"/>
    </row>
    <row r="10" spans="2:15">
      <c r="B10" s="22"/>
      <c r="C10" s="22"/>
      <c r="D10" s="22"/>
      <c r="E10" s="22"/>
      <c r="F10" s="22"/>
      <c r="G10" s="22"/>
      <c r="H10" s="22"/>
      <c r="I10" s="22"/>
      <c r="J10" s="22"/>
      <c r="K10" s="22"/>
      <c r="L10" s="22"/>
      <c r="M10" s="22"/>
      <c r="N10" s="22"/>
      <c r="O10" s="22"/>
    </row>
    <row r="11" spans="2:15">
      <c r="B11" s="22"/>
      <c r="C11" s="22"/>
      <c r="D11" s="22"/>
      <c r="E11" s="22"/>
      <c r="F11" s="22"/>
      <c r="G11" s="22"/>
      <c r="H11" s="22"/>
      <c r="I11" s="22"/>
      <c r="J11" s="22"/>
      <c r="K11" s="22"/>
      <c r="L11" s="22"/>
      <c r="M11" s="22"/>
      <c r="N11" s="22"/>
      <c r="O11" s="22"/>
    </row>
    <row r="12" spans="2:15">
      <c r="B12" s="22"/>
      <c r="C12" s="22"/>
      <c r="D12" s="22"/>
      <c r="E12" s="22"/>
      <c r="F12" s="22"/>
      <c r="G12" s="22"/>
      <c r="H12" s="22"/>
      <c r="I12" s="22"/>
      <c r="J12" s="22"/>
      <c r="K12" s="22"/>
      <c r="L12" s="22"/>
      <c r="M12" s="22"/>
      <c r="N12" s="22"/>
      <c r="O12" s="22"/>
    </row>
    <row r="13" spans="2:15" ht="13.2">
      <c r="B13" s="239"/>
      <c r="C13" s="22"/>
      <c r="D13" s="22"/>
      <c r="E13" s="22"/>
      <c r="F13" s="22"/>
      <c r="G13" s="22"/>
      <c r="H13" s="22"/>
      <c r="I13" s="22"/>
      <c r="J13" s="22"/>
      <c r="K13" s="22"/>
      <c r="L13" s="22"/>
      <c r="M13" s="22"/>
      <c r="N13" s="22"/>
      <c r="O13" s="22"/>
    </row>
    <row r="14" spans="2:15">
      <c r="B14" s="22"/>
      <c r="C14" s="22"/>
      <c r="D14" s="22"/>
      <c r="E14" s="22"/>
      <c r="F14" s="22"/>
      <c r="G14" s="22"/>
      <c r="H14" s="22"/>
      <c r="I14" s="22"/>
      <c r="J14" s="22"/>
      <c r="K14" s="22"/>
      <c r="L14" s="22"/>
      <c r="M14" s="22"/>
      <c r="N14" s="22"/>
      <c r="O14" s="22"/>
    </row>
    <row r="15" spans="2:15">
      <c r="B15" s="22"/>
      <c r="C15" s="22"/>
      <c r="D15" s="22"/>
      <c r="E15" s="22"/>
      <c r="F15" s="22"/>
      <c r="G15" s="22"/>
      <c r="H15" s="22"/>
      <c r="I15" s="22"/>
      <c r="J15" s="22"/>
      <c r="K15" s="22"/>
      <c r="L15" s="22"/>
      <c r="M15" s="22"/>
      <c r="N15" s="22"/>
      <c r="O15" s="22"/>
    </row>
    <row r="16" spans="2:15">
      <c r="B16" s="22"/>
      <c r="C16" s="22"/>
      <c r="D16" s="22"/>
      <c r="E16" s="22"/>
      <c r="F16" s="22"/>
      <c r="G16" s="22"/>
      <c r="H16" s="22"/>
      <c r="I16" s="22"/>
      <c r="J16" s="22"/>
      <c r="K16" s="22"/>
      <c r="L16" s="22"/>
      <c r="M16" s="22"/>
      <c r="N16" s="22"/>
      <c r="O16" s="22"/>
    </row>
    <row r="17" spans="2:15">
      <c r="B17" s="22"/>
      <c r="C17" s="22"/>
      <c r="D17" s="22"/>
      <c r="E17" s="22"/>
      <c r="F17" s="22"/>
      <c r="G17" s="22"/>
      <c r="H17" s="22"/>
      <c r="I17" s="22"/>
      <c r="J17" s="22"/>
      <c r="K17" s="22"/>
      <c r="L17" s="22"/>
      <c r="M17" s="22"/>
      <c r="N17" s="22"/>
      <c r="O17" s="22"/>
    </row>
    <row r="18" spans="2:15">
      <c r="B18" s="22"/>
      <c r="C18" s="22"/>
      <c r="D18" s="22"/>
      <c r="E18" s="22"/>
      <c r="F18" s="22"/>
      <c r="G18" s="22"/>
      <c r="H18" s="22"/>
      <c r="I18" s="22"/>
      <c r="J18" s="22"/>
      <c r="K18" s="22"/>
      <c r="L18" s="22"/>
      <c r="M18" s="22"/>
      <c r="N18" s="22"/>
      <c r="O18" s="22"/>
    </row>
    <row r="19" spans="2:15">
      <c r="B19" s="22"/>
      <c r="C19" s="22"/>
      <c r="D19" s="22"/>
      <c r="E19" s="22"/>
      <c r="F19" s="22"/>
      <c r="G19" s="22"/>
      <c r="H19" s="22"/>
      <c r="I19" s="22"/>
      <c r="J19" s="22" t="s">
        <v>7</v>
      </c>
      <c r="K19" s="22"/>
      <c r="L19" s="22"/>
      <c r="M19" s="22"/>
      <c r="N19" s="22"/>
      <c r="O19" s="22"/>
    </row>
    <row r="20" spans="2:15">
      <c r="B20" s="22"/>
      <c r="C20" s="22"/>
      <c r="D20" s="22"/>
      <c r="E20" s="22"/>
      <c r="F20" s="22"/>
      <c r="G20" s="22"/>
      <c r="H20" s="22"/>
      <c r="I20" s="22"/>
      <c r="J20" s="22"/>
      <c r="K20" s="22"/>
      <c r="L20" s="22"/>
      <c r="M20" s="22"/>
      <c r="N20" s="22"/>
      <c r="O20" s="22"/>
    </row>
    <row r="21" spans="2:15">
      <c r="B21" s="22"/>
      <c r="C21" s="22"/>
      <c r="D21" s="22"/>
      <c r="E21" s="22"/>
      <c r="F21" s="22"/>
      <c r="G21" s="22"/>
      <c r="H21" s="22"/>
      <c r="I21" s="22"/>
      <c r="J21" s="22"/>
      <c r="K21" s="22"/>
      <c r="L21" s="22"/>
      <c r="M21" s="22"/>
      <c r="N21" s="22"/>
      <c r="O21" s="22"/>
    </row>
    <row r="22" spans="2:15">
      <c r="B22" s="22"/>
      <c r="C22" s="22"/>
      <c r="D22" s="22"/>
      <c r="E22" s="22"/>
      <c r="F22" s="22"/>
      <c r="G22" s="22"/>
      <c r="H22" s="22"/>
      <c r="I22" s="22"/>
      <c r="J22" s="22"/>
      <c r="K22" s="22"/>
      <c r="L22" s="22"/>
      <c r="M22" s="22"/>
      <c r="N22" s="22"/>
      <c r="O22" s="22"/>
    </row>
    <row r="23" spans="2:15">
      <c r="B23" s="22"/>
      <c r="C23" s="22"/>
      <c r="D23" s="22"/>
      <c r="E23" s="22"/>
      <c r="F23" s="22"/>
      <c r="G23" s="22"/>
      <c r="H23" s="22"/>
      <c r="I23" s="22"/>
      <c r="J23" s="22"/>
      <c r="K23" s="22"/>
      <c r="L23" s="22"/>
      <c r="M23" s="22"/>
      <c r="N23" s="22"/>
      <c r="O23" s="22"/>
    </row>
    <row r="24" spans="2:15">
      <c r="B24" s="22"/>
      <c r="C24" s="22"/>
      <c r="D24" s="22"/>
      <c r="E24" s="22"/>
      <c r="F24" s="22"/>
      <c r="G24" s="22"/>
      <c r="H24" s="22"/>
      <c r="I24" s="22"/>
      <c r="J24" s="22"/>
      <c r="K24" s="22"/>
      <c r="L24" s="22"/>
      <c r="M24" s="22"/>
      <c r="N24" s="22"/>
      <c r="O24" s="22"/>
    </row>
    <row r="25" spans="2:15">
      <c r="B25" s="22"/>
      <c r="C25" s="22"/>
      <c r="D25" s="22"/>
      <c r="E25" s="22"/>
      <c r="F25" s="22"/>
      <c r="G25" s="22"/>
      <c r="H25" s="22"/>
      <c r="I25" s="22"/>
      <c r="J25" s="22"/>
      <c r="K25" s="22"/>
      <c r="L25" s="22"/>
      <c r="M25" s="22"/>
      <c r="N25" s="22"/>
      <c r="O25" s="22"/>
    </row>
    <row r="26" spans="2:15">
      <c r="B26" s="22"/>
      <c r="C26" s="22"/>
      <c r="D26" s="22"/>
      <c r="E26" s="22"/>
      <c r="F26" s="22"/>
      <c r="G26" s="22"/>
      <c r="H26" s="22"/>
      <c r="I26" s="22"/>
      <c r="J26" s="22"/>
      <c r="K26" s="22"/>
      <c r="L26" s="22"/>
      <c r="M26" s="22"/>
      <c r="N26" s="22"/>
      <c r="O26" s="22"/>
    </row>
    <row r="27" spans="2:15">
      <c r="B27" s="22"/>
      <c r="C27" s="22"/>
      <c r="D27" s="22"/>
      <c r="E27" s="22"/>
      <c r="F27" s="22"/>
      <c r="G27" s="22"/>
      <c r="H27" s="22"/>
      <c r="I27" s="22"/>
      <c r="J27" s="22"/>
      <c r="K27" s="22"/>
      <c r="L27" s="22"/>
      <c r="M27" s="22"/>
      <c r="N27" s="22"/>
      <c r="O27" s="22"/>
    </row>
    <row r="28" spans="2:15">
      <c r="B28" s="22"/>
      <c r="C28" s="22"/>
      <c r="D28" s="22"/>
      <c r="E28" s="22"/>
      <c r="F28" s="22"/>
      <c r="G28" s="22"/>
      <c r="H28" s="22"/>
      <c r="I28" s="22"/>
      <c r="J28" s="22"/>
      <c r="K28" s="22"/>
      <c r="L28" s="22"/>
      <c r="M28" s="22"/>
      <c r="N28" s="22"/>
      <c r="O28" s="22"/>
    </row>
    <row r="29" spans="2:15">
      <c r="B29" s="22"/>
      <c r="C29" s="22"/>
      <c r="D29" s="22"/>
      <c r="E29" s="22"/>
      <c r="F29" s="22"/>
      <c r="G29" s="22"/>
      <c r="H29" s="22"/>
      <c r="I29" s="22"/>
      <c r="J29" s="22"/>
      <c r="K29" s="22"/>
      <c r="L29" s="22"/>
      <c r="M29" s="22"/>
      <c r="N29" s="22"/>
      <c r="O29" s="22"/>
    </row>
    <row r="30" spans="2:15">
      <c r="B30" s="22"/>
      <c r="C30" s="22"/>
      <c r="D30" s="22"/>
      <c r="E30" s="22"/>
      <c r="F30" s="22"/>
      <c r="G30" s="22"/>
      <c r="H30" s="22"/>
      <c r="I30" s="22"/>
      <c r="J30" s="22"/>
      <c r="K30" s="22"/>
      <c r="L30" s="22"/>
      <c r="M30" s="22"/>
      <c r="N30" s="22"/>
      <c r="O30" s="22"/>
    </row>
    <row r="31" spans="2:15">
      <c r="B31" s="22"/>
      <c r="C31" s="22"/>
      <c r="D31" s="22"/>
      <c r="E31" s="22"/>
      <c r="F31" s="22"/>
      <c r="G31" s="22"/>
      <c r="H31" s="22"/>
      <c r="I31" s="22"/>
      <c r="J31" s="22"/>
      <c r="K31" s="22"/>
      <c r="L31" s="22"/>
      <c r="M31" s="22"/>
      <c r="N31" s="22"/>
      <c r="O31" s="22"/>
    </row>
    <row r="32" spans="2:15">
      <c r="B32" s="22"/>
      <c r="C32" s="22"/>
      <c r="D32" s="22"/>
      <c r="E32" s="22"/>
      <c r="F32" s="22"/>
      <c r="G32" s="22"/>
      <c r="H32" s="22"/>
      <c r="I32" s="22"/>
      <c r="J32" s="22"/>
      <c r="K32" s="22"/>
      <c r="L32" s="22"/>
      <c r="M32" s="22"/>
      <c r="N32" s="22"/>
      <c r="O32" s="22"/>
    </row>
    <row r="33" spans="2:15">
      <c r="B33" s="22"/>
      <c r="C33" s="22"/>
      <c r="D33" s="22"/>
      <c r="E33" s="22"/>
      <c r="F33" s="22"/>
      <c r="G33" s="22"/>
      <c r="H33" s="22"/>
      <c r="I33" s="22"/>
      <c r="J33" s="22"/>
      <c r="K33" s="22"/>
      <c r="L33" s="22"/>
      <c r="M33" s="22"/>
      <c r="N33" s="22"/>
      <c r="O33" s="22"/>
    </row>
    <row r="34" spans="2:15">
      <c r="B34" s="22"/>
      <c r="C34" s="22"/>
      <c r="D34" s="22"/>
      <c r="E34" s="22"/>
      <c r="F34" s="22"/>
      <c r="G34" s="22"/>
      <c r="H34" s="22"/>
      <c r="I34" s="22"/>
      <c r="J34" s="22"/>
      <c r="K34" s="22"/>
      <c r="L34" s="22"/>
      <c r="M34" s="22"/>
      <c r="N34" s="22"/>
      <c r="O34" s="22"/>
    </row>
    <row r="35" spans="2:15">
      <c r="B35" s="22"/>
      <c r="C35" s="22"/>
      <c r="D35" s="22"/>
      <c r="E35" s="22"/>
      <c r="F35" s="22"/>
      <c r="G35" s="22"/>
      <c r="H35" s="22"/>
      <c r="I35" s="22"/>
      <c r="J35" s="22"/>
      <c r="K35" s="22"/>
      <c r="L35" s="22"/>
      <c r="M35" s="22"/>
      <c r="N35" s="22"/>
      <c r="O35" s="22"/>
    </row>
    <row r="36" spans="2:15">
      <c r="B36" s="22"/>
      <c r="C36" s="22"/>
      <c r="D36" s="22"/>
      <c r="E36" s="22"/>
      <c r="F36" s="22"/>
      <c r="G36" s="22"/>
      <c r="H36" s="22"/>
      <c r="I36" s="22"/>
      <c r="J36" s="22"/>
      <c r="K36" s="22"/>
      <c r="L36" s="22"/>
      <c r="M36" s="22"/>
      <c r="N36" s="22"/>
      <c r="O36" s="22"/>
    </row>
    <row r="37" spans="2:15">
      <c r="B37" s="22"/>
      <c r="C37" s="22"/>
      <c r="D37" s="22"/>
      <c r="E37" s="22"/>
      <c r="F37" s="22"/>
      <c r="G37" s="22"/>
      <c r="H37" s="22"/>
      <c r="I37" s="22"/>
      <c r="J37" s="22"/>
      <c r="K37" s="22"/>
      <c r="L37" s="22"/>
      <c r="M37" s="22"/>
      <c r="N37" s="22"/>
      <c r="O37" s="22"/>
    </row>
    <row r="38" spans="2:15">
      <c r="B38" s="22"/>
      <c r="C38" s="22"/>
      <c r="D38" s="22"/>
      <c r="E38" s="22"/>
      <c r="F38" s="22"/>
      <c r="G38" s="22"/>
      <c r="H38" s="22"/>
      <c r="I38" s="22"/>
      <c r="J38" s="22"/>
      <c r="K38" s="22"/>
      <c r="L38" s="22"/>
      <c r="M38" s="22"/>
      <c r="N38" s="22"/>
      <c r="O38" s="22"/>
    </row>
    <row r="39" spans="2:15">
      <c r="B39" s="22"/>
      <c r="C39" s="22"/>
      <c r="D39" s="22"/>
      <c r="E39" s="22"/>
      <c r="F39" s="22"/>
      <c r="G39" s="22"/>
      <c r="H39" s="22"/>
      <c r="I39" s="22"/>
      <c r="J39" s="22"/>
      <c r="K39" s="22"/>
      <c r="L39" s="22"/>
      <c r="M39" s="22"/>
      <c r="N39" s="22"/>
      <c r="O39" s="22"/>
    </row>
    <row r="40" spans="2:15">
      <c r="B40" s="22"/>
      <c r="C40" s="22"/>
      <c r="D40" s="22"/>
      <c r="E40" s="22"/>
      <c r="F40" s="22"/>
      <c r="G40" s="22"/>
      <c r="H40" s="22"/>
      <c r="I40" s="22"/>
      <c r="J40" s="22"/>
      <c r="K40" s="22"/>
      <c r="L40" s="22"/>
      <c r="M40" s="22"/>
      <c r="N40" s="22"/>
      <c r="O40" s="22"/>
    </row>
    <row r="41" spans="2:15">
      <c r="B41" s="22"/>
      <c r="C41" s="22"/>
      <c r="D41" s="22"/>
      <c r="E41" s="22"/>
      <c r="F41" s="22"/>
      <c r="G41" s="22"/>
      <c r="H41" s="22"/>
      <c r="I41" s="22"/>
      <c r="J41" s="22"/>
      <c r="K41" s="22"/>
      <c r="L41" s="22"/>
      <c r="M41" s="22"/>
      <c r="N41" s="22"/>
      <c r="O41" s="22"/>
    </row>
    <row r="42" spans="2:15">
      <c r="B42" s="22"/>
      <c r="C42" s="22"/>
      <c r="D42" s="22"/>
      <c r="E42" s="22"/>
      <c r="F42" s="22"/>
      <c r="G42" s="22"/>
      <c r="H42" s="22"/>
      <c r="I42" s="22"/>
      <c r="J42" s="22"/>
      <c r="K42" s="22"/>
      <c r="L42" s="22"/>
      <c r="M42" s="22"/>
      <c r="N42" s="22"/>
      <c r="O42" s="22"/>
    </row>
    <row r="43" spans="2:15">
      <c r="B43" s="22"/>
      <c r="C43" s="22"/>
      <c r="D43" s="22"/>
      <c r="E43" s="22"/>
      <c r="F43" s="22"/>
      <c r="G43" s="22"/>
      <c r="H43" s="22"/>
      <c r="I43" s="22"/>
      <c r="J43" s="22"/>
      <c r="K43" s="22"/>
      <c r="L43" s="22"/>
      <c r="M43" s="22"/>
      <c r="N43" s="22"/>
      <c r="O43" s="22"/>
    </row>
    <row r="44" spans="2:15">
      <c r="B44" s="22"/>
      <c r="C44" s="22"/>
      <c r="D44" s="22"/>
      <c r="E44" s="22"/>
      <c r="F44" s="22"/>
      <c r="G44" s="22"/>
      <c r="H44" s="22"/>
      <c r="I44" s="22"/>
      <c r="J44" s="22"/>
      <c r="K44" s="22"/>
      <c r="L44" s="22"/>
      <c r="M44" s="22"/>
      <c r="N44" s="22"/>
      <c r="O44" s="22"/>
    </row>
    <row r="45" spans="2:15">
      <c r="B45" s="22"/>
      <c r="C45" s="22"/>
      <c r="D45" s="22"/>
      <c r="E45" s="22"/>
      <c r="F45" s="22"/>
      <c r="G45" s="22"/>
      <c r="H45" s="22"/>
      <c r="I45" s="22"/>
      <c r="J45" s="22"/>
      <c r="K45" s="22"/>
      <c r="L45" s="22"/>
      <c r="M45" s="22"/>
      <c r="N45" s="22"/>
      <c r="O45" s="22"/>
    </row>
    <row r="46" spans="2:15">
      <c r="B46" s="22"/>
      <c r="C46" s="22"/>
      <c r="D46" s="22"/>
      <c r="E46" s="22"/>
      <c r="F46" s="22"/>
      <c r="G46" s="22"/>
      <c r="H46" s="22"/>
      <c r="I46" s="22"/>
      <c r="J46" s="22"/>
      <c r="K46" s="22"/>
      <c r="L46" s="22"/>
      <c r="M46" s="22"/>
      <c r="N46" s="22"/>
      <c r="O46" s="22"/>
    </row>
    <row r="47" spans="2:15">
      <c r="B47" s="22"/>
      <c r="C47" s="22"/>
      <c r="D47" s="22"/>
      <c r="E47" s="22"/>
      <c r="F47" s="22"/>
      <c r="G47" s="22"/>
      <c r="H47" s="22"/>
      <c r="I47" s="22"/>
      <c r="J47" s="22"/>
      <c r="K47" s="22"/>
      <c r="L47" s="22"/>
      <c r="M47" s="22"/>
      <c r="N47" s="22"/>
      <c r="O47" s="22"/>
    </row>
    <row r="48" spans="2:15">
      <c r="B48" s="22"/>
      <c r="C48" s="22"/>
      <c r="D48" s="22"/>
      <c r="E48" s="22"/>
      <c r="F48" s="22"/>
      <c r="G48" s="22"/>
      <c r="H48" s="22"/>
      <c r="I48" s="22"/>
      <c r="J48" s="22"/>
      <c r="K48" s="22"/>
      <c r="L48" s="22"/>
      <c r="M48" s="22"/>
      <c r="N48" s="22"/>
      <c r="O48" s="22"/>
    </row>
    <row r="49" spans="2:15">
      <c r="B49" s="22"/>
      <c r="C49" s="22"/>
      <c r="D49" s="22"/>
      <c r="E49" s="22"/>
      <c r="F49" s="22"/>
      <c r="G49" s="22"/>
      <c r="H49" s="22"/>
      <c r="I49" s="22"/>
      <c r="J49" s="22"/>
      <c r="K49" s="22"/>
      <c r="L49" s="22"/>
      <c r="M49" s="22"/>
      <c r="N49" s="22"/>
      <c r="O49" s="22"/>
    </row>
    <row r="50" spans="2:15">
      <c r="B50" s="22"/>
      <c r="C50" s="22"/>
      <c r="D50" s="22"/>
      <c r="E50" s="22"/>
      <c r="F50" s="22"/>
      <c r="G50" s="22"/>
      <c r="H50" s="22"/>
      <c r="I50" s="22"/>
      <c r="J50" s="22"/>
      <c r="K50" s="22"/>
      <c r="L50" s="22"/>
      <c r="M50" s="22"/>
      <c r="N50" s="22"/>
      <c r="O50" s="22"/>
    </row>
    <row r="51" spans="2:15">
      <c r="B51" s="22"/>
      <c r="C51" s="22"/>
      <c r="D51" s="22"/>
      <c r="E51" s="22"/>
      <c r="F51" s="22"/>
      <c r="G51" s="22"/>
      <c r="H51" s="22"/>
      <c r="I51" s="22"/>
      <c r="J51" s="22"/>
      <c r="K51" s="22"/>
      <c r="L51" s="22"/>
      <c r="M51" s="22"/>
      <c r="N51" s="22"/>
      <c r="O51" s="22"/>
    </row>
    <row r="52" spans="2:15">
      <c r="B52" s="22"/>
      <c r="C52" s="22"/>
      <c r="D52" s="22"/>
      <c r="E52" s="22"/>
      <c r="F52" s="22"/>
      <c r="G52" s="22"/>
      <c r="H52" s="22"/>
      <c r="I52" s="22"/>
      <c r="J52" s="22"/>
      <c r="K52" s="22"/>
      <c r="L52" s="22"/>
      <c r="M52" s="22"/>
      <c r="N52" s="22"/>
      <c r="O52" s="22"/>
    </row>
    <row r="53" spans="2:15">
      <c r="B53" s="22"/>
      <c r="C53" s="22"/>
      <c r="D53" s="22"/>
      <c r="E53" s="22"/>
      <c r="F53" s="22"/>
      <c r="G53" s="22"/>
      <c r="H53" s="22"/>
      <c r="I53" s="22"/>
      <c r="J53" s="22"/>
      <c r="K53" s="22"/>
      <c r="L53" s="22"/>
      <c r="M53" s="22"/>
      <c r="N53" s="22"/>
      <c r="O53" s="22"/>
    </row>
    <row r="54" spans="2:15">
      <c r="B54" s="22"/>
      <c r="C54" s="22"/>
      <c r="D54" s="22"/>
      <c r="E54" s="22"/>
      <c r="F54" s="22"/>
      <c r="G54" s="22"/>
      <c r="H54" s="22"/>
      <c r="I54" s="22"/>
      <c r="J54" s="22"/>
      <c r="K54" s="22"/>
      <c r="L54" s="22"/>
      <c r="M54" s="22"/>
      <c r="N54" s="22"/>
      <c r="O54" s="22"/>
    </row>
    <row r="55" spans="2:15">
      <c r="B55" s="22"/>
      <c r="C55" s="22"/>
      <c r="D55" s="22"/>
      <c r="E55" s="22"/>
      <c r="F55" s="22"/>
      <c r="G55" s="22"/>
      <c r="H55" s="22"/>
      <c r="I55" s="22"/>
      <c r="J55" s="22"/>
      <c r="K55" s="22"/>
      <c r="L55" s="22"/>
      <c r="M55" s="22"/>
      <c r="N55" s="22"/>
      <c r="O55" s="22"/>
    </row>
    <row r="56" spans="2:15">
      <c r="B56" s="22"/>
      <c r="C56" s="22"/>
      <c r="D56" s="22"/>
      <c r="E56" s="22"/>
      <c r="F56" s="22"/>
      <c r="G56" s="22"/>
      <c r="H56" s="22"/>
      <c r="I56" s="22"/>
      <c r="J56" s="22"/>
      <c r="K56" s="22"/>
      <c r="L56" s="22"/>
      <c r="M56" s="22"/>
      <c r="N56" s="22"/>
      <c r="O56" s="22"/>
    </row>
    <row r="57" spans="2:15">
      <c r="B57" s="22"/>
      <c r="C57" s="22"/>
      <c r="D57" s="22"/>
      <c r="E57" s="22"/>
      <c r="F57" s="22"/>
      <c r="G57" s="22"/>
      <c r="H57" s="22"/>
      <c r="I57" s="22"/>
      <c r="J57" s="22"/>
      <c r="K57" s="22"/>
      <c r="L57" s="22"/>
      <c r="M57" s="22"/>
      <c r="N57" s="22"/>
      <c r="O57" s="22"/>
    </row>
    <row r="58" spans="2:15">
      <c r="B58" s="22"/>
      <c r="C58" s="22"/>
      <c r="D58" s="22"/>
      <c r="E58" s="22"/>
      <c r="F58" s="22"/>
      <c r="G58" s="22"/>
      <c r="H58" s="22"/>
      <c r="I58" s="22"/>
      <c r="J58" s="22"/>
      <c r="K58" s="22"/>
      <c r="L58" s="22"/>
      <c r="M58" s="22"/>
      <c r="N58" s="22"/>
      <c r="O58" s="22"/>
    </row>
    <row r="59" spans="2:15">
      <c r="B59" s="22"/>
      <c r="C59" s="22"/>
      <c r="D59" s="22"/>
      <c r="E59" s="22"/>
      <c r="F59" s="22"/>
      <c r="G59" s="22"/>
      <c r="H59" s="22"/>
      <c r="I59" s="22"/>
      <c r="J59" s="22"/>
      <c r="K59" s="22"/>
      <c r="L59" s="22"/>
      <c r="M59" s="22"/>
      <c r="N59" s="22"/>
      <c r="O59" s="22"/>
    </row>
    <row r="60" spans="2:15">
      <c r="B60" s="22"/>
      <c r="C60" s="22"/>
      <c r="D60" s="22"/>
      <c r="E60" s="22"/>
      <c r="F60" s="22"/>
      <c r="G60" s="22"/>
      <c r="H60" s="22"/>
      <c r="I60" s="22"/>
      <c r="J60" s="22"/>
      <c r="K60" s="22"/>
      <c r="L60" s="22"/>
      <c r="M60" s="22"/>
      <c r="N60" s="22"/>
      <c r="O60" s="22"/>
    </row>
    <row r="61" spans="2:15">
      <c r="B61" s="22"/>
      <c r="C61" s="22"/>
      <c r="D61" s="22"/>
      <c r="E61" s="22"/>
      <c r="F61" s="22"/>
      <c r="G61" s="22"/>
      <c r="H61" s="22"/>
      <c r="I61" s="22"/>
      <c r="J61" s="22"/>
      <c r="K61" s="22"/>
      <c r="L61" s="22"/>
      <c r="M61" s="22"/>
      <c r="N61" s="22"/>
      <c r="O61" s="22"/>
    </row>
    <row r="62" spans="2:15">
      <c r="B62" s="22"/>
      <c r="C62" s="22"/>
      <c r="D62" s="22"/>
      <c r="E62" s="22"/>
      <c r="F62" s="22"/>
      <c r="G62" s="22"/>
      <c r="H62" s="22"/>
      <c r="I62" s="22"/>
      <c r="J62" s="22"/>
      <c r="K62" s="22"/>
      <c r="L62" s="22"/>
      <c r="M62" s="22"/>
      <c r="N62" s="22"/>
      <c r="O62" s="22"/>
    </row>
    <row r="63" spans="2:15">
      <c r="B63" s="22"/>
      <c r="C63" s="22"/>
      <c r="D63" s="22"/>
      <c r="E63" s="22"/>
      <c r="F63" s="22"/>
      <c r="G63" s="22"/>
      <c r="H63" s="22"/>
      <c r="I63" s="22"/>
      <c r="J63" s="22"/>
      <c r="K63" s="22"/>
      <c r="L63" s="22"/>
      <c r="M63" s="22"/>
      <c r="N63" s="22"/>
      <c r="O63" s="22"/>
    </row>
    <row r="64" spans="2:15">
      <c r="B64" s="22"/>
      <c r="C64" s="22"/>
      <c r="D64" s="22"/>
      <c r="E64" s="22"/>
      <c r="F64" s="22"/>
      <c r="G64" s="22"/>
      <c r="H64" s="22"/>
      <c r="I64" s="22"/>
      <c r="J64" s="22"/>
      <c r="K64" s="22"/>
      <c r="L64" s="22"/>
      <c r="M64" s="22"/>
      <c r="N64" s="22"/>
      <c r="O64" s="22"/>
    </row>
    <row r="65" spans="2:15">
      <c r="B65" s="22"/>
      <c r="C65" s="22"/>
      <c r="D65" s="22"/>
      <c r="E65" s="22"/>
      <c r="F65" s="22"/>
      <c r="G65" s="22"/>
      <c r="H65" s="22"/>
      <c r="I65" s="22"/>
      <c r="J65" s="22"/>
      <c r="K65" s="22"/>
      <c r="L65" s="22"/>
      <c r="M65" s="22"/>
      <c r="N65" s="22"/>
      <c r="O65" s="22"/>
    </row>
  </sheetData>
  <pageMargins left="0.35186274509803922" right="0.32333333333333331" top="0.97950980392156861" bottom="0.52303921568627454" header="0.31496062992125984" footer="0.31496062992125984"/>
  <pageSetup paperSize="9" scale="97" orientation="portrait" r:id="rId1"/>
  <headerFoot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64"/>
  <sheetViews>
    <sheetView showGridLines="0" view="pageBreakPreview" zoomScale="115" zoomScaleNormal="100" zoomScaleSheetLayoutView="115" zoomScalePageLayoutView="115" workbookViewId="0">
      <selection activeCell="K7" sqref="K7"/>
    </sheetView>
  </sheetViews>
  <sheetFormatPr defaultColWidth="9.28515625" defaultRowHeight="10.199999999999999"/>
  <cols>
    <col min="1" max="1" width="16" style="40" customWidth="1"/>
    <col min="2" max="3" width="11" style="40" customWidth="1"/>
    <col min="4" max="6" width="13.7109375" style="40" customWidth="1"/>
    <col min="7" max="7" width="9.28515625" style="40"/>
    <col min="8" max="8" width="13.28515625" style="40" customWidth="1"/>
    <col min="9" max="9" width="13.140625" style="40" customWidth="1"/>
    <col min="10" max="10" width="11.7109375" style="40" customWidth="1"/>
    <col min="11" max="11" width="9.28515625" style="538"/>
    <col min="12" max="12" width="18.7109375" style="240" bestFit="1" customWidth="1"/>
    <col min="13" max="14" width="9.28515625" style="240"/>
    <col min="15" max="16" width="9.28515625" style="538"/>
    <col min="17" max="17" width="9.28515625" style="533"/>
    <col min="18" max="16384" width="9.28515625" style="40"/>
  </cols>
  <sheetData>
    <row r="2" spans="1:17" ht="16.5" customHeight="1">
      <c r="A2" s="806" t="s">
        <v>757</v>
      </c>
      <c r="B2" s="806"/>
      <c r="C2" s="806"/>
      <c r="D2" s="806"/>
      <c r="E2" s="806"/>
      <c r="F2" s="806"/>
      <c r="G2" s="806"/>
      <c r="H2" s="806"/>
      <c r="I2" s="806"/>
      <c r="J2" s="806"/>
      <c r="K2" s="550"/>
    </row>
    <row r="3" spans="1:17" ht="12" customHeight="1">
      <c r="A3" s="129"/>
      <c r="B3" s="177"/>
      <c r="C3" s="187"/>
      <c r="D3" s="188"/>
      <c r="E3" s="188"/>
      <c r="F3" s="189"/>
      <c r="G3" s="190"/>
      <c r="H3" s="190"/>
      <c r="I3" s="152"/>
      <c r="J3" s="189"/>
    </row>
    <row r="4" spans="1:17" ht="11.25" customHeight="1">
      <c r="A4" s="159" t="s">
        <v>343</v>
      </c>
      <c r="B4" s="177"/>
      <c r="C4" s="187"/>
      <c r="D4" s="188"/>
      <c r="E4" s="188"/>
      <c r="F4" s="189"/>
      <c r="G4" s="190"/>
      <c r="H4" s="190"/>
      <c r="I4" s="152"/>
      <c r="J4" s="189"/>
      <c r="K4" s="537"/>
    </row>
    <row r="5" spans="1:17" ht="11.25" customHeight="1">
      <c r="A5" s="159"/>
      <c r="B5" s="177"/>
      <c r="C5" s="187"/>
      <c r="D5" s="188"/>
      <c r="E5" s="188"/>
      <c r="F5" s="189"/>
      <c r="G5" s="190"/>
      <c r="H5" s="190"/>
      <c r="I5" s="152"/>
      <c r="J5" s="189"/>
      <c r="K5" s="537"/>
    </row>
    <row r="6" spans="1:17" ht="25.2" customHeight="1">
      <c r="A6" s="648" t="s">
        <v>532</v>
      </c>
      <c r="B6" s="649" t="s">
        <v>164</v>
      </c>
      <c r="C6" s="649" t="s">
        <v>533</v>
      </c>
      <c r="D6" s="649" t="s">
        <v>534</v>
      </c>
      <c r="E6" s="649" t="s">
        <v>535</v>
      </c>
      <c r="F6" s="650" t="s">
        <v>536</v>
      </c>
      <c r="G6" s="651" t="s">
        <v>537</v>
      </c>
      <c r="H6" s="651" t="s">
        <v>538</v>
      </c>
      <c r="I6" s="652" t="s">
        <v>539</v>
      </c>
      <c r="K6" s="537"/>
    </row>
    <row r="7" spans="1:17" ht="21.6" customHeight="1">
      <c r="A7" s="653" t="s">
        <v>95</v>
      </c>
      <c r="B7" s="654" t="s">
        <v>543</v>
      </c>
      <c r="C7" s="654" t="s">
        <v>42</v>
      </c>
      <c r="D7" s="654" t="s">
        <v>716</v>
      </c>
      <c r="E7" s="654" t="s">
        <v>717</v>
      </c>
      <c r="F7" s="655" t="s">
        <v>535</v>
      </c>
      <c r="G7" s="656">
        <v>10.5</v>
      </c>
      <c r="H7" s="657">
        <v>12.23</v>
      </c>
      <c r="I7" s="673" t="s">
        <v>718</v>
      </c>
      <c r="K7" s="707"/>
    </row>
    <row r="8" spans="1:17" ht="21.6" customHeight="1">
      <c r="A8" s="653" t="s">
        <v>90</v>
      </c>
      <c r="B8" s="654" t="s">
        <v>543</v>
      </c>
      <c r="C8" s="654" t="s">
        <v>42</v>
      </c>
      <c r="D8" s="654" t="s">
        <v>716</v>
      </c>
      <c r="E8" s="654" t="s">
        <v>1019</v>
      </c>
      <c r="F8" s="655" t="s">
        <v>535</v>
      </c>
      <c r="G8" s="656">
        <v>13.8</v>
      </c>
      <c r="H8" s="657">
        <v>2.1520000000000001</v>
      </c>
      <c r="I8" s="673">
        <v>45716</v>
      </c>
      <c r="K8" s="707"/>
    </row>
    <row r="9" spans="1:17" ht="11.25" customHeight="1">
      <c r="A9" s="658" t="s">
        <v>40</v>
      </c>
      <c r="B9" s="659"/>
      <c r="C9" s="659"/>
      <c r="D9" s="659"/>
      <c r="E9" s="660"/>
      <c r="F9" s="661"/>
      <c r="G9" s="662"/>
      <c r="H9" s="663">
        <f>+SUM(H7:H8)</f>
        <v>14.382000000000001</v>
      </c>
      <c r="I9" s="664"/>
      <c r="K9" s="537"/>
    </row>
    <row r="10" spans="1:17" s="191" customFormat="1" ht="13.2" customHeight="1">
      <c r="A10" s="748"/>
      <c r="H10" s="190"/>
      <c r="I10" s="523"/>
      <c r="J10" s="524"/>
      <c r="K10" s="537"/>
      <c r="L10" s="532"/>
      <c r="M10" s="532"/>
      <c r="N10" s="532"/>
      <c r="O10" s="552"/>
      <c r="P10" s="552"/>
      <c r="Q10" s="534"/>
    </row>
    <row r="11" spans="1:17" s="191" customFormat="1" ht="13.2" customHeight="1">
      <c r="H11" s="523"/>
      <c r="I11" s="523"/>
      <c r="J11" s="524"/>
      <c r="K11" s="537"/>
      <c r="L11" s="532"/>
      <c r="M11" s="532"/>
      <c r="N11" s="532"/>
      <c r="O11" s="552"/>
      <c r="P11" s="552"/>
      <c r="Q11" s="534"/>
    </row>
    <row r="12" spans="1:17" s="191" customFormat="1" ht="13.95" customHeight="1">
      <c r="A12" s="455"/>
      <c r="B12" s="456"/>
      <c r="C12" s="456"/>
      <c r="D12" s="456"/>
      <c r="E12" s="456"/>
      <c r="F12" s="457"/>
      <c r="G12" s="458"/>
      <c r="H12" s="459"/>
      <c r="I12" s="459"/>
      <c r="J12" s="460"/>
      <c r="K12" s="551"/>
      <c r="L12" s="532"/>
      <c r="M12" s="532"/>
      <c r="N12" s="532"/>
      <c r="O12" s="552"/>
      <c r="P12" s="552"/>
      <c r="Q12" s="534"/>
    </row>
    <row r="13" spans="1:17" ht="11.25" customHeight="1">
      <c r="A13" s="159" t="s">
        <v>763</v>
      </c>
      <c r="B13" s="124"/>
      <c r="C13" s="192"/>
      <c r="D13" s="124"/>
      <c r="E13" s="124"/>
      <c r="F13" s="124"/>
      <c r="G13" s="124"/>
      <c r="H13" s="124"/>
      <c r="I13" s="124"/>
      <c r="J13" s="124"/>
      <c r="K13" s="553"/>
    </row>
    <row r="14" spans="1:17" ht="11.25" customHeight="1">
      <c r="B14" s="124"/>
      <c r="C14" s="192"/>
      <c r="D14" s="124"/>
      <c r="E14" s="124"/>
      <c r="F14" s="124"/>
      <c r="G14" s="124"/>
      <c r="H14" s="124"/>
      <c r="I14" s="124"/>
      <c r="J14" s="124"/>
      <c r="K14" s="553"/>
    </row>
    <row r="15" spans="1:17" ht="21" customHeight="1">
      <c r="B15" s="804" t="s">
        <v>764</v>
      </c>
      <c r="C15" s="805"/>
      <c r="D15" s="307" t="str">
        <f>UPPER('1. Resumen'!Q4)&amp;" "&amp;'1. Resumen'!Q5</f>
        <v>FEBRERO 2025</v>
      </c>
      <c r="E15" s="307" t="str">
        <f>UPPER('1. Resumen'!Q4)&amp;" "&amp;'1. Resumen'!Q5-1</f>
        <v>FEBRERO 2024</v>
      </c>
      <c r="F15" s="308" t="s">
        <v>168</v>
      </c>
      <c r="G15" s="193"/>
      <c r="H15" s="193"/>
      <c r="I15" s="124"/>
      <c r="J15" s="124"/>
    </row>
    <row r="16" spans="1:17" ht="9.75" customHeight="1">
      <c r="B16" s="807" t="s">
        <v>165</v>
      </c>
      <c r="C16" s="808"/>
      <c r="D16" s="298">
        <v>5252.7469330000004</v>
      </c>
      <c r="E16" s="299">
        <v>5161.3098199999986</v>
      </c>
      <c r="F16" s="525">
        <f>+D16/E16-1</f>
        <v>1.7715873719822861E-2</v>
      </c>
      <c r="G16" s="193"/>
      <c r="H16" s="193"/>
      <c r="I16" s="124"/>
      <c r="J16" s="124"/>
      <c r="K16" s="553"/>
    </row>
    <row r="17" spans="2:15" ht="9.75" customHeight="1">
      <c r="B17" s="809" t="s">
        <v>166</v>
      </c>
      <c r="C17" s="810"/>
      <c r="D17" s="300">
        <v>7054.3574500000004</v>
      </c>
      <c r="E17" s="301">
        <v>6954.3690200000001</v>
      </c>
      <c r="F17" s="526">
        <f>+D17/E17-1</f>
        <v>1.4377786066923415E-2</v>
      </c>
      <c r="G17" s="194"/>
      <c r="H17" s="194"/>
      <c r="M17" s="535"/>
      <c r="N17" s="535"/>
      <c r="O17" s="554"/>
    </row>
    <row r="18" spans="2:15" ht="9.75" customHeight="1">
      <c r="B18" s="811" t="s">
        <v>167</v>
      </c>
      <c r="C18" s="812"/>
      <c r="D18" s="302">
        <v>1021.3</v>
      </c>
      <c r="E18" s="303">
        <v>708.6</v>
      </c>
      <c r="F18" s="527">
        <f>+D18/E18-1</f>
        <v>0.44129268981089464</v>
      </c>
      <c r="G18" s="194"/>
      <c r="H18" s="194"/>
    </row>
    <row r="19" spans="2:15" ht="9.75" customHeight="1">
      <c r="B19" s="813" t="s">
        <v>75</v>
      </c>
      <c r="C19" s="814"/>
      <c r="D19" s="304">
        <v>477.82499999999999</v>
      </c>
      <c r="E19" s="305">
        <v>282.27499999999998</v>
      </c>
      <c r="F19" s="528">
        <f>+D19/E19-1</f>
        <v>0.69276414843680811</v>
      </c>
      <c r="G19" s="194"/>
      <c r="H19" s="194"/>
    </row>
    <row r="20" spans="2:15" ht="10.5" customHeight="1">
      <c r="B20" s="802" t="s">
        <v>149</v>
      </c>
      <c r="C20" s="803"/>
      <c r="D20" s="306">
        <f>+SUM(D16:D19)</f>
        <v>13806.229383000002</v>
      </c>
      <c r="E20" s="306">
        <f>+SUM(E16:E19)</f>
        <v>13106.553839999999</v>
      </c>
      <c r="F20" s="529">
        <f>+D20/E20-1</f>
        <v>5.3383639325896404E-2</v>
      </c>
      <c r="G20" s="272"/>
      <c r="H20" s="194"/>
    </row>
    <row r="21" spans="2:15" ht="11.25" customHeight="1">
      <c r="B21" s="232" t="str">
        <f>"Cuadro N° 2: Comparación de la potencia efectiva en el SEIN al término de "&amp;'1. Resumen'!Q4&amp;" "&amp;'1. Resumen'!Q5-1&amp;" y "&amp;'1. Resumen'!Q4&amp;" "&amp;'1. Resumen'!Q5</f>
        <v>Cuadro N° 2: Comparación de la potencia efectiva en el SEIN al término de febrero 2024 y febrero 2025</v>
      </c>
      <c r="C21" s="193"/>
      <c r="D21" s="193"/>
      <c r="E21" s="193"/>
      <c r="F21" s="193"/>
      <c r="G21" s="193"/>
      <c r="H21" s="193"/>
      <c r="I21" s="124"/>
      <c r="J21" s="124"/>
      <c r="K21" s="553"/>
    </row>
    <row r="22" spans="2:15" ht="9" customHeight="1">
      <c r="B22" s="232"/>
      <c r="C22" s="193"/>
      <c r="D22" s="193"/>
      <c r="E22" s="193"/>
      <c r="F22" s="193"/>
      <c r="G22" s="193"/>
      <c r="H22" s="193"/>
      <c r="I22" s="124"/>
      <c r="J22" s="124"/>
      <c r="K22" s="553"/>
    </row>
    <row r="23" spans="2:15" ht="9" customHeight="1">
      <c r="B23" s="232"/>
      <c r="C23" s="193"/>
      <c r="D23" s="193"/>
      <c r="E23" s="193"/>
      <c r="F23" s="193"/>
      <c r="G23" s="193"/>
      <c r="H23" s="193"/>
      <c r="I23" s="124"/>
      <c r="J23" s="124"/>
      <c r="K23" s="553"/>
    </row>
    <row r="24" spans="2:15" ht="9" customHeight="1">
      <c r="B24" s="232"/>
      <c r="C24" s="193"/>
      <c r="D24" s="193"/>
      <c r="E24" s="193"/>
      <c r="F24" s="193"/>
      <c r="G24" s="193"/>
      <c r="H24" s="193"/>
      <c r="I24" s="124"/>
      <c r="J24" s="124"/>
      <c r="K24" s="553"/>
    </row>
    <row r="25" spans="2:15" ht="9" customHeight="1">
      <c r="B25" s="232"/>
      <c r="C25" s="193"/>
      <c r="D25" s="193"/>
      <c r="E25" s="193"/>
      <c r="F25" s="193"/>
      <c r="G25" s="193"/>
      <c r="H25" s="193"/>
      <c r="I25" s="124"/>
      <c r="J25" s="124"/>
      <c r="K25" s="553"/>
    </row>
    <row r="26" spans="2:15" ht="9" customHeight="1">
      <c r="B26" s="232"/>
      <c r="C26" s="193"/>
      <c r="D26" s="193"/>
      <c r="E26" s="193"/>
      <c r="F26" s="193"/>
      <c r="G26" s="193"/>
      <c r="H26" s="193"/>
      <c r="I26" s="124"/>
      <c r="J26" s="124"/>
      <c r="K26" s="553"/>
    </row>
    <row r="27" spans="2:15" ht="9" customHeight="1">
      <c r="B27" s="232"/>
      <c r="C27" s="193"/>
      <c r="D27" s="193"/>
      <c r="E27" s="193"/>
      <c r="F27" s="193"/>
      <c r="G27" s="193"/>
      <c r="H27" s="193"/>
      <c r="I27" s="124"/>
      <c r="J27" s="124"/>
      <c r="K27" s="553"/>
    </row>
    <row r="28" spans="2:15" ht="9" customHeight="1">
      <c r="B28" s="232"/>
      <c r="C28" s="193"/>
      <c r="D28" s="193"/>
      <c r="E28" s="193"/>
      <c r="F28" s="193"/>
      <c r="G28" s="193"/>
      <c r="H28" s="193"/>
      <c r="I28" s="124"/>
      <c r="J28" s="124"/>
      <c r="K28" s="553"/>
    </row>
    <row r="29" spans="2:15" ht="9" customHeight="1">
      <c r="B29" s="232"/>
      <c r="C29" s="193"/>
      <c r="D29" s="193"/>
      <c r="E29" s="193"/>
      <c r="F29" s="193"/>
      <c r="G29" s="193"/>
      <c r="H29" s="193"/>
      <c r="I29" s="124"/>
      <c r="J29" s="124"/>
      <c r="K29" s="553"/>
    </row>
    <row r="30" spans="2:15" ht="9" customHeight="1">
      <c r="B30" s="232"/>
      <c r="C30" s="193"/>
      <c r="D30" s="193"/>
      <c r="E30" s="193"/>
      <c r="F30" s="193"/>
      <c r="G30" s="193"/>
      <c r="H30" s="193"/>
      <c r="I30" s="124"/>
      <c r="J30" s="124"/>
      <c r="K30" s="553"/>
    </row>
    <row r="31" spans="2:15" ht="9" customHeight="1">
      <c r="B31" s="232"/>
      <c r="C31" s="193"/>
      <c r="D31" s="193"/>
      <c r="E31" s="193"/>
      <c r="F31" s="193"/>
      <c r="G31" s="193"/>
      <c r="H31" s="193"/>
      <c r="I31" s="124"/>
      <c r="J31" s="124"/>
      <c r="K31" s="553"/>
    </row>
    <row r="32" spans="2:15" ht="9" customHeight="1">
      <c r="B32" s="232"/>
      <c r="C32" s="193"/>
      <c r="D32" s="193"/>
      <c r="E32" s="193"/>
      <c r="F32" s="193"/>
      <c r="G32" s="193"/>
      <c r="H32" s="193"/>
      <c r="I32" s="124"/>
      <c r="J32" s="124"/>
      <c r="K32" s="553"/>
    </row>
    <row r="33" spans="2:11" ht="9" customHeight="1">
      <c r="B33" s="232"/>
      <c r="C33" s="193"/>
      <c r="D33" s="193"/>
      <c r="E33" s="193"/>
      <c r="F33" s="193"/>
      <c r="G33" s="193"/>
      <c r="H33" s="193"/>
      <c r="I33" s="124"/>
      <c r="J33" s="124"/>
      <c r="K33" s="553"/>
    </row>
    <row r="34" spans="2:11" ht="9" customHeight="1">
      <c r="B34" s="232"/>
      <c r="C34" s="193"/>
      <c r="D34" s="193"/>
      <c r="E34" s="193"/>
      <c r="F34" s="193"/>
      <c r="G34" s="193"/>
      <c r="H34" s="193"/>
      <c r="I34" s="124"/>
      <c r="J34" s="124"/>
      <c r="K34" s="553"/>
    </row>
    <row r="35" spans="2:11" ht="9" customHeight="1">
      <c r="B35" s="232"/>
      <c r="C35" s="193"/>
      <c r="D35" s="193"/>
      <c r="E35" s="193"/>
      <c r="F35" s="193"/>
      <c r="G35" s="193"/>
      <c r="H35" s="193"/>
      <c r="I35" s="124"/>
      <c r="J35" s="124"/>
      <c r="K35" s="553"/>
    </row>
    <row r="36" spans="2:11" ht="9" customHeight="1">
      <c r="B36" s="232"/>
      <c r="C36" s="193"/>
      <c r="D36" s="193"/>
      <c r="E36" s="193"/>
      <c r="F36" s="193"/>
      <c r="G36" s="193"/>
      <c r="H36" s="193"/>
      <c r="I36" s="124"/>
      <c r="J36" s="124"/>
      <c r="K36" s="553"/>
    </row>
    <row r="37" spans="2:11" ht="9" customHeight="1">
      <c r="B37" s="232"/>
      <c r="C37" s="193"/>
      <c r="D37" s="193"/>
      <c r="E37" s="193"/>
      <c r="F37" s="193"/>
      <c r="G37" s="193"/>
      <c r="H37" s="193"/>
      <c r="I37" s="124"/>
      <c r="J37" s="124"/>
      <c r="K37" s="553"/>
    </row>
    <row r="38" spans="2:11" ht="9" customHeight="1">
      <c r="B38" s="232"/>
      <c r="C38" s="193"/>
      <c r="D38" s="193"/>
      <c r="E38" s="193"/>
      <c r="F38" s="193"/>
      <c r="G38" s="193"/>
      <c r="H38" s="193"/>
      <c r="I38" s="124"/>
      <c r="J38" s="124"/>
      <c r="K38" s="553"/>
    </row>
    <row r="39" spans="2:11" ht="9" customHeight="1">
      <c r="B39" s="232"/>
      <c r="C39" s="193"/>
      <c r="D39" s="193"/>
      <c r="E39" s="193"/>
      <c r="F39" s="193"/>
      <c r="G39" s="193"/>
      <c r="H39" s="193"/>
      <c r="I39" s="124"/>
      <c r="J39" s="124"/>
      <c r="K39" s="553"/>
    </row>
    <row r="40" spans="2:11" ht="9" customHeight="1">
      <c r="B40" s="232"/>
      <c r="C40" s="193"/>
      <c r="D40" s="193"/>
      <c r="E40" s="193"/>
      <c r="F40" s="193"/>
      <c r="G40" s="193"/>
      <c r="H40" s="193"/>
      <c r="I40" s="124"/>
      <c r="J40" s="124"/>
      <c r="K40" s="553"/>
    </row>
    <row r="41" spans="2:11" ht="9" customHeight="1">
      <c r="B41" s="232"/>
      <c r="C41" s="193"/>
      <c r="D41" s="193"/>
      <c r="E41" s="193"/>
      <c r="F41" s="193"/>
      <c r="G41" s="193"/>
      <c r="H41" s="193"/>
      <c r="I41" s="124"/>
      <c r="J41" s="124"/>
      <c r="K41" s="553"/>
    </row>
    <row r="42" spans="2:11" ht="9" customHeight="1">
      <c r="B42" s="232"/>
      <c r="C42" s="193"/>
      <c r="D42" s="193"/>
      <c r="E42" s="193"/>
      <c r="F42" s="193"/>
      <c r="G42" s="193"/>
      <c r="H42" s="193"/>
      <c r="I42" s="124"/>
      <c r="J42" s="124"/>
      <c r="K42" s="553"/>
    </row>
    <row r="43" spans="2:11" ht="9" customHeight="1">
      <c r="B43" s="232"/>
      <c r="C43" s="193"/>
      <c r="D43" s="193"/>
      <c r="E43" s="193"/>
      <c r="F43" s="193"/>
      <c r="G43" s="193"/>
      <c r="H43" s="193"/>
      <c r="I43" s="124"/>
      <c r="J43" s="124"/>
      <c r="K43" s="553"/>
    </row>
    <row r="44" spans="2:11" ht="9" customHeight="1">
      <c r="B44" s="232"/>
      <c r="C44" s="193"/>
      <c r="D44" s="193"/>
      <c r="E44" s="193"/>
      <c r="F44" s="193"/>
      <c r="G44" s="193"/>
      <c r="H44" s="193"/>
      <c r="I44" s="124"/>
      <c r="J44" s="124"/>
      <c r="K44" s="553"/>
    </row>
    <row r="45" spans="2:11" ht="9" customHeight="1">
      <c r="B45" s="232"/>
      <c r="C45" s="193"/>
      <c r="D45" s="193"/>
      <c r="E45" s="193"/>
      <c r="F45" s="193"/>
      <c r="G45" s="193"/>
      <c r="H45" s="193"/>
      <c r="I45" s="124"/>
      <c r="J45" s="124"/>
      <c r="K45" s="553"/>
    </row>
    <row r="46" spans="2:11" ht="9" customHeight="1">
      <c r="B46" s="232"/>
      <c r="C46" s="193"/>
      <c r="D46" s="193"/>
      <c r="E46" s="193"/>
      <c r="F46" s="193"/>
      <c r="G46" s="193"/>
      <c r="H46" s="193"/>
      <c r="I46" s="124"/>
      <c r="J46" s="124"/>
      <c r="K46" s="553"/>
    </row>
    <row r="47" spans="2:11" ht="9" customHeight="1">
      <c r="B47" s="232"/>
      <c r="C47" s="193"/>
      <c r="D47" s="193"/>
      <c r="E47" s="193"/>
      <c r="F47" s="193"/>
      <c r="G47" s="193"/>
      <c r="H47" s="193"/>
      <c r="I47" s="124"/>
      <c r="J47" s="124"/>
      <c r="K47" s="553"/>
    </row>
    <row r="48" spans="2:11" ht="9" customHeight="1">
      <c r="B48" s="232"/>
      <c r="C48" s="193"/>
      <c r="D48" s="193"/>
      <c r="E48" s="193"/>
      <c r="F48" s="193"/>
      <c r="G48" s="193"/>
      <c r="H48" s="193"/>
      <c r="I48" s="124"/>
      <c r="J48" s="124"/>
      <c r="K48" s="553"/>
    </row>
    <row r="49" spans="1:11" ht="9" customHeight="1">
      <c r="B49" s="232"/>
      <c r="C49" s="193"/>
      <c r="D49" s="193"/>
      <c r="E49" s="193"/>
      <c r="F49" s="193"/>
      <c r="G49" s="193"/>
      <c r="H49" s="193"/>
      <c r="I49" s="124"/>
      <c r="J49" s="124"/>
      <c r="K49" s="553"/>
    </row>
    <row r="50" spans="1:11" ht="9" customHeight="1">
      <c r="B50" s="232"/>
      <c r="C50" s="193"/>
      <c r="D50" s="193"/>
      <c r="E50" s="193"/>
      <c r="F50" s="193"/>
      <c r="G50" s="193"/>
      <c r="H50" s="193"/>
      <c r="I50" s="124"/>
      <c r="J50" s="124"/>
      <c r="K50" s="553"/>
    </row>
    <row r="51" spans="1:11" ht="9" customHeight="1">
      <c r="B51" s="232"/>
      <c r="C51" s="193"/>
      <c r="D51" s="193"/>
      <c r="E51" s="193"/>
      <c r="F51" s="193"/>
      <c r="G51" s="193"/>
      <c r="H51" s="193"/>
      <c r="I51" s="124"/>
      <c r="J51" s="124"/>
      <c r="K51" s="553"/>
    </row>
    <row r="52" spans="1:11" ht="9" customHeight="1">
      <c r="B52" s="232"/>
      <c r="C52" s="193"/>
      <c r="D52" s="193"/>
      <c r="E52" s="193"/>
      <c r="F52" s="193"/>
      <c r="G52" s="193"/>
      <c r="H52" s="193"/>
      <c r="I52" s="124"/>
      <c r="J52" s="124"/>
      <c r="K52" s="553"/>
    </row>
    <row r="53" spans="1:11" ht="9" customHeight="1">
      <c r="B53" s="232"/>
      <c r="C53" s="193"/>
      <c r="D53" s="193"/>
      <c r="E53" s="193"/>
      <c r="F53" s="193"/>
      <c r="G53" s="193"/>
      <c r="H53" s="193"/>
      <c r="I53" s="124"/>
      <c r="J53" s="124"/>
      <c r="K53" s="553"/>
    </row>
    <row r="54" spans="1:11" ht="9" customHeight="1">
      <c r="B54" s="232"/>
      <c r="C54" s="193"/>
      <c r="D54" s="193"/>
      <c r="E54" s="193"/>
      <c r="F54" s="193"/>
      <c r="G54" s="193"/>
      <c r="H54" s="193"/>
      <c r="I54" s="124"/>
      <c r="J54" s="124"/>
      <c r="K54" s="553"/>
    </row>
    <row r="55" spans="1:11" ht="9" customHeight="1">
      <c r="B55" s="232"/>
      <c r="C55" s="193"/>
      <c r="D55" s="193"/>
      <c r="E55" s="193"/>
      <c r="F55" s="193"/>
      <c r="G55" s="193"/>
      <c r="H55" s="193"/>
      <c r="I55" s="124"/>
      <c r="J55" s="124"/>
      <c r="K55" s="553"/>
    </row>
    <row r="56" spans="1:11" ht="9" customHeight="1">
      <c r="B56" s="232"/>
      <c r="C56" s="193"/>
      <c r="D56" s="193"/>
      <c r="E56" s="193"/>
      <c r="F56" s="193"/>
      <c r="G56" s="193"/>
      <c r="H56" s="193"/>
      <c r="I56" s="124"/>
      <c r="J56" s="124"/>
      <c r="K56" s="553"/>
    </row>
    <row r="57" spans="1:11" ht="9" customHeight="1">
      <c r="B57" s="232"/>
      <c r="C57" s="193"/>
      <c r="D57" s="193"/>
      <c r="E57" s="193"/>
      <c r="F57" s="193"/>
      <c r="G57" s="193"/>
      <c r="H57" s="193"/>
      <c r="I57" s="124"/>
      <c r="J57" s="124"/>
      <c r="K57" s="553"/>
    </row>
    <row r="58" spans="1:11" ht="9" customHeight="1">
      <c r="B58" s="232"/>
      <c r="C58" s="193"/>
      <c r="D58" s="193"/>
      <c r="E58" s="193"/>
      <c r="F58" s="193"/>
      <c r="G58" s="193"/>
      <c r="H58" s="193"/>
      <c r="I58" s="124"/>
      <c r="J58" s="124"/>
      <c r="K58" s="553"/>
    </row>
    <row r="59" spans="1:11" ht="9" customHeight="1">
      <c r="B59" s="232"/>
      <c r="C59" s="193"/>
      <c r="D59" s="193"/>
      <c r="E59" s="193"/>
      <c r="F59" s="193"/>
      <c r="G59" s="193"/>
      <c r="H59" s="193"/>
      <c r="I59" s="124"/>
      <c r="J59" s="124"/>
      <c r="K59" s="553"/>
    </row>
    <row r="60" spans="1:11" ht="9" customHeight="1">
      <c r="B60" s="232"/>
      <c r="C60" s="193"/>
      <c r="D60" s="193"/>
      <c r="E60" s="193"/>
      <c r="F60" s="193"/>
      <c r="G60" s="193"/>
      <c r="H60" s="193"/>
      <c r="I60" s="124"/>
      <c r="J60" s="124"/>
      <c r="K60" s="553"/>
    </row>
    <row r="61" spans="1:11" ht="11.25" customHeight="1">
      <c r="B61" s="232"/>
      <c r="C61" s="193"/>
      <c r="D61" s="193"/>
      <c r="E61" s="193"/>
      <c r="F61" s="193"/>
      <c r="G61" s="193"/>
      <c r="H61" s="193"/>
      <c r="I61" s="124"/>
      <c r="J61" s="124"/>
      <c r="K61" s="553"/>
    </row>
    <row r="62" spans="1:11" ht="25.2" customHeight="1">
      <c r="A62" s="124"/>
      <c r="B62" s="124"/>
      <c r="C62" s="124"/>
      <c r="D62" s="124"/>
      <c r="E62" s="124"/>
      <c r="F62" s="124"/>
      <c r="G62" s="124"/>
      <c r="H62" s="124"/>
      <c r="I62" s="124"/>
      <c r="J62" s="124"/>
    </row>
    <row r="63" spans="1:11" ht="25.2" customHeight="1">
      <c r="A63" s="124"/>
      <c r="B63" s="124"/>
      <c r="C63" s="124"/>
      <c r="D63" s="124"/>
      <c r="E63" s="124"/>
      <c r="F63" s="124"/>
      <c r="G63" s="124"/>
      <c r="H63" s="124"/>
      <c r="I63" s="124"/>
      <c r="J63" s="124"/>
    </row>
    <row r="64" spans="1:11" ht="24" customHeight="1">
      <c r="A64" s="271" t="str">
        <f>"Gráfico N° 3: Comparación de la potencia instalada en el SEIN al término de "&amp;'1. Resumen'!Q4&amp;" "&amp;'1. Resumen'!Q5-1&amp;" y "&amp;'1. Resumen'!Q4&amp;" "&amp;'1. Resumen'!Q5</f>
        <v>Gráfico N° 3: Comparación de la potencia instalada en el SEIN al término de febrero 2024 y febrero 2025</v>
      </c>
      <c r="C64" s="124"/>
      <c r="D64" s="124"/>
      <c r="E64" s="124"/>
      <c r="F64" s="124"/>
      <c r="G64" s="124"/>
      <c r="H64" s="124"/>
      <c r="I64" s="124"/>
      <c r="J64" s="124"/>
    </row>
  </sheetData>
  <mergeCells count="7">
    <mergeCell ref="B20:C20"/>
    <mergeCell ref="B15:C15"/>
    <mergeCell ref="A2:J2"/>
    <mergeCell ref="B16:C16"/>
    <mergeCell ref="B17:C17"/>
    <mergeCell ref="B18:C18"/>
    <mergeCell ref="B19:C19"/>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D8" sqref="D8"/>
    </sheetView>
  </sheetViews>
  <sheetFormatPr defaultColWidth="9.28515625" defaultRowHeight="10.199999999999999"/>
  <cols>
    <col min="1" max="1" width="21" style="40" customWidth="1"/>
    <col min="2" max="4" width="10.42578125" style="40" bestFit="1" customWidth="1"/>
    <col min="5" max="5" width="10" style="40" customWidth="1"/>
    <col min="6" max="6" width="9.7109375" style="40" customWidth="1"/>
    <col min="7" max="8" width="10.42578125" style="40" bestFit="1" customWidth="1"/>
    <col min="9" max="9" width="10.140625" style="40" customWidth="1"/>
    <col min="10" max="10" width="10.28515625" style="40" customWidth="1"/>
    <col min="11" max="11" width="9.7109375" style="40" customWidth="1"/>
    <col min="12" max="13" width="9.28515625" style="40"/>
    <col min="14" max="14" width="17.7109375" style="40" bestFit="1" customWidth="1"/>
    <col min="15" max="16384" width="9.28515625" style="40"/>
  </cols>
  <sheetData>
    <row r="1" spans="1:14" ht="11.25" customHeight="1"/>
    <row r="2" spans="1:14" ht="16.5" customHeight="1">
      <c r="A2" s="819" t="s">
        <v>170</v>
      </c>
      <c r="B2" s="819"/>
      <c r="C2" s="819"/>
      <c r="D2" s="819"/>
      <c r="E2" s="819"/>
      <c r="F2" s="819"/>
      <c r="G2" s="819"/>
      <c r="H2" s="819"/>
      <c r="I2" s="819"/>
      <c r="J2" s="819"/>
      <c r="K2" s="819"/>
    </row>
    <row r="3" spans="1:14" ht="11.25" customHeight="1">
      <c r="A3" s="75"/>
      <c r="B3" s="76"/>
      <c r="C3" s="77"/>
      <c r="D3" s="78"/>
      <c r="E3" s="78"/>
      <c r="F3" s="78"/>
      <c r="G3" s="78"/>
      <c r="H3" s="75"/>
      <c r="I3" s="75"/>
      <c r="J3" s="75"/>
      <c r="K3" s="79"/>
    </row>
    <row r="4" spans="1:14" ht="11.25" customHeight="1">
      <c r="A4" s="820" t="str">
        <f>+"3.1. PRODUCCIÓN POR TIPO DE GENERACIÓN (GWh)"</f>
        <v>3.1. PRODUCCIÓN POR TIPO DE GENERACIÓN (GWh)</v>
      </c>
      <c r="B4" s="820"/>
      <c r="C4" s="820"/>
      <c r="D4" s="820"/>
      <c r="E4" s="820"/>
      <c r="F4" s="820"/>
      <c r="G4" s="820"/>
      <c r="H4" s="820"/>
      <c r="I4" s="820"/>
      <c r="J4" s="820"/>
      <c r="K4" s="820"/>
    </row>
    <row r="5" spans="1:14" ht="11.25" customHeight="1">
      <c r="A5" s="48"/>
      <c r="B5" s="80"/>
      <c r="C5" s="81"/>
      <c r="D5" s="82"/>
      <c r="E5" s="82"/>
      <c r="F5" s="82"/>
      <c r="G5" s="82"/>
      <c r="H5" s="83"/>
      <c r="I5" s="75"/>
      <c r="J5" s="75"/>
      <c r="K5" s="84"/>
    </row>
    <row r="6" spans="1:14" ht="18" customHeight="1">
      <c r="A6" s="817" t="s">
        <v>30</v>
      </c>
      <c r="B6" s="821" t="s">
        <v>31</v>
      </c>
      <c r="C6" s="822"/>
      <c r="D6" s="822"/>
      <c r="E6" s="822" t="s">
        <v>32</v>
      </c>
      <c r="F6" s="822"/>
      <c r="G6" s="823" t="str">
        <f>"Generación Acumulada a "&amp;'1. Resumen'!Q4</f>
        <v>Generación Acumulada a febrero</v>
      </c>
      <c r="H6" s="823"/>
      <c r="I6" s="823"/>
      <c r="J6" s="823"/>
      <c r="K6" s="824"/>
    </row>
    <row r="7" spans="1:14" ht="32.25" customHeight="1">
      <c r="A7" s="818"/>
      <c r="B7" s="309">
        <f>+C7-30</f>
        <v>45631</v>
      </c>
      <c r="C7" s="309">
        <f>+D7-28</f>
        <v>45661</v>
      </c>
      <c r="D7" s="309">
        <f>+'1. Resumen'!Q6</f>
        <v>45689</v>
      </c>
      <c r="E7" s="309">
        <f>+D7-365</f>
        <v>45324</v>
      </c>
      <c r="F7" s="310" t="s">
        <v>33</v>
      </c>
      <c r="G7" s="311">
        <v>2025</v>
      </c>
      <c r="H7" s="311">
        <v>2024</v>
      </c>
      <c r="I7" s="310" t="s">
        <v>756</v>
      </c>
      <c r="J7" s="311">
        <v>2023</v>
      </c>
      <c r="K7" s="312" t="s">
        <v>405</v>
      </c>
    </row>
    <row r="8" spans="1:14" ht="15" customHeight="1">
      <c r="A8" s="108" t="s">
        <v>34</v>
      </c>
      <c r="B8" s="255">
        <v>3257.4828253124988</v>
      </c>
      <c r="C8" s="253">
        <v>3394.5491486899982</v>
      </c>
      <c r="D8" s="256">
        <v>3040.4695091525</v>
      </c>
      <c r="E8" s="255">
        <v>3010.3477086375001</v>
      </c>
      <c r="F8" s="201">
        <f>IF(E8=0,"",D8/E8-1)</f>
        <v>1.0006086814680071E-2</v>
      </c>
      <c r="G8" s="263">
        <v>6434.9944057499988</v>
      </c>
      <c r="H8" s="253">
        <v>6292.8575625574986</v>
      </c>
      <c r="I8" s="205">
        <f>IF(H8=0,"",G8/H8-1)</f>
        <v>2.2587011032668913E-2</v>
      </c>
      <c r="J8" s="255">
        <v>5729.8286210275</v>
      </c>
      <c r="K8" s="201">
        <f>IF(J8=0,"",H8/J8-1)</f>
        <v>9.8262789128417793E-2</v>
      </c>
    </row>
    <row r="9" spans="1:14" ht="15" customHeight="1">
      <c r="A9" s="109" t="s">
        <v>35</v>
      </c>
      <c r="B9" s="257">
        <v>1415.5236778875003</v>
      </c>
      <c r="C9" s="211">
        <v>1340.5759118499998</v>
      </c>
      <c r="D9" s="258">
        <v>1535.6939760499999</v>
      </c>
      <c r="E9" s="257">
        <v>1576.2505524475002</v>
      </c>
      <c r="F9" s="202">
        <f t="shared" ref="F9" si="0">IF(E9=0,"",D9/E9-1)</f>
        <v>-2.5729777752989014E-2</v>
      </c>
      <c r="G9" s="264">
        <v>2876.2698878999995</v>
      </c>
      <c r="H9" s="211">
        <v>3029.7192086075006</v>
      </c>
      <c r="I9" s="206">
        <f t="shared" ref="I9:I15" si="1">IF(H9=0,"",G9/H9-1)</f>
        <v>-5.0648033742383802E-2</v>
      </c>
      <c r="J9" s="257">
        <v>3306.9034401050003</v>
      </c>
      <c r="K9" s="202">
        <f t="shared" ref="K9:K15" si="2">IF(J9=0,"",H9/J9-1)</f>
        <v>-8.3819874549677986E-2</v>
      </c>
    </row>
    <row r="10" spans="1:14" ht="15" customHeight="1">
      <c r="A10" s="110" t="s">
        <v>36</v>
      </c>
      <c r="B10" s="259">
        <v>373.9745685675</v>
      </c>
      <c r="C10" s="212">
        <v>322.40327469749997</v>
      </c>
      <c r="D10" s="260">
        <v>192.03353596250003</v>
      </c>
      <c r="E10" s="259">
        <v>233.49556601750001</v>
      </c>
      <c r="F10" s="203">
        <f>IF(E10=0,"",D10/E10-1)</f>
        <v>-0.17757095246893251</v>
      </c>
      <c r="G10" s="265">
        <v>514.43681065999999</v>
      </c>
      <c r="H10" s="212">
        <v>468.97834688750004</v>
      </c>
      <c r="I10" s="207">
        <f t="shared" si="1"/>
        <v>9.693083715740225E-2</v>
      </c>
      <c r="J10" s="259">
        <v>253.31870714250005</v>
      </c>
      <c r="K10" s="203">
        <f t="shared" si="2"/>
        <v>0.85133720354764164</v>
      </c>
    </row>
    <row r="11" spans="1:14" ht="15" customHeight="1">
      <c r="A11" s="109" t="s">
        <v>28</v>
      </c>
      <c r="B11" s="257">
        <v>135.36950451000004</v>
      </c>
      <c r="C11" s="211">
        <v>117.99927711000001</v>
      </c>
      <c r="D11" s="258">
        <v>92.66295069249999</v>
      </c>
      <c r="E11" s="257">
        <v>84.630934647500013</v>
      </c>
      <c r="F11" s="202">
        <f>IF(E11=0,"",D11/E11-1)</f>
        <v>9.4906384745181871E-2</v>
      </c>
      <c r="G11" s="264">
        <v>210.66222780250001</v>
      </c>
      <c r="H11" s="211">
        <v>192.1561167925</v>
      </c>
      <c r="I11" s="206">
        <f t="shared" si="1"/>
        <v>9.6307686265245662E-2</v>
      </c>
      <c r="J11" s="257">
        <v>127.06221037750001</v>
      </c>
      <c r="K11" s="202">
        <f t="shared" si="2"/>
        <v>0.51229949661356367</v>
      </c>
      <c r="N11" s="605"/>
    </row>
    <row r="12" spans="1:14" ht="15" customHeight="1">
      <c r="A12" s="137" t="s">
        <v>40</v>
      </c>
      <c r="B12" s="261">
        <f>+SUM(B8:B11)</f>
        <v>5182.3505762774994</v>
      </c>
      <c r="C12" s="254">
        <f t="shared" ref="C12:E12" si="3">+SUM(C8:C11)</f>
        <v>5175.5276123474978</v>
      </c>
      <c r="D12" s="262">
        <f>+SUM(D8:D11)</f>
        <v>4860.8599718574997</v>
      </c>
      <c r="E12" s="261">
        <f t="shared" si="3"/>
        <v>4904.7247617500007</v>
      </c>
      <c r="F12" s="204">
        <f>IF(E12=0,"",D12/E12-1)</f>
        <v>-8.9433744039186802E-3</v>
      </c>
      <c r="G12" s="261">
        <f t="shared" ref="G12" si="4">+SUM(G8:G11)</f>
        <v>10036.363332112498</v>
      </c>
      <c r="H12" s="254">
        <f>+SUM(H8:H11)</f>
        <v>9983.7112348449973</v>
      </c>
      <c r="I12" s="208">
        <f>IF(H12=0,"",G12/H12-1)</f>
        <v>5.2738000958736375E-3</v>
      </c>
      <c r="J12" s="261">
        <f>+SUM(J8:J11)</f>
        <v>9417.1129786525016</v>
      </c>
      <c r="K12" s="204">
        <f t="shared" si="2"/>
        <v>6.0166874654356217E-2</v>
      </c>
    </row>
    <row r="13" spans="1:14" ht="15" customHeight="1">
      <c r="A13" s="104"/>
      <c r="B13" s="104"/>
      <c r="C13" s="104"/>
      <c r="D13" s="104"/>
      <c r="E13" s="104"/>
      <c r="F13" s="106"/>
      <c r="G13" s="104"/>
      <c r="H13" s="104"/>
      <c r="I13" s="484"/>
      <c r="J13" s="105"/>
      <c r="K13" s="106" t="str">
        <f t="shared" si="2"/>
        <v/>
      </c>
    </row>
    <row r="14" spans="1:14" ht="15" customHeight="1">
      <c r="A14" s="111" t="s">
        <v>37</v>
      </c>
      <c r="B14" s="712">
        <v>0</v>
      </c>
      <c r="C14" s="713">
        <v>0</v>
      </c>
      <c r="D14" s="714">
        <v>0.88296076999999995</v>
      </c>
      <c r="E14" s="712">
        <v>0</v>
      </c>
      <c r="F14" s="112" t="str">
        <f>IF(E14=0,"",D14/E14-1)</f>
        <v/>
      </c>
      <c r="G14" s="199">
        <v>0.88296076999999995</v>
      </c>
      <c r="H14" s="200">
        <v>0</v>
      </c>
      <c r="I14" s="115" t="str">
        <f>IF(H14=0,"",G14/H14-1)</f>
        <v/>
      </c>
      <c r="J14" s="199">
        <v>0</v>
      </c>
      <c r="K14" s="112" t="str">
        <f t="shared" si="2"/>
        <v/>
      </c>
    </row>
    <row r="15" spans="1:14" ht="15" customHeight="1">
      <c r="A15" s="110" t="s">
        <v>38</v>
      </c>
      <c r="B15" s="259">
        <v>0</v>
      </c>
      <c r="C15" s="212">
        <v>0</v>
      </c>
      <c r="D15" s="260">
        <v>0</v>
      </c>
      <c r="E15" s="259">
        <v>0</v>
      </c>
      <c r="F15" s="113" t="str">
        <f t="shared" ref="F15" si="5">IF(E15=0,"",D15/E15-1)</f>
        <v/>
      </c>
      <c r="G15" s="197">
        <v>0</v>
      </c>
      <c r="H15" s="198">
        <v>2.9687826900000034</v>
      </c>
      <c r="I15" s="107">
        <f t="shared" si="1"/>
        <v>-1</v>
      </c>
      <c r="J15" s="197">
        <v>0.25442452999999998</v>
      </c>
      <c r="K15" s="113">
        <f t="shared" si="2"/>
        <v>10.668618155647192</v>
      </c>
    </row>
    <row r="16" spans="1:14" ht="23.25" customHeight="1">
      <c r="A16" s="117" t="s">
        <v>39</v>
      </c>
      <c r="B16" s="209">
        <f>+B15-B14</f>
        <v>0</v>
      </c>
      <c r="C16" s="210">
        <f t="shared" ref="C16:E16" si="6">+C15-C14</f>
        <v>0</v>
      </c>
      <c r="D16" s="210">
        <f t="shared" si="6"/>
        <v>-0.88296076999999995</v>
      </c>
      <c r="E16" s="209">
        <f t="shared" si="6"/>
        <v>0</v>
      </c>
      <c r="F16" s="114"/>
      <c r="G16" s="209">
        <f t="shared" ref="G16:H16" si="7">+G15-G14</f>
        <v>-0.88296076999999995</v>
      </c>
      <c r="H16" s="210">
        <f t="shared" si="7"/>
        <v>2.9687826900000034</v>
      </c>
      <c r="I16" s="116"/>
      <c r="J16" s="209">
        <f>+J15-J14</f>
        <v>0.25442452999999998</v>
      </c>
      <c r="K16" s="114"/>
    </row>
    <row r="17" spans="1:11" ht="11.25" customHeight="1">
      <c r="A17" s="196" t="s">
        <v>169</v>
      </c>
      <c r="B17" s="102"/>
      <c r="C17" s="102"/>
      <c r="D17" s="102"/>
      <c r="E17" s="102"/>
      <c r="F17" s="102"/>
      <c r="G17" s="102"/>
      <c r="H17" s="102"/>
      <c r="I17" s="102"/>
      <c r="J17" s="102"/>
      <c r="K17" s="102"/>
    </row>
    <row r="18" spans="1:11" ht="24.6" customHeight="1">
      <c r="A18" s="27" t="s">
        <v>392</v>
      </c>
      <c r="B18" s="102"/>
      <c r="C18" s="102"/>
      <c r="D18" s="102"/>
      <c r="E18" s="102"/>
      <c r="F18" s="102"/>
      <c r="G18" s="102"/>
      <c r="H18" s="102"/>
      <c r="I18" s="102"/>
      <c r="J18" s="102"/>
      <c r="K18" s="102"/>
    </row>
    <row r="19" spans="1:11" ht="11.25" customHeight="1">
      <c r="A19" s="2"/>
      <c r="B19" s="87"/>
      <c r="C19" s="87"/>
      <c r="D19" s="87"/>
      <c r="E19" s="87"/>
      <c r="F19" s="87"/>
      <c r="G19" s="87"/>
      <c r="H19" s="87"/>
      <c r="I19" s="87"/>
      <c r="J19" s="87"/>
      <c r="K19" s="87"/>
    </row>
    <row r="20" spans="1:11" ht="11.25" customHeight="1">
      <c r="A20" s="2"/>
      <c r="B20" s="87"/>
      <c r="C20" s="87"/>
      <c r="D20" s="87"/>
      <c r="E20" s="87"/>
      <c r="F20" s="87"/>
      <c r="G20" s="87"/>
      <c r="H20" s="87"/>
      <c r="I20" s="87"/>
      <c r="J20" s="87"/>
      <c r="K20" s="87"/>
    </row>
    <row r="21" spans="1:11" ht="11.25" customHeight="1">
      <c r="A21" s="48"/>
      <c r="B21" s="48"/>
      <c r="C21" s="48"/>
      <c r="D21" s="48"/>
      <c r="E21" s="48"/>
      <c r="F21" s="48"/>
      <c r="G21" s="48"/>
      <c r="H21" s="48"/>
      <c r="I21" s="48"/>
      <c r="J21" s="48"/>
      <c r="K21" s="48"/>
    </row>
    <row r="22" spans="1:11" ht="11.25" customHeight="1">
      <c r="A22" s="2"/>
      <c r="B22" s="87"/>
      <c r="C22" s="87"/>
      <c r="D22" s="87"/>
      <c r="E22" s="87"/>
      <c r="F22" s="87"/>
      <c r="G22" s="87"/>
      <c r="H22" s="87"/>
      <c r="I22" s="87"/>
      <c r="J22" s="87"/>
      <c r="K22" s="87"/>
    </row>
    <row r="23" spans="1:11" ht="11.25" customHeight="1">
      <c r="A23" s="2"/>
      <c r="B23" s="87"/>
      <c r="C23" s="87"/>
      <c r="D23" s="87"/>
      <c r="E23" s="87"/>
      <c r="F23" s="87"/>
      <c r="G23" s="87"/>
      <c r="H23" s="87"/>
      <c r="I23" s="87"/>
      <c r="J23" s="87"/>
      <c r="K23" s="87"/>
    </row>
    <row r="24" spans="1:11" ht="11.25" customHeight="1">
      <c r="A24" s="2"/>
      <c r="B24" s="87"/>
      <c r="C24" s="87"/>
      <c r="D24" s="87"/>
      <c r="E24" s="87"/>
      <c r="F24" s="87"/>
      <c r="G24" s="87"/>
      <c r="H24" s="87"/>
      <c r="I24" s="87"/>
      <c r="J24" s="87"/>
      <c r="K24" s="87"/>
    </row>
    <row r="25" spans="1:11" ht="11.25" customHeight="1">
      <c r="A25" s="2"/>
      <c r="B25" s="87"/>
      <c r="C25" s="87"/>
      <c r="D25" s="87"/>
      <c r="E25" s="87"/>
      <c r="F25" s="87"/>
      <c r="G25" s="87"/>
      <c r="H25" s="87"/>
      <c r="I25" s="87"/>
      <c r="J25" s="87"/>
      <c r="K25" s="87"/>
    </row>
    <row r="26" spans="1:11" ht="11.25" customHeight="1">
      <c r="A26" s="2"/>
      <c r="B26" s="87"/>
      <c r="C26" s="87"/>
      <c r="D26" s="87"/>
      <c r="E26" s="87"/>
      <c r="F26" s="87"/>
      <c r="G26" s="87"/>
      <c r="H26" s="87"/>
      <c r="I26" s="87"/>
      <c r="J26" s="87"/>
      <c r="K26" s="87"/>
    </row>
    <row r="27" spans="1:11" ht="11.25" customHeight="1">
      <c r="A27" s="2"/>
      <c r="B27" s="87"/>
      <c r="C27" s="87"/>
      <c r="D27" s="87"/>
      <c r="E27" s="87"/>
      <c r="F27" s="87"/>
      <c r="G27" s="87"/>
      <c r="H27" s="87"/>
      <c r="I27" s="87"/>
      <c r="J27" s="87"/>
      <c r="K27" s="87"/>
    </row>
    <row r="28" spans="1:11" ht="11.25" customHeight="1">
      <c r="A28" s="2"/>
      <c r="B28" s="87"/>
      <c r="C28" s="87"/>
      <c r="D28" s="87"/>
      <c r="E28" s="87"/>
      <c r="F28" s="87"/>
      <c r="G28" s="87"/>
      <c r="H28" s="87"/>
      <c r="I28" s="87"/>
      <c r="J28" s="87"/>
      <c r="K28" s="87"/>
    </row>
    <row r="29" spans="1:11" ht="11.25" customHeight="1">
      <c r="A29" s="2"/>
      <c r="B29" s="87"/>
      <c r="C29" s="87"/>
      <c r="D29" s="87"/>
      <c r="E29" s="87"/>
      <c r="F29" s="87"/>
      <c r="G29" s="87"/>
      <c r="H29" s="87"/>
      <c r="I29" s="87"/>
      <c r="J29" s="87"/>
      <c r="K29" s="87"/>
    </row>
    <row r="30" spans="1:11" ht="11.25" customHeight="1">
      <c r="A30" s="2"/>
      <c r="B30" s="87"/>
      <c r="C30" s="87"/>
      <c r="D30" s="87"/>
      <c r="E30" s="87"/>
      <c r="F30" s="87"/>
      <c r="G30" s="87"/>
      <c r="H30" s="87"/>
      <c r="I30" s="87"/>
      <c r="J30" s="87"/>
      <c r="K30" s="87"/>
    </row>
    <row r="31" spans="1:11" ht="11.25" customHeight="1">
      <c r="A31" s="2"/>
      <c r="B31" s="87"/>
      <c r="C31" s="87"/>
      <c r="D31" s="87"/>
      <c r="E31" s="87"/>
      <c r="F31" s="87"/>
      <c r="G31" s="87"/>
      <c r="H31" s="87"/>
      <c r="I31" s="87"/>
      <c r="J31" s="87"/>
      <c r="K31" s="87"/>
    </row>
    <row r="32" spans="1:11" ht="11.25" customHeight="1">
      <c r="A32" s="2"/>
      <c r="B32" s="87"/>
      <c r="C32" s="87"/>
      <c r="D32" s="87"/>
      <c r="E32" s="87"/>
      <c r="F32" s="87"/>
      <c r="G32" s="87"/>
      <c r="H32" s="87"/>
      <c r="I32" s="87"/>
      <c r="J32" s="87"/>
      <c r="K32" s="87"/>
    </row>
    <row r="33" spans="1:11" ht="11.25" customHeight="1">
      <c r="A33" s="2"/>
      <c r="B33" s="87"/>
      <c r="C33" s="87"/>
      <c r="D33" s="87"/>
      <c r="E33" s="87"/>
      <c r="F33" s="87"/>
      <c r="G33" s="87"/>
      <c r="H33" s="87"/>
      <c r="I33" s="87"/>
      <c r="J33" s="87"/>
      <c r="K33" s="87"/>
    </row>
    <row r="34" spans="1:11" ht="11.25" customHeight="1">
      <c r="A34" s="2"/>
      <c r="B34" s="87"/>
      <c r="C34" s="87"/>
      <c r="D34" s="87"/>
      <c r="E34" s="87"/>
      <c r="F34" s="87"/>
      <c r="G34" s="87"/>
      <c r="H34" s="87"/>
      <c r="I34" s="87"/>
      <c r="J34" s="87"/>
      <c r="K34" s="87"/>
    </row>
    <row r="35" spans="1:11" ht="11.25" customHeight="1">
      <c r="A35" s="2"/>
      <c r="B35" s="87"/>
      <c r="C35" s="87"/>
      <c r="D35" s="87"/>
      <c r="E35" s="87"/>
      <c r="F35" s="87"/>
      <c r="G35" s="87"/>
      <c r="H35" s="87"/>
      <c r="I35" s="87"/>
      <c r="J35" s="87"/>
      <c r="K35" s="87"/>
    </row>
    <row r="36" spans="1:11" ht="11.25" customHeight="1">
      <c r="A36" s="2"/>
      <c r="B36" s="87"/>
      <c r="C36" s="87"/>
      <c r="D36" s="87"/>
      <c r="E36" s="87"/>
      <c r="F36" s="87"/>
      <c r="G36" s="87"/>
      <c r="H36" s="87"/>
      <c r="I36" s="87"/>
      <c r="J36" s="87"/>
      <c r="K36" s="87"/>
    </row>
    <row r="37" spans="1:11" ht="11.25" customHeight="1">
      <c r="A37" s="2"/>
      <c r="B37" s="87"/>
      <c r="C37" s="87"/>
      <c r="D37" s="87"/>
      <c r="E37" s="87"/>
      <c r="F37" s="87"/>
      <c r="G37" s="87"/>
      <c r="H37" s="87"/>
      <c r="I37" s="87"/>
      <c r="J37" s="87"/>
      <c r="K37" s="87"/>
    </row>
    <row r="38" spans="1:11" ht="11.25" customHeight="1">
      <c r="A38" s="2"/>
      <c r="B38" s="87"/>
      <c r="C38" s="87"/>
      <c r="D38" s="87"/>
      <c r="E38" s="87"/>
      <c r="F38" s="87"/>
      <c r="G38" s="87"/>
      <c r="H38" s="87"/>
      <c r="I38" s="87"/>
      <c r="J38" s="87"/>
      <c r="K38" s="87"/>
    </row>
    <row r="39" spans="1:11" ht="11.25" customHeight="1">
      <c r="A39" s="2"/>
      <c r="B39" s="87"/>
      <c r="C39" s="87"/>
      <c r="D39" s="87"/>
      <c r="E39" s="87"/>
      <c r="F39" s="87"/>
      <c r="G39" s="87"/>
      <c r="H39" s="87"/>
      <c r="I39" s="87"/>
      <c r="J39" s="87"/>
      <c r="K39" s="87"/>
    </row>
    <row r="40" spans="1:11" ht="11.25" customHeight="1">
      <c r="A40" s="2"/>
      <c r="B40" s="87"/>
      <c r="C40" s="87"/>
      <c r="D40" s="87"/>
      <c r="E40" s="87"/>
      <c r="F40" s="87"/>
      <c r="G40" s="87"/>
      <c r="H40" s="87"/>
      <c r="I40" s="87"/>
      <c r="J40" s="87"/>
      <c r="K40" s="87"/>
    </row>
    <row r="41" spans="1:11" ht="11.25" customHeight="1">
      <c r="A41" s="2"/>
      <c r="B41" s="87"/>
      <c r="C41" s="87"/>
      <c r="D41" s="87"/>
      <c r="E41" s="87"/>
      <c r="F41" s="87"/>
      <c r="G41" s="87"/>
      <c r="H41" s="87"/>
      <c r="I41" s="87"/>
      <c r="J41" s="87"/>
      <c r="K41" s="87"/>
    </row>
    <row r="42" spans="1:11" ht="11.25" customHeight="1">
      <c r="A42" s="88"/>
      <c r="B42" s="815"/>
      <c r="C42" s="815"/>
      <c r="D42" s="815"/>
      <c r="E42" s="85"/>
      <c r="F42" s="85"/>
      <c r="G42" s="816"/>
      <c r="H42" s="816"/>
      <c r="I42" s="816"/>
      <c r="J42" s="816"/>
      <c r="K42" s="816"/>
    </row>
    <row r="43" spans="1:11" ht="11.25" customHeight="1">
      <c r="A43" s="89"/>
      <c r="B43" s="90"/>
      <c r="C43" s="90"/>
      <c r="D43" s="90"/>
      <c r="E43" s="90"/>
      <c r="F43" s="90"/>
      <c r="G43" s="91"/>
      <c r="H43" s="91"/>
      <c r="I43" s="92"/>
      <c r="J43" s="91"/>
      <c r="K43" s="91"/>
    </row>
    <row r="44" spans="1:11" ht="11.25" customHeight="1">
      <c r="A44" s="88"/>
      <c r="B44" s="93"/>
      <c r="C44" s="86"/>
      <c r="D44" s="86"/>
      <c r="E44" s="86"/>
      <c r="F44" s="86"/>
      <c r="G44" s="86"/>
      <c r="H44" s="86"/>
      <c r="I44" s="86"/>
      <c r="J44" s="86"/>
      <c r="K44" s="86"/>
    </row>
    <row r="45" spans="1:11" ht="11.25" customHeight="1">
      <c r="A45" s="2"/>
      <c r="B45" s="66"/>
      <c r="C45" s="66"/>
      <c r="D45" s="66"/>
      <c r="E45" s="66"/>
      <c r="F45" s="66"/>
      <c r="G45" s="66"/>
      <c r="H45" s="66"/>
      <c r="I45" s="94"/>
      <c r="J45" s="66"/>
      <c r="K45" s="95"/>
    </row>
    <row r="46" spans="1:11" ht="11.25" customHeight="1">
      <c r="A46" s="2"/>
      <c r="B46" s="66"/>
      <c r="C46" s="66"/>
      <c r="D46" s="66"/>
      <c r="E46" s="66"/>
      <c r="F46" s="66"/>
      <c r="G46" s="66"/>
      <c r="H46" s="66"/>
      <c r="I46" s="94"/>
      <c r="J46" s="66"/>
      <c r="K46" s="95"/>
    </row>
    <row r="47" spans="1:11" ht="11.25" customHeight="1">
      <c r="A47" s="2"/>
      <c r="B47" s="66"/>
      <c r="C47" s="66"/>
      <c r="D47" s="66"/>
      <c r="E47" s="66"/>
      <c r="F47" s="66"/>
      <c r="G47" s="66"/>
      <c r="H47" s="66"/>
      <c r="I47" s="94"/>
      <c r="J47" s="66"/>
      <c r="K47" s="95"/>
    </row>
    <row r="48" spans="1:11" ht="11.25" customHeight="1">
      <c r="A48" s="2"/>
      <c r="B48" s="66"/>
      <c r="C48" s="66"/>
      <c r="D48" s="66"/>
      <c r="E48" s="66"/>
      <c r="F48" s="66"/>
      <c r="G48" s="66"/>
      <c r="H48" s="66"/>
      <c r="I48" s="94"/>
      <c r="J48" s="66"/>
      <c r="K48" s="95"/>
    </row>
    <row r="49" spans="1:11" ht="11.25" customHeight="1">
      <c r="A49" s="2"/>
      <c r="B49" s="66"/>
      <c r="C49" s="66"/>
      <c r="D49" s="66"/>
      <c r="E49" s="66"/>
      <c r="F49" s="66"/>
      <c r="G49" s="66"/>
      <c r="H49" s="66"/>
      <c r="I49" s="94"/>
      <c r="J49" s="66"/>
      <c r="K49" s="95"/>
    </row>
    <row r="50" spans="1:11" ht="11.25" customHeight="1">
      <c r="A50" s="2"/>
      <c r="B50" s="66"/>
      <c r="C50" s="66"/>
      <c r="D50" s="66"/>
      <c r="E50" s="66"/>
      <c r="F50" s="66"/>
      <c r="G50" s="66"/>
      <c r="H50" s="66"/>
      <c r="I50" s="94"/>
      <c r="J50" s="66"/>
      <c r="K50" s="95"/>
    </row>
    <row r="51" spans="1:11" ht="11.25" customHeight="1">
      <c r="A51" s="2"/>
      <c r="B51" s="66"/>
      <c r="C51" s="66"/>
      <c r="D51" s="66"/>
      <c r="E51" s="66"/>
      <c r="F51" s="66"/>
      <c r="G51" s="66"/>
      <c r="H51" s="66"/>
      <c r="I51" s="94"/>
      <c r="J51" s="66"/>
      <c r="K51" s="95"/>
    </row>
    <row r="52" spans="1:11" ht="13.2">
      <c r="A52" s="2"/>
      <c r="B52" s="66"/>
      <c r="C52" s="66"/>
      <c r="D52" s="66"/>
      <c r="E52" s="66"/>
      <c r="F52" s="66"/>
      <c r="G52" s="66"/>
      <c r="H52" s="66"/>
      <c r="I52" s="94"/>
      <c r="J52" s="66"/>
      <c r="K52" s="95"/>
    </row>
    <row r="53" spans="1:11" ht="13.2">
      <c r="A53" s="2"/>
      <c r="B53" s="66"/>
      <c r="C53" s="66"/>
      <c r="D53" s="66"/>
      <c r="E53" s="66"/>
      <c r="F53" s="66"/>
      <c r="G53" s="66"/>
      <c r="H53" s="66"/>
      <c r="I53" s="94"/>
      <c r="J53" s="66"/>
      <c r="K53" s="95"/>
    </row>
    <row r="54" spans="1:11" ht="13.2">
      <c r="A54" s="2"/>
      <c r="B54" s="66"/>
      <c r="C54" s="66"/>
      <c r="D54" s="66"/>
      <c r="E54" s="66"/>
      <c r="F54" s="66"/>
      <c r="G54" s="66"/>
      <c r="H54" s="66"/>
      <c r="I54" s="94"/>
      <c r="J54" s="66"/>
      <c r="K54" s="95"/>
    </row>
    <row r="55" spans="1:11" ht="13.2">
      <c r="A55" s="2"/>
      <c r="B55" s="66"/>
      <c r="C55" s="66"/>
      <c r="D55" s="66"/>
      <c r="E55" s="66"/>
      <c r="F55" s="66"/>
      <c r="G55" s="66"/>
      <c r="H55" s="66"/>
      <c r="I55" s="94"/>
      <c r="J55" s="66"/>
      <c r="K55" s="95"/>
    </row>
    <row r="56" spans="1:11" ht="13.2">
      <c r="A56" s="2"/>
      <c r="B56" s="66"/>
      <c r="C56" s="66"/>
      <c r="D56" s="66"/>
      <c r="E56" s="66"/>
      <c r="F56" s="66"/>
      <c r="G56" s="66"/>
      <c r="H56" s="66"/>
      <c r="I56" s="94"/>
      <c r="J56" s="66"/>
      <c r="K56" s="95"/>
    </row>
    <row r="57" spans="1:11" ht="13.2">
      <c r="A57" s="196" t="str">
        <f>"Gráfico N° 4: Comparación de la producción de energía eléctrica por tipo de generación acumulada a "&amp;'1. Resumen'!Q4&amp;"."</f>
        <v>Gráfico N° 4: Comparación de la producción de energía eléctrica por tipo de generación acumulada a febrero.</v>
      </c>
      <c r="B57" s="66"/>
      <c r="C57" s="66"/>
      <c r="D57" s="66"/>
      <c r="E57" s="66"/>
      <c r="F57" s="66"/>
      <c r="G57" s="66"/>
      <c r="H57" s="66"/>
      <c r="I57" s="94"/>
      <c r="J57" s="66"/>
      <c r="K57" s="95"/>
    </row>
    <row r="58" spans="1:11" ht="13.2">
      <c r="B58" s="66"/>
      <c r="C58" s="66"/>
      <c r="D58" s="66"/>
      <c r="E58" s="66"/>
      <c r="F58" s="66"/>
      <c r="G58" s="66"/>
      <c r="H58" s="66"/>
      <c r="I58" s="94"/>
      <c r="J58" s="66"/>
      <c r="K58" s="95"/>
    </row>
    <row r="59" spans="1:11" ht="13.2">
      <c r="A59" s="2"/>
      <c r="B59" s="66"/>
      <c r="C59" s="66"/>
      <c r="D59" s="66"/>
      <c r="E59" s="66"/>
      <c r="F59" s="66"/>
      <c r="G59" s="66"/>
      <c r="H59" s="66"/>
      <c r="I59" s="94"/>
      <c r="J59" s="66"/>
      <c r="K59" s="95"/>
    </row>
    <row r="60" spans="1:11" ht="13.2">
      <c r="A60" s="2"/>
      <c r="B60" s="66"/>
      <c r="C60" s="66"/>
      <c r="D60" s="66"/>
      <c r="E60" s="66"/>
      <c r="F60" s="66"/>
      <c r="G60" s="66"/>
      <c r="H60" s="66"/>
      <c r="I60" s="94"/>
      <c r="J60" s="66"/>
      <c r="K60" s="95"/>
    </row>
    <row r="62" spans="1:11" ht="13.2">
      <c r="A62" s="96"/>
      <c r="B62" s="97"/>
      <c r="C62" s="97"/>
      <c r="D62" s="97"/>
      <c r="E62" s="97"/>
      <c r="F62" s="97"/>
      <c r="G62" s="97"/>
      <c r="H62" s="94"/>
      <c r="I62" s="94"/>
      <c r="J62" s="97"/>
      <c r="K62" s="95"/>
    </row>
    <row r="63" spans="1:11" ht="13.2">
      <c r="A63" s="2"/>
      <c r="B63" s="66"/>
      <c r="C63" s="66"/>
      <c r="D63" s="66"/>
      <c r="E63" s="66"/>
      <c r="F63" s="66"/>
      <c r="G63" s="66"/>
      <c r="H63" s="66"/>
      <c r="I63" s="94"/>
      <c r="J63" s="66"/>
      <c r="K63" s="98"/>
    </row>
    <row r="64" spans="1:11" ht="13.2">
      <c r="A64" s="2"/>
      <c r="B64" s="66"/>
      <c r="C64" s="66"/>
      <c r="D64" s="66"/>
      <c r="E64" s="66"/>
      <c r="F64" s="66"/>
      <c r="G64" s="66"/>
      <c r="H64" s="66"/>
      <c r="I64" s="99"/>
      <c r="J64" s="66"/>
      <c r="K64" s="98"/>
    </row>
    <row r="65" spans="1:11" ht="13.2">
      <c r="A65" s="2"/>
      <c r="B65" s="66"/>
      <c r="C65" s="66"/>
      <c r="D65" s="66"/>
      <c r="E65" s="66"/>
      <c r="F65" s="66"/>
      <c r="G65" s="66"/>
      <c r="H65" s="100"/>
      <c r="I65" s="100"/>
      <c r="J65" s="66"/>
      <c r="K65" s="98"/>
    </row>
    <row r="66" spans="1:11" ht="13.2">
      <c r="A66" s="2"/>
      <c r="B66" s="66"/>
      <c r="C66" s="66"/>
      <c r="D66" s="66"/>
      <c r="E66" s="66"/>
      <c r="F66" s="66"/>
      <c r="G66" s="66"/>
      <c r="H66" s="100"/>
      <c r="I66" s="100"/>
      <c r="J66" s="66"/>
      <c r="K66" s="98"/>
    </row>
    <row r="67" spans="1:11" ht="13.2">
      <c r="A67" s="96"/>
      <c r="B67" s="97"/>
      <c r="C67" s="97"/>
      <c r="D67" s="97"/>
      <c r="E67" s="97"/>
      <c r="F67" s="97"/>
      <c r="G67" s="97"/>
      <c r="H67" s="101"/>
      <c r="I67" s="94"/>
      <c r="J67" s="97"/>
      <c r="K67" s="95"/>
    </row>
    <row r="68" spans="1:11" ht="13.2">
      <c r="A68" s="96"/>
      <c r="B68" s="97"/>
      <c r="C68" s="97"/>
      <c r="D68" s="97"/>
      <c r="E68" s="97"/>
      <c r="F68" s="97"/>
      <c r="G68" s="97"/>
      <c r="H68" s="94"/>
      <c r="I68" s="94"/>
      <c r="J68" s="97"/>
      <c r="K68" s="95"/>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K61"/>
  <sheetViews>
    <sheetView showGridLines="0" view="pageBreakPreview" zoomScale="110" zoomScaleNormal="100" zoomScaleSheetLayoutView="110" workbookViewId="0">
      <selection activeCell="D6" sqref="D6"/>
    </sheetView>
  </sheetViews>
  <sheetFormatPr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26" t="str">
        <f>+"3.2. PRODUCCIÓN POR TIPO DE RECURSO ENERGÉTICO (GWh)"</f>
        <v>3.2. PRODUCCIÓN POR TIPO DE RECURSO ENERGÉTICO (GWh)</v>
      </c>
      <c r="B2" s="826"/>
      <c r="C2" s="826"/>
      <c r="D2" s="826"/>
      <c r="E2" s="826"/>
      <c r="F2" s="826"/>
      <c r="G2" s="826"/>
      <c r="H2" s="826"/>
      <c r="I2" s="826"/>
      <c r="J2" s="826"/>
      <c r="K2" s="826"/>
    </row>
    <row r="3" spans="1:11" ht="18.75" customHeight="1">
      <c r="A3" s="118"/>
      <c r="B3" s="119"/>
      <c r="C3" s="120"/>
      <c r="D3" s="121"/>
      <c r="E3" s="121"/>
      <c r="F3" s="121"/>
      <c r="G3" s="122"/>
      <c r="H3" s="122"/>
      <c r="I3" s="122"/>
      <c r="J3" s="118"/>
      <c r="K3" s="118"/>
    </row>
    <row r="4" spans="1:11" ht="14.25" customHeight="1">
      <c r="A4" s="830" t="s">
        <v>41</v>
      </c>
      <c r="B4" s="827" t="s">
        <v>31</v>
      </c>
      <c r="C4" s="828"/>
      <c r="D4" s="828"/>
      <c r="E4" s="828" t="s">
        <v>32</v>
      </c>
      <c r="F4" s="828"/>
      <c r="G4" s="829" t="str">
        <f>+'3. Tipo Generación'!G6:K6</f>
        <v>Generación Acumulada a febrero</v>
      </c>
      <c r="H4" s="829"/>
      <c r="I4" s="829"/>
      <c r="J4" s="829"/>
      <c r="K4" s="829"/>
    </row>
    <row r="5" spans="1:11" ht="26.25" customHeight="1">
      <c r="A5" s="830"/>
      <c r="B5" s="313">
        <f>+'3. Tipo Generación'!B7</f>
        <v>45631</v>
      </c>
      <c r="C5" s="313">
        <f>+'3. Tipo Generación'!C7</f>
        <v>45661</v>
      </c>
      <c r="D5" s="313">
        <f>+'3. Tipo Generación'!D7</f>
        <v>45689</v>
      </c>
      <c r="E5" s="313">
        <f>+'3. Tipo Generación'!E7</f>
        <v>45324</v>
      </c>
      <c r="F5" s="314" t="s">
        <v>33</v>
      </c>
      <c r="G5" s="311">
        <v>2025</v>
      </c>
      <c r="H5" s="311">
        <v>2024</v>
      </c>
      <c r="I5" s="310" t="s">
        <v>756</v>
      </c>
      <c r="J5" s="311">
        <v>2023</v>
      </c>
      <c r="K5" s="312" t="s">
        <v>405</v>
      </c>
    </row>
    <row r="6" spans="1:11" ht="11.25" customHeight="1">
      <c r="A6" s="131" t="s">
        <v>42</v>
      </c>
      <c r="B6" s="242">
        <v>3257.4828253124988</v>
      </c>
      <c r="C6" s="243">
        <v>3394.5491486899982</v>
      </c>
      <c r="D6" s="244">
        <v>3040.4695091525</v>
      </c>
      <c r="E6" s="242">
        <v>3010.3477086375001</v>
      </c>
      <c r="F6" s="216">
        <f>IF(E6=0,"",D6/E6-1)</f>
        <v>1.0006086814680071E-2</v>
      </c>
      <c r="G6" s="242">
        <v>6434.9944057499988</v>
      </c>
      <c r="H6" s="243">
        <v>6292.8575625574986</v>
      </c>
      <c r="I6" s="216">
        <f t="shared" ref="I6:I14" si="0">IF(H6=0,"",G6/H6-1)</f>
        <v>2.2587011032668913E-2</v>
      </c>
      <c r="J6" s="242">
        <v>5729.8286210275</v>
      </c>
      <c r="K6" s="216">
        <f>IF(J6=0,"",H6/J6-1)</f>
        <v>9.8262789128417793E-2</v>
      </c>
    </row>
    <row r="7" spans="1:11" ht="11.25" customHeight="1">
      <c r="A7" s="132" t="s">
        <v>47</v>
      </c>
      <c r="B7" s="245">
        <v>1304.2481634475002</v>
      </c>
      <c r="C7" s="211">
        <v>1222.6740573699999</v>
      </c>
      <c r="D7" s="246">
        <v>1441.1610806300002</v>
      </c>
      <c r="E7" s="245">
        <v>1505.0946258849999</v>
      </c>
      <c r="F7" s="217">
        <f t="shared" ref="F7:F16" si="1">IF(E7=0,"",D7/E7-1)</f>
        <v>-4.24780901847992E-2</v>
      </c>
      <c r="G7" s="245">
        <v>2663.8351380000004</v>
      </c>
      <c r="H7" s="211">
        <v>2879.0991382975003</v>
      </c>
      <c r="I7" s="217">
        <f t="shared" si="0"/>
        <v>-7.4767831865905188E-2</v>
      </c>
      <c r="J7" s="245">
        <v>3122.0421100075005</v>
      </c>
      <c r="K7" s="217">
        <f t="shared" ref="K7:K17" si="2">IF(J7=0,"",H7/J7-1)</f>
        <v>-7.7815405157817152E-2</v>
      </c>
    </row>
    <row r="8" spans="1:11" ht="11.25" customHeight="1">
      <c r="A8" s="133" t="s">
        <v>48</v>
      </c>
      <c r="B8" s="247">
        <v>29.408004872500001</v>
      </c>
      <c r="C8" s="212">
        <v>27.845992500000001</v>
      </c>
      <c r="D8" s="248">
        <v>25.102620052500001</v>
      </c>
      <c r="E8" s="247">
        <v>27.89585275</v>
      </c>
      <c r="F8" s="274">
        <f t="shared" si="1"/>
        <v>-0.10013075142504824</v>
      </c>
      <c r="G8" s="247">
        <v>52.948612552500002</v>
      </c>
      <c r="H8" s="212">
        <v>59.535154750000004</v>
      </c>
      <c r="I8" s="274">
        <f t="shared" si="0"/>
        <v>-0.11063282232419158</v>
      </c>
      <c r="J8" s="247">
        <v>115.19540450000001</v>
      </c>
      <c r="K8" s="274">
        <f t="shared" si="2"/>
        <v>-0.48318116500906072</v>
      </c>
    </row>
    <row r="9" spans="1:11" ht="11.25" customHeight="1">
      <c r="A9" s="132" t="s">
        <v>49</v>
      </c>
      <c r="B9" s="245">
        <v>0</v>
      </c>
      <c r="C9" s="211">
        <v>4.7076622049999992</v>
      </c>
      <c r="D9" s="246">
        <v>14.1503827425</v>
      </c>
      <c r="E9" s="245">
        <v>12.623034987499999</v>
      </c>
      <c r="F9" s="217">
        <f t="shared" si="1"/>
        <v>0.12099687250431157</v>
      </c>
      <c r="G9" s="245">
        <v>18.858044947499998</v>
      </c>
      <c r="H9" s="211">
        <v>27.324257290000002</v>
      </c>
      <c r="I9" s="217">
        <f t="shared" si="0"/>
        <v>-0.30984235921385594</v>
      </c>
      <c r="J9" s="245">
        <v>19.239359425000004</v>
      </c>
      <c r="K9" s="217">
        <f t="shared" si="2"/>
        <v>0.42022697774928641</v>
      </c>
    </row>
    <row r="10" spans="1:11" ht="11.25" customHeight="1">
      <c r="A10" s="133" t="s">
        <v>43</v>
      </c>
      <c r="B10" s="247">
        <v>0</v>
      </c>
      <c r="C10" s="212">
        <v>0.78774198749999991</v>
      </c>
      <c r="D10" s="248">
        <v>0.115064295</v>
      </c>
      <c r="E10" s="247">
        <v>0</v>
      </c>
      <c r="F10" s="274" t="str">
        <f t="shared" si="1"/>
        <v/>
      </c>
      <c r="G10" s="247">
        <v>0.90280628249999995</v>
      </c>
      <c r="H10" s="212">
        <v>0.250351985</v>
      </c>
      <c r="I10" s="274">
        <f t="shared" si="0"/>
        <v>2.6061478901395567</v>
      </c>
      <c r="J10" s="247">
        <v>0.65636402249999992</v>
      </c>
      <c r="K10" s="274">
        <f t="shared" si="2"/>
        <v>-0.61857753256120918</v>
      </c>
    </row>
    <row r="11" spans="1:11" s="40" customFormat="1" ht="19.8" customHeight="1">
      <c r="A11" s="788" t="s">
        <v>706</v>
      </c>
      <c r="B11" s="245">
        <v>38.463175162499994</v>
      </c>
      <c r="C11" s="211">
        <v>36.693402214999999</v>
      </c>
      <c r="D11" s="246">
        <v>20.021989155</v>
      </c>
      <c r="E11" s="245">
        <v>0</v>
      </c>
      <c r="F11" s="217" t="str">
        <f>IF(E11=0,"",D11/E11-1)</f>
        <v/>
      </c>
      <c r="G11" s="245">
        <v>56.715391369999999</v>
      </c>
      <c r="H11" s="211">
        <v>0</v>
      </c>
      <c r="I11" s="217" t="str">
        <f t="shared" si="0"/>
        <v/>
      </c>
      <c r="J11" s="245">
        <v>0</v>
      </c>
      <c r="K11" s="217" t="str">
        <f t="shared" si="2"/>
        <v/>
      </c>
    </row>
    <row r="12" spans="1:11" ht="11.25" customHeight="1">
      <c r="A12" s="133" t="s">
        <v>44</v>
      </c>
      <c r="B12" s="247">
        <v>5.1735399475000001</v>
      </c>
      <c r="C12" s="212">
        <v>9.765660757500001</v>
      </c>
      <c r="D12" s="248">
        <v>6.1003466749999991</v>
      </c>
      <c r="E12" s="247">
        <v>6.7900895874999998</v>
      </c>
      <c r="F12" s="274">
        <f>IF(E12=0,"",D12/E12-1)</f>
        <v>-0.10158082652838063</v>
      </c>
      <c r="G12" s="247">
        <v>15.8660074325</v>
      </c>
      <c r="H12" s="212">
        <v>12.478984759999999</v>
      </c>
      <c r="I12" s="274">
        <f t="shared" si="0"/>
        <v>0.27141812716662073</v>
      </c>
      <c r="J12" s="247">
        <v>7.3986826474999994</v>
      </c>
      <c r="K12" s="274">
        <f t="shared" si="2"/>
        <v>0.68664955027049634</v>
      </c>
    </row>
    <row r="13" spans="1:11" ht="11.25" customHeight="1">
      <c r="A13" s="132" t="s">
        <v>45</v>
      </c>
      <c r="B13" s="245">
        <v>30.7206149575</v>
      </c>
      <c r="C13" s="211">
        <v>29.930613964999999</v>
      </c>
      <c r="D13" s="246">
        <v>21.941796849999999</v>
      </c>
      <c r="E13" s="245">
        <v>16.5737412175</v>
      </c>
      <c r="F13" s="217">
        <f t="shared" si="1"/>
        <v>0.32388919086246726</v>
      </c>
      <c r="G13" s="245">
        <v>51.872410814999995</v>
      </c>
      <c r="H13" s="211">
        <v>36.447349554999995</v>
      </c>
      <c r="I13" s="217">
        <f>IF(H13=0,"",G13/H13-1)</f>
        <v>0.42321489623609487</v>
      </c>
      <c r="J13" s="245">
        <v>29.315786577500003</v>
      </c>
      <c r="K13" s="217">
        <f t="shared" si="2"/>
        <v>0.24326698376817557</v>
      </c>
    </row>
    <row r="14" spans="1:11" ht="11.25" customHeight="1">
      <c r="A14" s="133" t="s">
        <v>46</v>
      </c>
      <c r="B14" s="247">
        <v>7.5101795000000005</v>
      </c>
      <c r="C14" s="212">
        <v>8.1707808499999999</v>
      </c>
      <c r="D14" s="248">
        <v>7.1006956499999996</v>
      </c>
      <c r="E14" s="247">
        <v>7.2732080200000002</v>
      </c>
      <c r="F14" s="274">
        <f t="shared" si="1"/>
        <v>-2.3718882991607404E-2</v>
      </c>
      <c r="G14" s="247">
        <v>15.2714765</v>
      </c>
      <c r="H14" s="212">
        <v>14.58397197</v>
      </c>
      <c r="I14" s="274">
        <f t="shared" si="0"/>
        <v>4.7141103357455139E-2</v>
      </c>
      <c r="J14" s="247">
        <v>13.055732925000001</v>
      </c>
      <c r="K14" s="274">
        <f t="shared" si="2"/>
        <v>0.11705501742254731</v>
      </c>
    </row>
    <row r="15" spans="1:11" ht="11.25" customHeight="1">
      <c r="A15" s="132" t="s">
        <v>28</v>
      </c>
      <c r="B15" s="245">
        <v>135.36950451000004</v>
      </c>
      <c r="C15" s="211">
        <v>117.99927711000001</v>
      </c>
      <c r="D15" s="246">
        <v>92.66295069249999</v>
      </c>
      <c r="E15" s="245">
        <v>84.630934647500013</v>
      </c>
      <c r="F15" s="217">
        <f t="shared" si="1"/>
        <v>9.4906384745181871E-2</v>
      </c>
      <c r="G15" s="245">
        <v>210.66222780250001</v>
      </c>
      <c r="H15" s="211">
        <v>192.1561167925</v>
      </c>
      <c r="I15" s="217">
        <f>IF(H15=0,"",G15/H15-1)</f>
        <v>9.6307686265245662E-2</v>
      </c>
      <c r="J15" s="245">
        <v>127.06221037750001</v>
      </c>
      <c r="K15" s="217">
        <f t="shared" si="2"/>
        <v>0.51229949661356367</v>
      </c>
    </row>
    <row r="16" spans="1:11" ht="11.25" customHeight="1">
      <c r="A16" s="133" t="s">
        <v>27</v>
      </c>
      <c r="B16" s="247">
        <v>373.9745685675</v>
      </c>
      <c r="C16" s="212">
        <v>322.40327469749997</v>
      </c>
      <c r="D16" s="248">
        <v>192.03353596250003</v>
      </c>
      <c r="E16" s="247">
        <v>233.49556601750001</v>
      </c>
      <c r="F16" s="274">
        <f t="shared" si="1"/>
        <v>-0.17757095246893251</v>
      </c>
      <c r="G16" s="247">
        <v>514.43681065999999</v>
      </c>
      <c r="H16" s="212">
        <v>468.97834688750004</v>
      </c>
      <c r="I16" s="274">
        <f>IF(H16=0,"",G16/H16-1)</f>
        <v>9.693083715740225E-2</v>
      </c>
      <c r="J16" s="247">
        <v>253.31870714250005</v>
      </c>
      <c r="K16" s="274">
        <f t="shared" si="2"/>
        <v>0.85133720354764164</v>
      </c>
    </row>
    <row r="17" spans="1:11" ht="11.25" customHeight="1">
      <c r="A17" s="138" t="s">
        <v>40</v>
      </c>
      <c r="B17" s="249">
        <f>+SUM(B6:B16)</f>
        <v>5182.3505762774994</v>
      </c>
      <c r="C17" s="250">
        <f>+SUM(C6:C16)</f>
        <v>5175.5276123474969</v>
      </c>
      <c r="D17" s="720">
        <f>+SUM(D6:D16)</f>
        <v>4860.8599718574997</v>
      </c>
      <c r="E17" s="249">
        <f>+SUM(E6:E16)</f>
        <v>4904.7247617500016</v>
      </c>
      <c r="F17" s="275">
        <f>IF(E17=0,"",D17/E17-1)</f>
        <v>-8.9433744039187912E-3</v>
      </c>
      <c r="G17" s="249">
        <f>+SUM(G6:G16)</f>
        <v>10036.363332112498</v>
      </c>
      <c r="H17" s="250">
        <f>+SUM(H6:H16)</f>
        <v>9983.7112348449955</v>
      </c>
      <c r="I17" s="275">
        <f>IF(H17=0,"",G17/H17-1)</f>
        <v>5.2738000958738596E-3</v>
      </c>
      <c r="J17" s="249">
        <f t="shared" ref="J17" si="3">+SUM(J6:J16)</f>
        <v>9417.1129786524998</v>
      </c>
      <c r="K17" s="275">
        <f t="shared" si="2"/>
        <v>6.0166874654356217E-2</v>
      </c>
    </row>
    <row r="18" spans="1:11" ht="11.25" customHeight="1">
      <c r="A18" s="19"/>
      <c r="B18" s="19"/>
      <c r="C18" s="19"/>
      <c r="D18" s="19"/>
      <c r="E18" s="19"/>
      <c r="F18" s="19"/>
      <c r="G18" s="19"/>
      <c r="H18" s="19"/>
      <c r="I18" s="19"/>
      <c r="J18" s="19"/>
      <c r="K18" s="19"/>
    </row>
    <row r="19" spans="1:11" ht="11.25" customHeight="1">
      <c r="A19" s="134" t="s">
        <v>37</v>
      </c>
      <c r="B19" s="712">
        <v>0</v>
      </c>
      <c r="C19" s="713">
        <v>0</v>
      </c>
      <c r="D19" s="714">
        <v>0.88296076999999995</v>
      </c>
      <c r="E19" s="715">
        <v>0</v>
      </c>
      <c r="F19" s="112" t="str">
        <f>IF(E19=0,"",D19/E19-1)</f>
        <v/>
      </c>
      <c r="G19" s="712">
        <v>0.88296076999999995</v>
      </c>
      <c r="H19" s="717">
        <v>0</v>
      </c>
      <c r="I19" s="115" t="str">
        <f>IF(H19=0,"",G19/H19-1)</f>
        <v/>
      </c>
      <c r="J19" s="712">
        <v>0</v>
      </c>
      <c r="K19" s="112" t="str">
        <f>IF(J19=0,"",H19/J19-1)</f>
        <v/>
      </c>
    </row>
    <row r="20" spans="1:11" ht="11.25" customHeight="1">
      <c r="A20" s="135" t="s">
        <v>38</v>
      </c>
      <c r="B20" s="259">
        <v>0</v>
      </c>
      <c r="C20" s="212">
        <v>0</v>
      </c>
      <c r="D20" s="260">
        <v>0</v>
      </c>
      <c r="E20" s="716">
        <v>0</v>
      </c>
      <c r="F20" s="107" t="str">
        <f>IF(E20=0,"",D20/E20-1)</f>
        <v/>
      </c>
      <c r="G20" s="259">
        <v>0</v>
      </c>
      <c r="H20" s="212">
        <v>2.9687826900000034</v>
      </c>
      <c r="I20" s="107">
        <f>IF(H20=0,"",G20/H20-1)</f>
        <v>-1</v>
      </c>
      <c r="J20" s="259">
        <v>0.25442452999999998</v>
      </c>
      <c r="K20" s="113">
        <f>IF(J20=0,"",H20/J20-1)</f>
        <v>10.668618155647192</v>
      </c>
    </row>
    <row r="21" spans="1:11" ht="23.25" customHeight="1">
      <c r="A21" s="136" t="s">
        <v>39</v>
      </c>
      <c r="B21" s="209">
        <f>+B20-B19</f>
        <v>0</v>
      </c>
      <c r="C21" s="210">
        <f>+C20-C19</f>
        <v>0</v>
      </c>
      <c r="D21" s="276">
        <f>+D20-D19</f>
        <v>-0.88296076999999995</v>
      </c>
      <c r="E21" s="436">
        <f>+E20-E19</f>
        <v>0</v>
      </c>
      <c r="F21" s="210"/>
      <c r="G21" s="209">
        <f>+G20-G19</f>
        <v>-0.88296076999999995</v>
      </c>
      <c r="H21" s="210">
        <f>+H20-H19</f>
        <v>2.9687826900000034</v>
      </c>
      <c r="I21" s="116"/>
      <c r="J21" s="209">
        <f>+J20-J19</f>
        <v>0.25442452999999998</v>
      </c>
      <c r="K21" s="114"/>
    </row>
    <row r="22" spans="1:11" ht="11.25" customHeight="1">
      <c r="A22" s="195" t="s">
        <v>171</v>
      </c>
      <c r="B22" s="125"/>
      <c r="C22" s="125"/>
      <c r="D22" s="125"/>
      <c r="E22" s="125"/>
      <c r="F22" s="125"/>
      <c r="G22" s="125"/>
      <c r="H22" s="126"/>
      <c r="I22" s="126"/>
      <c r="J22" s="125"/>
      <c r="K22" s="127"/>
    </row>
    <row r="23" spans="1:11" ht="39.6" customHeight="1">
      <c r="A23" s="825" t="s">
        <v>391</v>
      </c>
      <c r="B23" s="825"/>
      <c r="C23" s="825"/>
      <c r="D23" s="825"/>
      <c r="E23" s="825"/>
      <c r="F23" s="825"/>
      <c r="G23" s="825"/>
      <c r="H23" s="825"/>
      <c r="I23" s="825"/>
      <c r="J23" s="825"/>
      <c r="K23" s="825"/>
    </row>
    <row r="24" spans="1:11" ht="11.25" customHeight="1">
      <c r="A24" s="129"/>
      <c r="B24" s="129"/>
      <c r="C24" s="129"/>
      <c r="D24" s="129"/>
      <c r="E24" s="129"/>
      <c r="F24" s="129"/>
      <c r="G24" s="129"/>
      <c r="H24" s="129"/>
      <c r="I24" s="129"/>
      <c r="J24" s="129"/>
      <c r="K24" s="129"/>
    </row>
    <row r="25" spans="1:11" ht="11.25" customHeight="1">
      <c r="A25" s="128"/>
      <c r="B25" s="130"/>
      <c r="C25" s="130"/>
      <c r="D25" s="130"/>
      <c r="E25" s="130"/>
      <c r="F25" s="130"/>
      <c r="G25" s="130"/>
      <c r="H25" s="130"/>
      <c r="I25" s="130"/>
      <c r="J25" s="130"/>
      <c r="K25" s="130"/>
    </row>
    <row r="26" spans="1:11" ht="11.25" customHeight="1">
      <c r="A26" s="128"/>
      <c r="B26" s="130"/>
      <c r="C26" s="130"/>
      <c r="D26" s="130"/>
      <c r="E26" s="130"/>
      <c r="F26" s="130"/>
      <c r="G26" s="130"/>
      <c r="H26" s="130"/>
      <c r="I26" s="130"/>
      <c r="J26" s="130"/>
      <c r="K26" s="130"/>
    </row>
    <row r="27" spans="1:11" ht="11.25" customHeight="1">
      <c r="A27" s="128"/>
      <c r="B27" s="130"/>
      <c r="C27" s="130"/>
      <c r="D27" s="130"/>
      <c r="E27" s="130"/>
      <c r="F27" s="130"/>
      <c r="G27" s="130"/>
      <c r="H27" s="130"/>
      <c r="I27" s="130"/>
      <c r="J27" s="130"/>
      <c r="K27" s="130"/>
    </row>
    <row r="28" spans="1:11" ht="11.25" customHeight="1">
      <c r="A28" s="128"/>
      <c r="B28" s="130"/>
      <c r="C28" s="130"/>
      <c r="D28" s="130"/>
      <c r="E28" s="130"/>
      <c r="F28" s="130"/>
      <c r="G28" s="130"/>
      <c r="H28" s="130"/>
      <c r="I28" s="130"/>
      <c r="J28" s="130"/>
      <c r="K28" s="130"/>
    </row>
    <row r="29" spans="1:11" ht="11.25" customHeight="1">
      <c r="A29" s="128"/>
      <c r="B29" s="130"/>
      <c r="C29" s="130"/>
      <c r="D29" s="130"/>
      <c r="E29" s="130"/>
      <c r="F29" s="130"/>
      <c r="G29" s="130"/>
      <c r="H29" s="130"/>
      <c r="I29" s="130"/>
      <c r="J29" s="130"/>
      <c r="K29" s="130"/>
    </row>
    <row r="30" spans="1:11" ht="11.25" customHeight="1">
      <c r="A30" s="128"/>
      <c r="B30" s="130"/>
      <c r="C30" s="130"/>
      <c r="D30" s="130"/>
      <c r="E30" s="130"/>
      <c r="F30" s="130"/>
      <c r="G30" s="130"/>
      <c r="H30" s="130"/>
      <c r="I30" s="130"/>
      <c r="J30" s="130"/>
      <c r="K30" s="130"/>
    </row>
    <row r="31" spans="1:11" ht="11.25" customHeight="1">
      <c r="A31" s="128"/>
      <c r="B31" s="130"/>
      <c r="C31" s="130"/>
      <c r="D31" s="130"/>
      <c r="E31" s="130"/>
      <c r="F31" s="130"/>
      <c r="G31" s="130"/>
      <c r="H31" s="130"/>
      <c r="I31" s="130"/>
      <c r="J31" s="130"/>
      <c r="K31" s="130"/>
    </row>
    <row r="32" spans="1:11" ht="11.25" customHeight="1">
      <c r="A32" s="128"/>
      <c r="B32" s="130"/>
      <c r="C32" s="130"/>
      <c r="D32" s="130"/>
      <c r="E32" s="130"/>
      <c r="F32" s="130"/>
      <c r="G32" s="130"/>
      <c r="H32" s="130"/>
      <c r="I32" s="130"/>
      <c r="J32" s="130"/>
      <c r="K32" s="130"/>
    </row>
    <row r="33" spans="1:11" ht="11.25" customHeight="1">
      <c r="A33" s="128"/>
      <c r="B33" s="130"/>
      <c r="C33" s="130"/>
      <c r="D33" s="130"/>
      <c r="E33" s="130"/>
      <c r="F33" s="130"/>
      <c r="G33" s="130"/>
      <c r="H33" s="130"/>
      <c r="I33" s="130"/>
      <c r="J33" s="130"/>
      <c r="K33" s="130"/>
    </row>
    <row r="34" spans="1:11" ht="11.25" customHeight="1">
      <c r="A34" s="128"/>
      <c r="B34" s="130"/>
      <c r="C34" s="130"/>
      <c r="D34" s="130"/>
      <c r="E34" s="130"/>
      <c r="F34" s="130"/>
      <c r="G34" s="130"/>
      <c r="H34" s="130"/>
      <c r="I34" s="130"/>
      <c r="J34" s="130"/>
      <c r="K34" s="130"/>
    </row>
    <row r="35" spans="1:11" ht="11.25" customHeight="1">
      <c r="A35" s="128"/>
      <c r="B35" s="130"/>
      <c r="C35" s="130"/>
      <c r="D35" s="130"/>
      <c r="E35" s="130"/>
      <c r="F35" s="130"/>
      <c r="G35" s="130"/>
      <c r="H35" s="130"/>
      <c r="I35" s="130"/>
      <c r="J35" s="130"/>
      <c r="K35" s="130"/>
    </row>
    <row r="36" spans="1:11" ht="11.25" customHeight="1">
      <c r="A36" s="128"/>
      <c r="B36" s="130"/>
      <c r="C36" s="130"/>
      <c r="D36" s="130"/>
      <c r="E36" s="130"/>
      <c r="F36" s="130"/>
      <c r="G36" s="130"/>
      <c r="H36" s="130"/>
      <c r="I36" s="130"/>
      <c r="J36" s="130"/>
      <c r="K36" s="130"/>
    </row>
    <row r="37" spans="1:11" ht="11.25" customHeight="1">
      <c r="A37" s="128"/>
      <c r="B37" s="130"/>
      <c r="C37" s="130"/>
      <c r="D37" s="130"/>
      <c r="E37" s="130"/>
      <c r="F37" s="130"/>
      <c r="G37" s="130"/>
      <c r="H37" s="130"/>
      <c r="I37" s="130"/>
      <c r="J37" s="130"/>
      <c r="K37" s="130"/>
    </row>
    <row r="38" spans="1:11" ht="11.25" customHeight="1">
      <c r="A38" s="128"/>
      <c r="B38" s="130"/>
      <c r="C38" s="130"/>
      <c r="D38" s="130"/>
      <c r="E38" s="130"/>
      <c r="F38" s="130"/>
      <c r="G38" s="130"/>
      <c r="H38" s="130"/>
      <c r="I38" s="130"/>
      <c r="J38" s="130"/>
      <c r="K38" s="130"/>
    </row>
    <row r="39" spans="1:11" ht="11.25" customHeight="1">
      <c r="A39" s="128"/>
      <c r="B39" s="130"/>
      <c r="C39" s="130"/>
      <c r="D39" s="130"/>
      <c r="E39" s="130"/>
      <c r="F39" s="130"/>
      <c r="G39" s="130"/>
      <c r="H39" s="130"/>
      <c r="I39" s="130"/>
      <c r="J39" s="130"/>
      <c r="K39" s="130"/>
    </row>
    <row r="40" spans="1:11" ht="11.25" customHeight="1">
      <c r="A40" s="128"/>
      <c r="B40" s="130"/>
      <c r="C40" s="130"/>
      <c r="D40" s="130"/>
      <c r="E40" s="130"/>
      <c r="F40" s="130"/>
      <c r="G40" s="130"/>
      <c r="H40" s="130"/>
      <c r="I40" s="130"/>
      <c r="J40" s="130"/>
      <c r="K40" s="130"/>
    </row>
    <row r="41" spans="1:11" ht="11.25" customHeight="1">
      <c r="A41" s="128"/>
      <c r="B41" s="130"/>
      <c r="C41" s="130"/>
      <c r="D41" s="130"/>
      <c r="E41" s="130"/>
      <c r="F41" s="130"/>
      <c r="G41" s="130"/>
      <c r="H41" s="130"/>
      <c r="I41" s="130"/>
      <c r="J41" s="130"/>
      <c r="K41" s="130"/>
    </row>
    <row r="42" spans="1:11" ht="11.25" customHeight="1">
      <c r="A42" s="128"/>
      <c r="B42" s="130"/>
      <c r="C42" s="130"/>
      <c r="D42" s="130"/>
      <c r="E42" s="130"/>
      <c r="F42" s="130"/>
      <c r="G42" s="130"/>
      <c r="H42" s="130"/>
      <c r="I42" s="130"/>
      <c r="J42" s="130"/>
      <c r="K42" s="130"/>
    </row>
    <row r="43" spans="1:11" ht="11.25" customHeight="1">
      <c r="A43" s="128"/>
      <c r="B43" s="130"/>
      <c r="C43" s="130"/>
      <c r="D43" s="130"/>
      <c r="E43" s="130"/>
      <c r="F43" s="130"/>
      <c r="G43" s="130"/>
      <c r="H43" s="130"/>
      <c r="I43" s="130"/>
      <c r="J43" s="130"/>
      <c r="K43" s="130"/>
    </row>
    <row r="44" spans="1:11" ht="11.25" customHeight="1">
      <c r="A44" s="128"/>
      <c r="B44" s="130"/>
      <c r="C44" s="130"/>
      <c r="D44" s="130"/>
      <c r="E44" s="130"/>
      <c r="F44" s="130"/>
      <c r="G44" s="130"/>
      <c r="H44" s="130"/>
      <c r="I44" s="130"/>
      <c r="J44" s="130"/>
      <c r="K44" s="130"/>
    </row>
    <row r="45" spans="1:11" ht="11.25" customHeight="1">
      <c r="A45" s="128"/>
      <c r="B45" s="130"/>
      <c r="C45" s="130"/>
      <c r="D45" s="130"/>
      <c r="E45" s="130"/>
      <c r="F45" s="130"/>
      <c r="G45" s="130"/>
      <c r="H45" s="130"/>
      <c r="I45" s="130"/>
      <c r="J45" s="130"/>
      <c r="K45" s="130"/>
    </row>
    <row r="46" spans="1:11" ht="11.25" customHeight="1">
      <c r="A46" s="128"/>
      <c r="B46" s="130"/>
      <c r="C46" s="130"/>
      <c r="D46" s="130"/>
      <c r="E46" s="130"/>
      <c r="F46" s="130"/>
      <c r="G46" s="130"/>
      <c r="H46" s="130"/>
      <c r="I46" s="130"/>
      <c r="J46" s="130"/>
      <c r="K46" s="130"/>
    </row>
    <row r="47" spans="1:11">
      <c r="A47" s="128"/>
      <c r="B47" s="130"/>
      <c r="C47" s="130"/>
      <c r="D47" s="130"/>
      <c r="E47" s="130"/>
      <c r="F47" s="130"/>
      <c r="G47" s="130"/>
      <c r="H47" s="130"/>
      <c r="I47" s="130"/>
      <c r="J47" s="130"/>
      <c r="K47" s="130"/>
    </row>
    <row r="48" spans="1:11">
      <c r="A48" s="128"/>
      <c r="B48" s="130"/>
      <c r="C48" s="130"/>
      <c r="D48" s="130"/>
      <c r="E48" s="130"/>
      <c r="F48" s="130"/>
      <c r="G48" s="130"/>
      <c r="H48" s="130"/>
      <c r="I48" s="130"/>
      <c r="J48" s="130"/>
      <c r="K48" s="130"/>
    </row>
    <row r="49" spans="1:11">
      <c r="A49" s="128"/>
      <c r="B49" s="130"/>
      <c r="C49" s="130"/>
      <c r="D49" s="130"/>
      <c r="E49" s="130"/>
      <c r="F49" s="130"/>
      <c r="G49" s="130"/>
      <c r="H49" s="130"/>
      <c r="I49" s="130"/>
      <c r="J49" s="130"/>
      <c r="K49" s="130"/>
    </row>
    <row r="50" spans="1:11">
      <c r="A50" s="128"/>
      <c r="B50" s="130"/>
      <c r="C50" s="130"/>
      <c r="D50" s="130"/>
      <c r="E50" s="130"/>
      <c r="F50" s="130"/>
      <c r="G50" s="130"/>
      <c r="H50" s="130"/>
      <c r="I50" s="130"/>
      <c r="J50" s="130"/>
      <c r="K50" s="130"/>
    </row>
    <row r="51" spans="1:11">
      <c r="A51" s="128"/>
      <c r="B51" s="130"/>
      <c r="C51" s="130"/>
      <c r="D51" s="130"/>
      <c r="E51" s="130"/>
      <c r="F51" s="130"/>
      <c r="G51" s="130"/>
      <c r="H51" s="130"/>
      <c r="I51" s="130"/>
      <c r="J51" s="130"/>
      <c r="K51" s="130"/>
    </row>
    <row r="52" spans="1:11">
      <c r="A52" s="128"/>
      <c r="B52" s="130"/>
      <c r="C52" s="130"/>
      <c r="D52" s="130"/>
      <c r="E52" s="130"/>
      <c r="F52" s="130"/>
      <c r="G52" s="130"/>
      <c r="H52" s="130"/>
      <c r="I52" s="130"/>
      <c r="J52" s="130"/>
      <c r="K52" s="130"/>
    </row>
    <row r="53" spans="1:11">
      <c r="A53" s="128"/>
      <c r="B53" s="130"/>
      <c r="C53" s="130"/>
      <c r="D53" s="130"/>
      <c r="E53" s="130"/>
      <c r="F53" s="130"/>
      <c r="G53" s="130"/>
      <c r="H53" s="130"/>
      <c r="I53" s="130"/>
      <c r="J53" s="130"/>
      <c r="K53" s="130"/>
    </row>
    <row r="54" spans="1:11">
      <c r="A54" s="128"/>
      <c r="B54" s="130"/>
      <c r="C54" s="130"/>
      <c r="D54" s="130"/>
      <c r="E54" s="130"/>
      <c r="F54" s="130"/>
      <c r="G54" s="130"/>
      <c r="H54" s="130"/>
      <c r="I54" s="130"/>
      <c r="J54" s="130"/>
      <c r="K54" s="130"/>
    </row>
    <row r="55" spans="1:11">
      <c r="A55" s="128"/>
      <c r="B55" s="130"/>
      <c r="C55" s="130"/>
      <c r="D55" s="130"/>
      <c r="E55" s="130"/>
      <c r="F55" s="130"/>
      <c r="G55" s="130"/>
      <c r="H55" s="130"/>
      <c r="I55" s="130"/>
      <c r="J55" s="130"/>
      <c r="K55" s="130"/>
    </row>
    <row r="56" spans="1:11">
      <c r="A56" s="128"/>
      <c r="B56" s="130"/>
      <c r="C56" s="130"/>
      <c r="D56" s="130"/>
      <c r="E56" s="130"/>
      <c r="F56" s="130"/>
      <c r="G56" s="130"/>
      <c r="H56" s="130"/>
      <c r="I56" s="130"/>
      <c r="J56" s="130"/>
      <c r="K56" s="130"/>
    </row>
    <row r="57" spans="1:11">
      <c r="A57" s="128"/>
      <c r="B57" s="130"/>
      <c r="C57" s="130"/>
      <c r="D57" s="130"/>
      <c r="E57" s="130"/>
      <c r="F57" s="130"/>
      <c r="G57" s="130"/>
      <c r="H57" s="130"/>
      <c r="I57" s="130"/>
      <c r="J57" s="130"/>
      <c r="K57" s="130"/>
    </row>
    <row r="58" spans="1:11">
      <c r="A58" s="128"/>
      <c r="B58" s="130"/>
      <c r="C58" s="130"/>
      <c r="D58" s="130"/>
      <c r="E58" s="130"/>
      <c r="F58" s="130"/>
      <c r="G58" s="130"/>
      <c r="H58" s="130"/>
      <c r="I58" s="130"/>
      <c r="J58" s="130"/>
      <c r="K58" s="130"/>
    </row>
    <row r="59" spans="1:11">
      <c r="A59" s="128"/>
      <c r="B59" s="130"/>
      <c r="C59" s="130"/>
      <c r="D59" s="130"/>
      <c r="E59" s="130"/>
      <c r="F59" s="130"/>
      <c r="G59" s="130"/>
      <c r="H59" s="130"/>
      <c r="I59" s="130"/>
      <c r="J59" s="130"/>
      <c r="K59" s="130"/>
    </row>
    <row r="60" spans="1:11">
      <c r="B60" s="130"/>
      <c r="C60" s="130"/>
      <c r="D60" s="130"/>
      <c r="E60" s="130"/>
      <c r="F60" s="130"/>
      <c r="G60" s="130"/>
      <c r="H60" s="130"/>
      <c r="I60" s="130"/>
      <c r="J60" s="130"/>
      <c r="K60" s="130"/>
    </row>
    <row r="61" spans="1:11">
      <c r="A61" s="195"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6">
    <mergeCell ref="A23:K23"/>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ignoredErrors>
    <ignoredError sqref="K17 G17:J17"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G6" sqref="G6:H10"/>
    </sheetView>
  </sheetViews>
  <sheetFormatPr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1"/>
  </cols>
  <sheetData>
    <row r="1" spans="1:15" ht="11.25" customHeight="1"/>
    <row r="2" spans="1:15" ht="11.25" customHeight="1">
      <c r="A2" s="832" t="s">
        <v>179</v>
      </c>
      <c r="B2" s="832"/>
      <c r="C2" s="832"/>
      <c r="D2" s="832"/>
      <c r="E2" s="832"/>
      <c r="F2" s="832"/>
      <c r="G2" s="832"/>
      <c r="H2" s="832"/>
      <c r="I2" s="832"/>
      <c r="J2" s="832"/>
      <c r="K2" s="832"/>
      <c r="L2" s="352"/>
    </row>
    <row r="3" spans="1:15" ht="11.25" customHeight="1">
      <c r="A3" s="68"/>
      <c r="B3" s="67"/>
      <c r="C3" s="67"/>
      <c r="D3" s="67"/>
      <c r="E3" s="67"/>
      <c r="F3" s="67"/>
      <c r="G3" s="67"/>
      <c r="H3" s="67"/>
      <c r="I3" s="67"/>
      <c r="J3" s="67"/>
      <c r="K3" s="67"/>
      <c r="L3" s="352"/>
    </row>
    <row r="4" spans="1:15" ht="15.75" customHeight="1">
      <c r="A4" s="830" t="s">
        <v>175</v>
      </c>
      <c r="B4" s="827" t="s">
        <v>31</v>
      </c>
      <c r="C4" s="828"/>
      <c r="D4" s="828"/>
      <c r="E4" s="828" t="s">
        <v>32</v>
      </c>
      <c r="F4" s="828"/>
      <c r="G4" s="829" t="str">
        <f>+'4. Tipo Recurso'!G4:K4</f>
        <v>Generación Acumulada a febrero</v>
      </c>
      <c r="H4" s="829"/>
      <c r="I4" s="829"/>
      <c r="J4" s="829"/>
      <c r="K4" s="829"/>
      <c r="L4" s="353"/>
    </row>
    <row r="5" spans="1:15" ht="29.25" customHeight="1">
      <c r="A5" s="830"/>
      <c r="B5" s="313">
        <f>+'4. Tipo Recurso'!B5</f>
        <v>45631</v>
      </c>
      <c r="C5" s="313">
        <f>+'4. Tipo Recurso'!C5</f>
        <v>45661</v>
      </c>
      <c r="D5" s="313">
        <f>+'4. Tipo Recurso'!D5</f>
        <v>45689</v>
      </c>
      <c r="E5" s="313">
        <f>+'4. Tipo Recurso'!E5</f>
        <v>45324</v>
      </c>
      <c r="F5" s="313" t="s">
        <v>33</v>
      </c>
      <c r="G5" s="311">
        <v>2025</v>
      </c>
      <c r="H5" s="311">
        <v>2024</v>
      </c>
      <c r="I5" s="310" t="s">
        <v>756</v>
      </c>
      <c r="J5" s="311">
        <v>2023</v>
      </c>
      <c r="K5" s="312" t="s">
        <v>405</v>
      </c>
      <c r="L5" s="354"/>
    </row>
    <row r="6" spans="1:15" ht="11.25" customHeight="1">
      <c r="A6" s="131" t="s">
        <v>42</v>
      </c>
      <c r="B6" s="242">
        <v>227.01673835499994</v>
      </c>
      <c r="C6" s="243">
        <v>248.33076813749992</v>
      </c>
      <c r="D6" s="244">
        <v>221.71148372749997</v>
      </c>
      <c r="E6" s="242">
        <v>238.96938031249996</v>
      </c>
      <c r="F6" s="216">
        <f t="shared" ref="F6:F11" si="0">IF(E6=0,"",D6/E6-1)</f>
        <v>-7.2218024595585684E-2</v>
      </c>
      <c r="G6" s="242">
        <v>470.04225186499986</v>
      </c>
      <c r="H6" s="243">
        <v>492.71566408499996</v>
      </c>
      <c r="I6" s="220">
        <f t="shared" ref="I6:I11" si="1">IF(H6=0,"",G6/H6-1)</f>
        <v>-4.6017234426889764E-2</v>
      </c>
      <c r="J6" s="242">
        <v>455.06902132750014</v>
      </c>
      <c r="K6" s="216">
        <f t="shared" ref="K6:K11" si="2">IF(J6=0,"",H6/J6-1)</f>
        <v>8.2727324852127415E-2</v>
      </c>
      <c r="L6" s="355"/>
    </row>
    <row r="7" spans="1:15" ht="11.25" customHeight="1">
      <c r="A7" s="132" t="s">
        <v>36</v>
      </c>
      <c r="B7" s="245">
        <v>373.9745685675</v>
      </c>
      <c r="C7" s="211">
        <v>322.40327469749997</v>
      </c>
      <c r="D7" s="246">
        <v>192.03353596250003</v>
      </c>
      <c r="E7" s="245">
        <v>233.49556601750001</v>
      </c>
      <c r="F7" s="217">
        <f t="shared" si="0"/>
        <v>-0.17757095246893251</v>
      </c>
      <c r="G7" s="245">
        <v>514.43681065999999</v>
      </c>
      <c r="H7" s="211">
        <v>468.97834688750004</v>
      </c>
      <c r="I7" s="206">
        <f t="shared" si="1"/>
        <v>9.693083715740225E-2</v>
      </c>
      <c r="J7" s="245">
        <v>253.31870714250005</v>
      </c>
      <c r="K7" s="217">
        <f t="shared" si="2"/>
        <v>0.85133720354764164</v>
      </c>
      <c r="L7" s="355"/>
    </row>
    <row r="8" spans="1:15" ht="11.25" customHeight="1">
      <c r="A8" s="214" t="s">
        <v>28</v>
      </c>
      <c r="B8" s="281">
        <v>135.36950451000004</v>
      </c>
      <c r="C8" s="251">
        <v>117.99927711000001</v>
      </c>
      <c r="D8" s="282">
        <v>92.66295069249999</v>
      </c>
      <c r="E8" s="281">
        <v>84.630934647500013</v>
      </c>
      <c r="F8" s="218">
        <f t="shared" si="0"/>
        <v>9.4906384745181871E-2</v>
      </c>
      <c r="G8" s="281">
        <v>210.66222780250001</v>
      </c>
      <c r="H8" s="251">
        <v>192.1561167925</v>
      </c>
      <c r="I8" s="213">
        <f t="shared" si="1"/>
        <v>9.6307686265245662E-2</v>
      </c>
      <c r="J8" s="281">
        <v>127.06221037750001</v>
      </c>
      <c r="K8" s="218">
        <f t="shared" si="2"/>
        <v>0.51229949661356367</v>
      </c>
      <c r="L8" s="355"/>
      <c r="N8" s="749"/>
    </row>
    <row r="9" spans="1:15" ht="11.25" customHeight="1">
      <c r="A9" s="132" t="s">
        <v>45</v>
      </c>
      <c r="B9" s="245">
        <v>30.7206149575</v>
      </c>
      <c r="C9" s="211">
        <v>29.930613964999999</v>
      </c>
      <c r="D9" s="246">
        <v>21.941796849999999</v>
      </c>
      <c r="E9" s="245">
        <v>16.5737412175</v>
      </c>
      <c r="F9" s="217">
        <f t="shared" si="0"/>
        <v>0.32388919086246726</v>
      </c>
      <c r="G9" s="245">
        <v>51.872410814999995</v>
      </c>
      <c r="H9" s="211">
        <v>36.447349554999995</v>
      </c>
      <c r="I9" s="206">
        <f t="shared" si="1"/>
        <v>0.42321489623609487</v>
      </c>
      <c r="J9" s="245">
        <v>29.315786577500003</v>
      </c>
      <c r="K9" s="217">
        <f t="shared" si="2"/>
        <v>0.24326698376817557</v>
      </c>
      <c r="L9" s="356"/>
      <c r="O9" s="358"/>
    </row>
    <row r="10" spans="1:15" ht="11.25" customHeight="1">
      <c r="A10" s="215" t="s">
        <v>46</v>
      </c>
      <c r="B10" s="283">
        <v>7.5101795000000005</v>
      </c>
      <c r="C10" s="284">
        <v>8.1707808499999999</v>
      </c>
      <c r="D10" s="285">
        <v>7.1006956499999996</v>
      </c>
      <c r="E10" s="283">
        <v>7.2732080200000002</v>
      </c>
      <c r="F10" s="219">
        <f t="shared" si="0"/>
        <v>-2.3718882991607404E-2</v>
      </c>
      <c r="G10" s="283">
        <v>15.2714765</v>
      </c>
      <c r="H10" s="284">
        <v>14.58397197</v>
      </c>
      <c r="I10" s="221">
        <f t="shared" si="1"/>
        <v>4.7141103357455139E-2</v>
      </c>
      <c r="J10" s="283">
        <v>13.055732925000001</v>
      </c>
      <c r="K10" s="219">
        <f t="shared" si="2"/>
        <v>0.11705501742254731</v>
      </c>
      <c r="L10" s="355"/>
    </row>
    <row r="11" spans="1:15" ht="11.25" customHeight="1">
      <c r="A11" s="222" t="s">
        <v>172</v>
      </c>
      <c r="B11" s="266">
        <f>+B6+B7+B8+B9+B10</f>
        <v>774.59160588999998</v>
      </c>
      <c r="C11" s="267">
        <f t="shared" ref="C11:D11" si="3">+C6+C7+C8+C9+C10</f>
        <v>726.83471475999988</v>
      </c>
      <c r="D11" s="268">
        <f t="shared" si="3"/>
        <v>535.45046288250001</v>
      </c>
      <c r="E11" s="269">
        <f>+E6+E7+E8+E9+E10</f>
        <v>580.94283021499996</v>
      </c>
      <c r="F11" s="223">
        <f t="shared" si="0"/>
        <v>-7.8307821297430857E-2</v>
      </c>
      <c r="G11" s="279">
        <f>+G6+G7+G8+G9+G10</f>
        <v>1262.2851776424998</v>
      </c>
      <c r="H11" s="280">
        <f>+H6+H7+H8+H9+H10</f>
        <v>1204.8814492900001</v>
      </c>
      <c r="I11" s="224">
        <f t="shared" si="1"/>
        <v>4.7642636033881969E-2</v>
      </c>
      <c r="J11" s="279">
        <f>+J6+J7+J8+J9+J10</f>
        <v>877.82145835000028</v>
      </c>
      <c r="K11" s="223">
        <f t="shared" si="2"/>
        <v>0.37258144902809631</v>
      </c>
      <c r="L11" s="353"/>
    </row>
    <row r="12" spans="1:15" ht="24.75" customHeight="1">
      <c r="A12" s="225" t="s">
        <v>173</v>
      </c>
      <c r="B12" s="226">
        <f>B11/'4. Tipo Recurso'!B17</f>
        <v>0.14946723392966438</v>
      </c>
      <c r="C12" s="447">
        <f>C11/'4. Tipo Recurso'!C17</f>
        <v>0.14043683450281599</v>
      </c>
      <c r="D12" s="447">
        <f>D11/'4. Tipo Recurso'!D17</f>
        <v>0.1101555004634059</v>
      </c>
      <c r="E12" s="604">
        <f>E11/'4. Tipo Recurso'!E17</f>
        <v>0.11844555167408009</v>
      </c>
      <c r="F12" s="227"/>
      <c r="G12" s="226">
        <f>G11/'4. Tipo Recurso'!G17</f>
        <v>0.12577117187494333</v>
      </c>
      <c r="H12" s="224">
        <f>H11/'4. Tipo Recurso'!H17</f>
        <v>0.12068472544405545</v>
      </c>
      <c r="I12" s="224"/>
      <c r="J12" s="226">
        <f>J11/'4. Tipo Recurso'!J17</f>
        <v>9.3215559836642023E-2</v>
      </c>
      <c r="K12" s="227"/>
      <c r="L12" s="353"/>
    </row>
    <row r="13" spans="1:15" ht="11.25" customHeight="1">
      <c r="A13" s="228" t="s">
        <v>174</v>
      </c>
      <c r="B13" s="126"/>
      <c r="C13" s="126"/>
      <c r="D13" s="126"/>
      <c r="E13" s="126"/>
      <c r="F13" s="126"/>
      <c r="G13" s="126"/>
      <c r="H13" s="126"/>
      <c r="I13" s="126"/>
      <c r="J13" s="126"/>
      <c r="K13" s="127"/>
      <c r="L13" s="353"/>
    </row>
    <row r="14" spans="1:15" ht="35.25" customHeight="1">
      <c r="A14" s="833" t="s">
        <v>406</v>
      </c>
      <c r="B14" s="833"/>
      <c r="C14" s="833"/>
      <c r="D14" s="833"/>
      <c r="E14" s="833"/>
      <c r="F14" s="833"/>
      <c r="G14" s="833"/>
      <c r="H14" s="833"/>
      <c r="I14" s="833"/>
      <c r="J14" s="833"/>
      <c r="K14" s="833"/>
      <c r="L14" s="353"/>
    </row>
    <row r="15" spans="1:15" ht="11.25" customHeight="1">
      <c r="A15" s="27"/>
      <c r="L15" s="353"/>
    </row>
    <row r="16" spans="1:15" ht="11.25" customHeight="1">
      <c r="A16" s="128"/>
      <c r="B16" s="139"/>
      <c r="C16" s="139"/>
      <c r="D16" s="139"/>
      <c r="E16" s="139"/>
      <c r="F16" s="139"/>
      <c r="G16" s="139"/>
      <c r="H16" s="139"/>
      <c r="I16" s="139"/>
      <c r="J16" s="139"/>
      <c r="K16" s="139"/>
      <c r="L16" s="353"/>
    </row>
    <row r="17" spans="1:12" ht="11.25" customHeight="1">
      <c r="A17" s="139"/>
      <c r="B17" s="139"/>
      <c r="C17" s="139"/>
      <c r="D17" s="139"/>
      <c r="E17" s="139"/>
      <c r="F17" s="139"/>
      <c r="G17" s="139"/>
      <c r="H17" s="139"/>
      <c r="I17" s="139"/>
      <c r="J17" s="139"/>
      <c r="K17" s="139"/>
      <c r="L17" s="353"/>
    </row>
    <row r="18" spans="1:12" ht="11.25" customHeight="1">
      <c r="A18" s="139"/>
      <c r="B18" s="139"/>
      <c r="C18" s="139"/>
      <c r="D18" s="139"/>
      <c r="E18" s="139"/>
      <c r="F18" s="139"/>
      <c r="G18" s="139"/>
      <c r="H18" s="139"/>
      <c r="I18" s="139"/>
      <c r="J18" s="139"/>
      <c r="K18" s="139"/>
      <c r="L18" s="357"/>
    </row>
    <row r="19" spans="1:12" ht="11.25" customHeight="1">
      <c r="A19" s="128"/>
      <c r="B19" s="130"/>
      <c r="C19" s="130"/>
      <c r="D19" s="130"/>
      <c r="E19" s="130"/>
      <c r="F19" s="130"/>
      <c r="G19" s="130"/>
      <c r="H19" s="130"/>
      <c r="I19" s="130"/>
      <c r="J19" s="130"/>
      <c r="K19" s="130"/>
      <c r="L19" s="353"/>
    </row>
    <row r="20" spans="1:12" ht="11.25" customHeight="1">
      <c r="A20" s="128"/>
      <c r="B20" s="130"/>
      <c r="C20" s="130"/>
      <c r="D20" s="130"/>
      <c r="E20" s="130"/>
      <c r="F20" s="130"/>
      <c r="G20" s="130"/>
      <c r="H20" s="130"/>
      <c r="I20" s="130"/>
      <c r="J20" s="130"/>
      <c r="K20" s="130"/>
      <c r="L20" s="353"/>
    </row>
    <row r="21" spans="1:12" ht="11.25" customHeight="1">
      <c r="A21" s="128"/>
      <c r="B21" s="130"/>
      <c r="C21" s="130"/>
      <c r="D21" s="130"/>
      <c r="E21" s="130"/>
      <c r="F21" s="130"/>
      <c r="G21" s="130"/>
      <c r="H21" s="130"/>
      <c r="I21" s="130"/>
      <c r="J21" s="130"/>
      <c r="K21" s="130"/>
      <c r="L21" s="353"/>
    </row>
    <row r="22" spans="1:12" ht="11.25" customHeight="1">
      <c r="A22" s="128"/>
      <c r="B22" s="130"/>
      <c r="C22" s="130"/>
      <c r="D22" s="130"/>
      <c r="E22" s="130"/>
      <c r="F22" s="130"/>
      <c r="G22" s="130"/>
      <c r="H22" s="130"/>
      <c r="I22" s="130"/>
      <c r="J22" s="130"/>
      <c r="K22" s="130"/>
      <c r="L22" s="357"/>
    </row>
    <row r="23" spans="1:12" ht="11.25" customHeight="1">
      <c r="A23" s="128"/>
      <c r="B23" s="130"/>
      <c r="C23" s="130"/>
      <c r="D23" s="130"/>
      <c r="E23" s="130"/>
      <c r="F23" s="130"/>
      <c r="G23" s="130"/>
      <c r="H23" s="130"/>
      <c r="I23" s="130"/>
      <c r="J23" s="130"/>
      <c r="K23" s="130"/>
      <c r="L23" s="353"/>
    </row>
    <row r="24" spans="1:12" ht="11.25" customHeight="1">
      <c r="A24" s="128"/>
      <c r="B24" s="130"/>
      <c r="C24" s="130"/>
      <c r="D24" s="130"/>
      <c r="E24" s="130"/>
      <c r="F24" s="130"/>
      <c r="G24" s="130"/>
      <c r="H24" s="130"/>
      <c r="I24" s="130"/>
      <c r="J24" s="130"/>
      <c r="K24" s="130"/>
      <c r="L24" s="353"/>
    </row>
    <row r="25" spans="1:12" ht="11.25" customHeight="1">
      <c r="A25" s="128"/>
      <c r="B25" s="130"/>
      <c r="C25" s="130"/>
      <c r="D25" s="130"/>
      <c r="E25" s="130"/>
      <c r="F25" s="130"/>
      <c r="G25" s="130"/>
      <c r="H25" s="130"/>
      <c r="I25" s="130"/>
      <c r="J25" s="130"/>
      <c r="K25" s="130"/>
      <c r="L25" s="353"/>
    </row>
    <row r="26" spans="1:12" ht="11.25" customHeight="1">
      <c r="A26" s="128"/>
      <c r="B26" s="130"/>
      <c r="C26" s="130"/>
      <c r="D26" s="130"/>
      <c r="E26" s="130"/>
      <c r="F26" s="130"/>
      <c r="G26" s="130"/>
      <c r="H26" s="130"/>
      <c r="I26" s="130"/>
      <c r="J26" s="130"/>
      <c r="K26" s="130"/>
      <c r="L26" s="353"/>
    </row>
    <row r="27" spans="1:12" ht="11.25" customHeight="1">
      <c r="A27" s="128"/>
      <c r="B27" s="130"/>
      <c r="C27" s="130"/>
      <c r="D27" s="130"/>
      <c r="E27" s="130"/>
      <c r="F27" s="130"/>
      <c r="G27" s="130"/>
      <c r="H27" s="130"/>
      <c r="I27" s="130"/>
      <c r="J27" s="130"/>
      <c r="K27" s="130"/>
      <c r="L27" s="353"/>
    </row>
    <row r="28" spans="1:12" ht="11.25" customHeight="1">
      <c r="A28" s="128"/>
      <c r="B28" s="130"/>
      <c r="C28" s="130"/>
      <c r="D28" s="130"/>
      <c r="E28" s="130"/>
      <c r="F28" s="130"/>
      <c r="G28" s="130"/>
      <c r="H28" s="130"/>
      <c r="I28" s="130"/>
      <c r="J28" s="130"/>
      <c r="K28" s="130"/>
      <c r="L28" s="353"/>
    </row>
    <row r="29" spans="1:12" ht="11.25" customHeight="1">
      <c r="A29" s="128"/>
      <c r="B29" s="130"/>
      <c r="C29" s="130"/>
      <c r="D29" s="130"/>
      <c r="E29" s="130"/>
      <c r="F29" s="130"/>
      <c r="G29" s="130"/>
      <c r="H29" s="130"/>
      <c r="I29" s="130"/>
      <c r="J29" s="130"/>
      <c r="K29" s="130"/>
      <c r="L29" s="353"/>
    </row>
    <row r="30" spans="1:12" ht="11.25" customHeight="1">
      <c r="A30" s="128"/>
      <c r="B30" s="130"/>
      <c r="C30" s="130"/>
      <c r="D30" s="130"/>
      <c r="E30" s="130"/>
      <c r="F30" s="130"/>
      <c r="G30" s="130"/>
      <c r="H30" s="130"/>
      <c r="I30" s="130"/>
      <c r="J30" s="130"/>
      <c r="K30" s="130"/>
      <c r="L30" s="353"/>
    </row>
    <row r="31" spans="1:12" ht="11.25" customHeight="1">
      <c r="A31" s="128"/>
      <c r="B31" s="130"/>
      <c r="C31" s="130"/>
      <c r="D31" s="130"/>
      <c r="E31" s="130"/>
      <c r="F31" s="130"/>
      <c r="G31" s="130"/>
      <c r="H31" s="130"/>
      <c r="I31" s="130"/>
      <c r="J31" s="130"/>
      <c r="K31" s="130"/>
      <c r="L31" s="353"/>
    </row>
    <row r="32" spans="1:12" ht="11.25" customHeight="1">
      <c r="A32" s="128"/>
      <c r="B32" s="130"/>
      <c r="C32" s="130"/>
      <c r="D32" s="130"/>
      <c r="E32" s="130"/>
      <c r="F32" s="130"/>
      <c r="G32" s="130"/>
      <c r="H32" s="130"/>
      <c r="I32" s="130"/>
      <c r="J32" s="130"/>
      <c r="K32" s="130"/>
      <c r="L32" s="353"/>
    </row>
    <row r="33" spans="1:16" ht="11.25" customHeight="1">
      <c r="A33" s="128"/>
      <c r="B33" s="130"/>
      <c r="C33" s="130"/>
      <c r="D33" s="130"/>
      <c r="E33" s="130"/>
      <c r="F33" s="130"/>
      <c r="G33" s="130"/>
      <c r="H33" s="130"/>
      <c r="I33" s="130"/>
      <c r="J33" s="130"/>
      <c r="K33" s="130"/>
      <c r="L33" s="353"/>
    </row>
    <row r="34" spans="1:16" ht="11.25" customHeight="1">
      <c r="A34" s="128"/>
      <c r="B34" s="130"/>
      <c r="C34" s="130"/>
      <c r="D34" s="130"/>
      <c r="E34" s="130"/>
      <c r="F34" s="130"/>
      <c r="G34" s="130"/>
      <c r="H34" s="130"/>
      <c r="I34" s="130"/>
      <c r="J34" s="130"/>
      <c r="K34" s="130"/>
      <c r="L34" s="353"/>
    </row>
    <row r="35" spans="1:16" ht="11.25" customHeight="1">
      <c r="A35" s="831"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5" s="831"/>
      <c r="C35" s="831"/>
      <c r="D35" s="831"/>
      <c r="E35" s="831"/>
      <c r="F35" s="831"/>
      <c r="G35" s="831"/>
      <c r="H35" s="831"/>
      <c r="I35" s="831"/>
      <c r="J35" s="831"/>
      <c r="K35" s="831"/>
      <c r="L35" s="485"/>
      <c r="M35" s="241"/>
      <c r="N35" s="241"/>
      <c r="O35" s="241"/>
    </row>
    <row r="36" spans="1:16" ht="11.25" customHeight="1">
      <c r="L36" s="486"/>
      <c r="M36" s="452"/>
      <c r="N36" s="452"/>
      <c r="O36" s="452"/>
    </row>
    <row r="37" spans="1:16" ht="11.25" customHeight="1">
      <c r="A37" s="128"/>
      <c r="B37" s="130"/>
      <c r="C37" s="130"/>
      <c r="D37" s="130"/>
      <c r="E37" s="130"/>
      <c r="F37" s="130"/>
      <c r="G37" s="130"/>
      <c r="H37" s="130"/>
      <c r="I37" s="130"/>
      <c r="J37" s="130"/>
      <c r="K37" s="130"/>
      <c r="L37" s="485"/>
      <c r="M37" s="452"/>
      <c r="N37" s="452"/>
      <c r="O37" s="452"/>
    </row>
    <row r="38" spans="1:16" ht="11.25" customHeight="1">
      <c r="A38" s="128"/>
      <c r="B38" s="130"/>
      <c r="C38" s="130"/>
      <c r="D38" s="130"/>
      <c r="E38" s="130"/>
      <c r="F38" s="611"/>
      <c r="G38" s="130"/>
      <c r="H38" s="130"/>
      <c r="I38" s="130"/>
      <c r="J38" s="130"/>
      <c r="K38" s="130"/>
      <c r="L38" s="485"/>
      <c r="M38" s="452"/>
      <c r="N38" s="452"/>
      <c r="O38" s="452"/>
    </row>
    <row r="39" spans="1:16" ht="11.25" customHeight="1">
      <c r="A39" s="128"/>
      <c r="B39" s="130"/>
      <c r="C39" s="130"/>
      <c r="D39" s="130"/>
      <c r="E39" s="130"/>
      <c r="F39" s="130"/>
      <c r="G39" s="130"/>
      <c r="H39" s="130"/>
      <c r="I39" s="130"/>
      <c r="J39" s="130"/>
      <c r="K39" s="130"/>
      <c r="L39" s="485"/>
      <c r="M39" s="241"/>
      <c r="N39" s="241"/>
      <c r="O39" s="452"/>
    </row>
    <row r="40" spans="1:16" ht="11.25" customHeight="1">
      <c r="A40" s="128"/>
      <c r="B40" s="130"/>
      <c r="C40" s="229" t="s">
        <v>177</v>
      </c>
      <c r="D40" s="147"/>
      <c r="E40" s="147"/>
      <c r="F40" s="278">
        <f>+'4. Tipo Recurso'!D17</f>
        <v>4860.8599718574997</v>
      </c>
      <c r="G40" s="229" t="s">
        <v>176</v>
      </c>
      <c r="H40" s="130"/>
      <c r="I40" s="130"/>
      <c r="J40" s="130"/>
      <c r="K40" s="130"/>
      <c r="L40" s="485"/>
      <c r="M40" s="718">
        <f>+F40-F41</f>
        <v>4325.4099718574998</v>
      </c>
      <c r="N40" s="241"/>
      <c r="O40" s="452"/>
      <c r="P40" s="358"/>
    </row>
    <row r="41" spans="1:16" ht="11.25" customHeight="1">
      <c r="A41" s="128"/>
      <c r="B41" s="130"/>
      <c r="C41" s="229" t="s">
        <v>178</v>
      </c>
      <c r="D41" s="147"/>
      <c r="E41" s="147"/>
      <c r="F41" s="278">
        <f>ROUND(D11,2)</f>
        <v>535.45000000000005</v>
      </c>
      <c r="G41" s="229" t="s">
        <v>176</v>
      </c>
      <c r="H41" s="130"/>
      <c r="I41" s="130"/>
      <c r="J41" s="130"/>
      <c r="K41" s="130"/>
      <c r="L41" s="485"/>
      <c r="M41" s="719"/>
      <c r="N41" s="241"/>
      <c r="O41" s="452"/>
      <c r="P41" s="358"/>
    </row>
    <row r="42" spans="1:16" ht="11.25" customHeight="1">
      <c r="A42" s="128"/>
      <c r="B42" s="130"/>
      <c r="C42" s="130"/>
      <c r="D42" s="130"/>
      <c r="E42" s="130"/>
      <c r="F42" s="130"/>
      <c r="G42" s="130"/>
      <c r="H42" s="130"/>
      <c r="I42" s="130"/>
      <c r="J42" s="130"/>
      <c r="K42" s="130"/>
      <c r="L42" s="485"/>
      <c r="M42" s="241"/>
      <c r="N42" s="241"/>
      <c r="O42" s="452"/>
      <c r="P42" s="358"/>
    </row>
    <row r="43" spans="1:16" ht="11.25" customHeight="1">
      <c r="A43" s="128"/>
      <c r="B43" s="130"/>
      <c r="C43" s="130"/>
      <c r="D43" s="130"/>
      <c r="E43" s="130"/>
      <c r="F43" s="130"/>
      <c r="G43" s="130"/>
      <c r="H43" s="130"/>
      <c r="I43" s="130"/>
      <c r="J43" s="130"/>
      <c r="K43" s="130"/>
      <c r="L43" s="485"/>
      <c r="M43" s="241"/>
      <c r="N43" s="241"/>
      <c r="O43" s="452"/>
      <c r="P43" s="358"/>
    </row>
    <row r="44" spans="1:16" ht="11.25" customHeight="1">
      <c r="A44" s="128"/>
      <c r="B44" s="130"/>
      <c r="C44" s="130"/>
      <c r="D44" s="130"/>
      <c r="E44" s="130"/>
      <c r="F44" s="130"/>
      <c r="G44" s="130"/>
      <c r="H44" s="130"/>
      <c r="I44" s="130"/>
      <c r="J44" s="130"/>
      <c r="K44" s="130"/>
      <c r="L44" s="485"/>
      <c r="M44" s="452"/>
      <c r="N44" s="452"/>
      <c r="O44" s="452"/>
      <c r="P44" s="358"/>
    </row>
    <row r="45" spans="1:16" ht="11.25" customHeight="1">
      <c r="A45" s="128"/>
      <c r="B45" s="130"/>
      <c r="C45" s="130"/>
      <c r="D45" s="130"/>
      <c r="E45" s="130"/>
      <c r="F45" s="130"/>
      <c r="G45" s="130"/>
      <c r="H45" s="130"/>
      <c r="I45" s="130"/>
      <c r="J45" s="130"/>
      <c r="K45" s="130"/>
      <c r="L45" s="485"/>
      <c r="M45" s="452"/>
      <c r="N45" s="452">
        <f>100-86.781</f>
        <v>13.218999999999994</v>
      </c>
      <c r="O45" s="452"/>
      <c r="P45" s="358"/>
    </row>
    <row r="46" spans="1:16" ht="11.25" customHeight="1">
      <c r="A46" s="128"/>
      <c r="B46" s="130"/>
      <c r="C46" s="130"/>
      <c r="D46" s="130"/>
      <c r="E46" s="130"/>
      <c r="F46" s="130"/>
      <c r="G46" s="130"/>
      <c r="H46" s="130"/>
      <c r="I46" s="130"/>
      <c r="J46" s="130"/>
      <c r="K46" s="130"/>
      <c r="L46" s="485"/>
      <c r="M46" s="452"/>
      <c r="N46" s="452"/>
      <c r="O46" s="452"/>
      <c r="P46" s="358"/>
    </row>
    <row r="47" spans="1:16" ht="11.25" customHeight="1">
      <c r="A47" s="128"/>
      <c r="B47" s="130"/>
      <c r="C47" s="130"/>
      <c r="D47" s="130"/>
      <c r="E47" s="130"/>
      <c r="F47" s="130"/>
      <c r="G47" s="130"/>
      <c r="H47" s="130"/>
      <c r="I47" s="130"/>
      <c r="J47" s="130"/>
      <c r="K47" s="130"/>
      <c r="L47" s="353"/>
      <c r="M47" s="452"/>
      <c r="N47" s="452"/>
      <c r="O47" s="452"/>
      <c r="P47" s="358"/>
    </row>
    <row r="48" spans="1:16" ht="11.25" customHeight="1">
      <c r="A48" s="128"/>
      <c r="B48" s="130"/>
      <c r="C48" s="130"/>
      <c r="D48" s="130"/>
      <c r="E48" s="130"/>
      <c r="F48" s="130"/>
      <c r="G48" s="130"/>
      <c r="H48" s="130"/>
      <c r="I48" s="130"/>
      <c r="J48" s="130"/>
      <c r="K48" s="130"/>
      <c r="M48" s="452"/>
      <c r="N48" s="452"/>
      <c r="O48" s="452"/>
    </row>
    <row r="49" spans="1:11" ht="11.25" customHeight="1">
      <c r="A49" s="128"/>
      <c r="B49" s="130"/>
      <c r="C49" s="130"/>
      <c r="D49" s="130"/>
      <c r="E49" s="130"/>
      <c r="F49" s="130"/>
      <c r="G49" s="130"/>
      <c r="H49" s="130"/>
      <c r="I49" s="130"/>
      <c r="J49" s="130"/>
      <c r="K49" s="130"/>
    </row>
    <row r="50" spans="1:11" ht="11.25" customHeight="1">
      <c r="A50" s="128"/>
      <c r="B50" s="130"/>
      <c r="C50" s="130"/>
      <c r="D50" s="130"/>
      <c r="E50" s="130"/>
      <c r="F50" s="130"/>
      <c r="G50" s="130"/>
      <c r="H50" s="130"/>
      <c r="I50" s="130"/>
      <c r="J50" s="130"/>
      <c r="K50" s="130"/>
    </row>
    <row r="51" spans="1:11" ht="11.25" customHeight="1">
      <c r="A51" s="128"/>
      <c r="B51" s="130"/>
      <c r="C51" s="130"/>
      <c r="D51" s="130"/>
      <c r="E51" s="130"/>
      <c r="F51" s="130"/>
      <c r="G51" s="130"/>
      <c r="H51" s="130"/>
      <c r="I51" s="130"/>
      <c r="J51" s="130"/>
      <c r="K51" s="130"/>
    </row>
    <row r="52" spans="1:11">
      <c r="A52" s="128"/>
      <c r="B52" s="130"/>
      <c r="C52" s="130"/>
      <c r="D52" s="130"/>
      <c r="E52" s="130"/>
      <c r="F52" s="130"/>
      <c r="G52" s="130"/>
      <c r="H52" s="130"/>
      <c r="I52" s="130"/>
      <c r="J52" s="130"/>
      <c r="K52" s="130"/>
    </row>
    <row r="53" spans="1:11">
      <c r="A53" s="128"/>
      <c r="B53" s="130"/>
      <c r="C53" s="130"/>
      <c r="D53" s="130"/>
      <c r="E53" s="130"/>
      <c r="F53" s="130"/>
      <c r="G53" s="130"/>
      <c r="H53" s="130"/>
      <c r="I53" s="130"/>
      <c r="J53" s="130"/>
      <c r="K53" s="130"/>
    </row>
    <row r="54" spans="1:11">
      <c r="A54" s="128"/>
      <c r="B54" s="130"/>
      <c r="C54" s="130"/>
      <c r="D54" s="130"/>
      <c r="E54" s="130"/>
      <c r="F54" s="130"/>
      <c r="G54" s="130"/>
      <c r="H54" s="130"/>
      <c r="I54" s="130"/>
      <c r="J54" s="130"/>
      <c r="K54" s="130"/>
    </row>
    <row r="55" spans="1:11">
      <c r="A55" s="128"/>
      <c r="B55" s="130"/>
      <c r="C55" s="130"/>
      <c r="D55" s="130"/>
      <c r="E55" s="130"/>
      <c r="F55" s="130"/>
      <c r="G55" s="130"/>
      <c r="H55" s="130"/>
      <c r="I55" s="130"/>
      <c r="J55" s="130"/>
      <c r="K55" s="130"/>
    </row>
    <row r="56" spans="1:11">
      <c r="A56" s="128"/>
      <c r="B56" s="130"/>
      <c r="C56" s="130"/>
      <c r="D56" s="130"/>
      <c r="E56" s="130"/>
      <c r="F56" s="130"/>
      <c r="G56" s="130"/>
      <c r="H56" s="130"/>
      <c r="I56" s="130"/>
      <c r="J56" s="130"/>
      <c r="K56" s="130"/>
    </row>
    <row r="57" spans="1:11">
      <c r="A57" s="128"/>
      <c r="B57" s="130"/>
      <c r="C57" s="130"/>
      <c r="D57" s="130"/>
      <c r="E57" s="130"/>
      <c r="F57" s="130"/>
      <c r="G57" s="130"/>
      <c r="H57" s="130"/>
      <c r="I57" s="130"/>
      <c r="J57" s="130"/>
      <c r="K57" s="130"/>
    </row>
    <row r="58" spans="1:11">
      <c r="A58" s="128"/>
      <c r="B58" s="130"/>
      <c r="C58" s="130"/>
      <c r="D58" s="130"/>
      <c r="E58" s="130"/>
      <c r="F58" s="130"/>
      <c r="G58" s="130"/>
      <c r="H58" s="130"/>
      <c r="I58" s="130"/>
      <c r="J58" s="130"/>
      <c r="K58" s="130"/>
    </row>
    <row r="59" spans="1:11">
      <c r="A59" s="128"/>
      <c r="B59" s="130"/>
      <c r="C59" s="130"/>
      <c r="D59" s="130"/>
      <c r="E59" s="130"/>
      <c r="F59" s="130"/>
      <c r="G59" s="130"/>
      <c r="H59" s="130"/>
      <c r="I59" s="130"/>
      <c r="J59" s="130"/>
      <c r="K59" s="130"/>
    </row>
    <row r="60" spans="1:11">
      <c r="A60" s="128"/>
      <c r="B60" s="130"/>
      <c r="C60" s="130"/>
      <c r="D60" s="130"/>
      <c r="E60" s="130"/>
      <c r="F60" s="130"/>
      <c r="G60" s="130"/>
      <c r="H60" s="130"/>
      <c r="I60" s="130"/>
      <c r="J60" s="130"/>
      <c r="K60" s="130"/>
    </row>
    <row r="61" spans="1:11">
      <c r="A61" s="128"/>
      <c r="B61" s="130"/>
      <c r="C61" s="130"/>
      <c r="D61" s="130"/>
      <c r="E61" s="130"/>
      <c r="F61" s="130"/>
      <c r="G61" s="130"/>
      <c r="H61" s="130"/>
      <c r="I61" s="130"/>
      <c r="J61" s="130"/>
      <c r="K61" s="130"/>
    </row>
    <row r="62" spans="1:11">
      <c r="B62" s="130"/>
      <c r="C62" s="130"/>
      <c r="D62" s="130"/>
      <c r="E62" s="130"/>
      <c r="F62" s="130"/>
      <c r="G62" s="130"/>
      <c r="H62" s="130"/>
      <c r="I62" s="130"/>
      <c r="J62" s="130"/>
      <c r="K62" s="130"/>
    </row>
    <row r="63" spans="1:11">
      <c r="A63" s="195" t="str">
        <f>"Gráfico N° 7: Participación de las RER en la Matriz de Generación del SEIN en "&amp;'1. Resumen'!Q4&amp;" "&amp;'1. Resumen'!Q5&amp;"."</f>
        <v>Gráfico N° 7: Participación de las RER en la Matriz de Generación del SEIN en febrero 2025.</v>
      </c>
      <c r="B63" s="130"/>
      <c r="C63" s="130"/>
      <c r="D63" s="130"/>
      <c r="E63" s="130"/>
      <c r="F63" s="130"/>
      <c r="G63" s="130"/>
      <c r="H63" s="130"/>
      <c r="I63" s="130"/>
      <c r="J63" s="130"/>
      <c r="K63" s="130"/>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Normal="100" zoomScaleSheetLayoutView="100" zoomScalePageLayoutView="115" workbookViewId="0">
      <selection activeCell="Q39" sqref="Q39"/>
    </sheetView>
  </sheetViews>
  <sheetFormatPr defaultColWidth="9.28515625" defaultRowHeight="10.199999999999999"/>
  <cols>
    <col min="1" max="12" width="10.28515625" customWidth="1"/>
    <col min="13" max="13" width="21.140625" style="454" bestFit="1" customWidth="1"/>
    <col min="14" max="14" width="9.28515625" style="615"/>
    <col min="15" max="15" width="9.28515625" style="454"/>
    <col min="16" max="16" width="11.85546875" style="454" customWidth="1"/>
    <col min="17" max="20" width="9.28515625" style="454"/>
    <col min="21" max="21" width="15" style="454" customWidth="1"/>
    <col min="22" max="22" width="9.28515625" style="454"/>
    <col min="23" max="23" width="14.140625" style="454" bestFit="1" customWidth="1"/>
    <col min="26" max="26" width="17.85546875" bestFit="1" customWidth="1"/>
  </cols>
  <sheetData>
    <row r="2" spans="1:26" ht="11.25" customHeight="1">
      <c r="A2" s="834" t="s">
        <v>183</v>
      </c>
      <c r="B2" s="834"/>
      <c r="C2" s="834"/>
      <c r="D2" s="834"/>
      <c r="E2" s="834"/>
      <c r="F2" s="834"/>
      <c r="G2" s="834"/>
      <c r="H2" s="834"/>
      <c r="I2" s="834"/>
      <c r="J2" s="834"/>
      <c r="K2" s="834"/>
      <c r="L2" s="834"/>
    </row>
    <row r="3" spans="1:26" ht="11.25" customHeight="1"/>
    <row r="4" spans="1:26" ht="11.25" customHeight="1">
      <c r="M4" s="616" t="s">
        <v>50</v>
      </c>
      <c r="N4" s="617" t="s">
        <v>29</v>
      </c>
      <c r="O4" s="616"/>
      <c r="P4" s="618"/>
      <c r="Q4" s="619"/>
      <c r="R4" s="619"/>
    </row>
    <row r="5" spans="1:26" ht="10.5" customHeight="1">
      <c r="A5" s="140"/>
      <c r="B5" s="130"/>
      <c r="C5" s="130"/>
      <c r="D5" s="130"/>
      <c r="E5" s="130"/>
      <c r="F5" s="130"/>
      <c r="G5" s="130"/>
      <c r="H5" s="130"/>
      <c r="I5" s="130"/>
      <c r="J5" s="130"/>
      <c r="K5" s="130"/>
      <c r="L5" s="130"/>
      <c r="M5" s="616"/>
      <c r="N5" s="617"/>
      <c r="O5" s="616"/>
      <c r="P5" s="616" t="s">
        <v>51</v>
      </c>
      <c r="Q5" s="616" t="s">
        <v>52</v>
      </c>
      <c r="R5" s="616"/>
      <c r="V5" s="454">
        <v>2025</v>
      </c>
      <c r="W5" s="615">
        <v>2024</v>
      </c>
      <c r="X5" s="620"/>
    </row>
    <row r="6" spans="1:26" ht="10.5" customHeight="1">
      <c r="A6" s="103"/>
      <c r="B6" s="130"/>
      <c r="C6" s="130"/>
      <c r="D6" s="130"/>
      <c r="E6" s="130"/>
      <c r="F6" s="130"/>
      <c r="G6" s="130"/>
      <c r="H6" s="130"/>
      <c r="I6" s="130"/>
      <c r="J6" s="130"/>
      <c r="K6" s="130"/>
      <c r="L6" s="130"/>
      <c r="M6" s="621" t="s">
        <v>53</v>
      </c>
      <c r="N6" s="622" t="s">
        <v>165</v>
      </c>
      <c r="O6" s="709">
        <v>19.966000000000001</v>
      </c>
      <c r="P6" s="710">
        <v>13.582890559999999</v>
      </c>
      <c r="Q6" s="772">
        <v>1</v>
      </c>
      <c r="R6" s="622"/>
      <c r="T6" s="454" t="s">
        <v>345</v>
      </c>
      <c r="U6" s="623" t="s">
        <v>53</v>
      </c>
      <c r="V6" s="623">
        <v>1</v>
      </c>
      <c r="W6" s="710">
        <v>1</v>
      </c>
      <c r="X6" s="624"/>
      <c r="Y6" s="625"/>
      <c r="Z6" s="626"/>
    </row>
    <row r="7" spans="1:26" ht="10.5" customHeight="1">
      <c r="A7" s="128"/>
      <c r="B7" s="130"/>
      <c r="C7" s="130"/>
      <c r="D7" s="130"/>
      <c r="E7" s="130"/>
      <c r="F7" s="130"/>
      <c r="G7" s="130"/>
      <c r="H7" s="130"/>
      <c r="I7" s="130"/>
      <c r="J7" s="130"/>
      <c r="K7" s="130"/>
      <c r="L7" s="130"/>
      <c r="M7" s="621" t="s">
        <v>350</v>
      </c>
      <c r="N7" s="622" t="s">
        <v>165</v>
      </c>
      <c r="O7" s="709">
        <v>20.295999999999999</v>
      </c>
      <c r="P7" s="710">
        <v>13.3720950875</v>
      </c>
      <c r="Q7" s="772">
        <v>0.98043708233471993</v>
      </c>
      <c r="R7" s="622"/>
      <c r="U7" s="623" t="s">
        <v>321</v>
      </c>
      <c r="V7" s="623">
        <v>0.98581425725729588</v>
      </c>
      <c r="W7" s="710">
        <v>1</v>
      </c>
      <c r="X7" s="624"/>
      <c r="Y7" s="625"/>
      <c r="Z7" s="626"/>
    </row>
    <row r="8" spans="1:26" ht="10.5" customHeight="1">
      <c r="A8" s="128"/>
      <c r="B8" s="130"/>
      <c r="C8" s="130"/>
      <c r="D8" s="130"/>
      <c r="E8" s="130"/>
      <c r="F8" s="130"/>
      <c r="G8" s="130"/>
      <c r="H8" s="130"/>
      <c r="I8" s="130"/>
      <c r="J8" s="130"/>
      <c r="K8" s="130"/>
      <c r="L8" s="130"/>
      <c r="M8" s="621" t="s">
        <v>321</v>
      </c>
      <c r="N8" s="622" t="s">
        <v>165</v>
      </c>
      <c r="O8" s="709">
        <v>20.050889999999999</v>
      </c>
      <c r="P8" s="710">
        <v>13.352511610000001</v>
      </c>
      <c r="Q8" s="772">
        <v>0.99096892673853298</v>
      </c>
      <c r="R8" s="622"/>
      <c r="U8" s="623" t="s">
        <v>55</v>
      </c>
      <c r="V8" s="623">
        <v>0.98405246092493293</v>
      </c>
      <c r="W8" s="710">
        <v>0.97617995104997968</v>
      </c>
      <c r="X8" s="624"/>
      <c r="Y8" s="625"/>
      <c r="Z8" s="626"/>
    </row>
    <row r="9" spans="1:26" ht="10.5" customHeight="1">
      <c r="A9" s="128"/>
      <c r="B9" s="130"/>
      <c r="C9" s="130"/>
      <c r="D9" s="130"/>
      <c r="E9" s="130"/>
      <c r="F9" s="130"/>
      <c r="G9" s="130"/>
      <c r="H9" s="130"/>
      <c r="I9" s="130"/>
      <c r="J9" s="130"/>
      <c r="K9" s="130"/>
      <c r="L9" s="130"/>
      <c r="M9" s="621" t="s">
        <v>55</v>
      </c>
      <c r="N9" s="627" t="s">
        <v>165</v>
      </c>
      <c r="O9" s="709">
        <v>19.966999999999999</v>
      </c>
      <c r="P9" s="710">
        <v>13.309294557499999</v>
      </c>
      <c r="Q9" s="772">
        <v>0.99191154672322424</v>
      </c>
      <c r="R9" s="622"/>
      <c r="U9" s="623" t="s">
        <v>319</v>
      </c>
      <c r="V9" s="623">
        <v>0.98309134995834291</v>
      </c>
      <c r="W9" s="710">
        <v>0.9940970476669978</v>
      </c>
      <c r="X9" s="624"/>
      <c r="Y9" s="625"/>
      <c r="Z9" s="626"/>
    </row>
    <row r="10" spans="1:26" ht="10.5" customHeight="1">
      <c r="A10" s="128"/>
      <c r="B10" s="130"/>
      <c r="C10" s="130"/>
      <c r="D10" s="130"/>
      <c r="E10" s="130"/>
      <c r="F10" s="130"/>
      <c r="G10" s="130"/>
      <c r="H10" s="130"/>
      <c r="I10" s="130"/>
      <c r="J10" s="130"/>
      <c r="K10" s="130"/>
      <c r="L10" s="130"/>
      <c r="M10" s="621" t="s">
        <v>319</v>
      </c>
      <c r="N10" s="627" t="s">
        <v>165</v>
      </c>
      <c r="O10" s="709">
        <v>19.987169999999999</v>
      </c>
      <c r="P10" s="710">
        <v>13.259869614999999</v>
      </c>
      <c r="Q10" s="772">
        <v>0.98723075011846295</v>
      </c>
      <c r="R10" s="622"/>
      <c r="U10" s="623" t="s">
        <v>350</v>
      </c>
      <c r="V10" s="623">
        <v>0.98207075362321261</v>
      </c>
      <c r="W10" s="710">
        <v>0.913858064262422</v>
      </c>
      <c r="X10" s="624"/>
      <c r="Y10" s="625"/>
      <c r="Z10" s="626"/>
    </row>
    <row r="11" spans="1:26" ht="10.5" customHeight="1">
      <c r="A11" s="128"/>
      <c r="B11" s="130"/>
      <c r="C11" s="130"/>
      <c r="D11" s="130"/>
      <c r="E11" s="130"/>
      <c r="F11" s="130"/>
      <c r="G11" s="130"/>
      <c r="H11" s="130"/>
      <c r="I11" s="130"/>
      <c r="J11" s="130"/>
      <c r="K11" s="130"/>
      <c r="L11" s="130"/>
      <c r="M11" s="621" t="s">
        <v>325</v>
      </c>
      <c r="N11" s="627" t="s">
        <v>165</v>
      </c>
      <c r="O11" s="709">
        <v>20.365970000000001</v>
      </c>
      <c r="P11" s="710">
        <v>13.0524951825</v>
      </c>
      <c r="Q11" s="772">
        <v>0.95371622006412105</v>
      </c>
      <c r="R11" s="622"/>
      <c r="U11" s="623" t="s">
        <v>579</v>
      </c>
      <c r="V11" s="623">
        <v>0.97714341013418082</v>
      </c>
      <c r="W11" s="710">
        <v>0</v>
      </c>
      <c r="X11" s="624"/>
      <c r="Y11" s="625"/>
      <c r="Z11" s="626"/>
    </row>
    <row r="12" spans="1:26" ht="10.5" customHeight="1">
      <c r="A12" s="128"/>
      <c r="B12" s="130"/>
      <c r="C12" s="130"/>
      <c r="D12" s="130"/>
      <c r="E12" s="130"/>
      <c r="F12" s="130"/>
      <c r="G12" s="130"/>
      <c r="H12" s="130"/>
      <c r="I12" s="130"/>
      <c r="J12" s="130"/>
      <c r="K12" s="130"/>
      <c r="L12" s="130"/>
      <c r="M12" s="621" t="s">
        <v>349</v>
      </c>
      <c r="N12" s="622" t="s">
        <v>165</v>
      </c>
      <c r="O12" s="709">
        <v>20.27</v>
      </c>
      <c r="P12" s="710">
        <v>13.0330665175</v>
      </c>
      <c r="Q12" s="772">
        <v>0.95680533904638576</v>
      </c>
      <c r="R12" s="622"/>
      <c r="U12" s="623" t="s">
        <v>349</v>
      </c>
      <c r="V12" s="623">
        <v>0.97082317901479742</v>
      </c>
      <c r="W12" s="710">
        <v>0.94638279597559383</v>
      </c>
      <c r="X12" s="624"/>
      <c r="Y12" s="625"/>
      <c r="Z12" s="626"/>
    </row>
    <row r="13" spans="1:26" ht="10.5" customHeight="1">
      <c r="A13" s="128"/>
      <c r="B13" s="130"/>
      <c r="C13" s="130"/>
      <c r="D13" s="130"/>
      <c r="E13" s="130"/>
      <c r="F13" s="130"/>
      <c r="G13" s="130"/>
      <c r="H13" s="130"/>
      <c r="I13" s="130"/>
      <c r="J13" s="130"/>
      <c r="K13" s="130"/>
      <c r="L13" s="130"/>
      <c r="M13" s="621" t="s">
        <v>58</v>
      </c>
      <c r="N13" s="622" t="s">
        <v>165</v>
      </c>
      <c r="O13" s="709">
        <v>20.202000000000002</v>
      </c>
      <c r="P13" s="710">
        <v>13.015105275</v>
      </c>
      <c r="Q13" s="772">
        <v>0.95870290976317774</v>
      </c>
      <c r="R13" s="622"/>
      <c r="U13" s="623" t="s">
        <v>58</v>
      </c>
      <c r="V13" s="623">
        <v>0.96707821186105081</v>
      </c>
      <c r="W13" s="710">
        <v>0.94119279010442802</v>
      </c>
      <c r="X13" s="624"/>
      <c r="Y13" s="625"/>
      <c r="Z13" s="626"/>
    </row>
    <row r="14" spans="1:26" ht="10.5" customHeight="1">
      <c r="A14" s="128"/>
      <c r="B14" s="130"/>
      <c r="C14" s="130"/>
      <c r="D14" s="130"/>
      <c r="E14" s="130"/>
      <c r="F14" s="130"/>
      <c r="G14" s="130"/>
      <c r="H14" s="130"/>
      <c r="I14" s="130"/>
      <c r="J14" s="130"/>
      <c r="K14" s="130"/>
      <c r="L14" s="130"/>
      <c r="M14" s="621" t="s">
        <v>320</v>
      </c>
      <c r="N14" s="622" t="s">
        <v>165</v>
      </c>
      <c r="O14" s="709">
        <v>20.084060000000001</v>
      </c>
      <c r="P14" s="710">
        <v>12.909134829999999</v>
      </c>
      <c r="Q14" s="772">
        <v>0.95648101372194572</v>
      </c>
      <c r="R14" s="622"/>
      <c r="U14" s="623" t="s">
        <v>57</v>
      </c>
      <c r="V14" s="623">
        <v>0.96169907256884724</v>
      </c>
      <c r="W14" s="710">
        <v>0.99668973569723696</v>
      </c>
      <c r="X14" s="624"/>
      <c r="Y14" s="625"/>
      <c r="Z14" s="626"/>
    </row>
    <row r="15" spans="1:26" ht="11.25" customHeight="1">
      <c r="A15" s="128"/>
      <c r="B15" s="130"/>
      <c r="C15" s="130"/>
      <c r="D15" s="130"/>
      <c r="E15" s="130"/>
      <c r="F15" s="130"/>
      <c r="G15" s="130"/>
      <c r="H15" s="130"/>
      <c r="I15" s="130"/>
      <c r="J15" s="130"/>
      <c r="K15" s="130"/>
      <c r="L15" s="130"/>
      <c r="M15" s="621" t="s">
        <v>56</v>
      </c>
      <c r="N15" s="622" t="s">
        <v>165</v>
      </c>
      <c r="O15" s="709">
        <v>19.1995</v>
      </c>
      <c r="P15" s="710">
        <v>12.2640680275</v>
      </c>
      <c r="Q15" s="772">
        <v>0.95055085973066022</v>
      </c>
      <c r="R15" s="622"/>
      <c r="U15" s="623" t="s">
        <v>56</v>
      </c>
      <c r="V15" s="623">
        <v>0.93911176890714698</v>
      </c>
      <c r="W15" s="710">
        <v>0.89753926126698103</v>
      </c>
      <c r="X15" s="624"/>
      <c r="Y15" s="625"/>
      <c r="Z15" s="626"/>
    </row>
    <row r="16" spans="1:26" ht="11.25" customHeight="1">
      <c r="A16" s="128"/>
      <c r="B16" s="130"/>
      <c r="C16" s="130"/>
      <c r="D16" s="130"/>
      <c r="E16" s="130"/>
      <c r="F16" s="130"/>
      <c r="G16" s="130"/>
      <c r="H16" s="130"/>
      <c r="I16" s="130"/>
      <c r="J16" s="130"/>
      <c r="K16" s="130"/>
      <c r="L16" s="130"/>
      <c r="M16" s="621" t="s">
        <v>351</v>
      </c>
      <c r="N16" s="622" t="s">
        <v>165</v>
      </c>
      <c r="O16" s="709">
        <v>20.580724</v>
      </c>
      <c r="P16" s="710">
        <v>12.024620000000001</v>
      </c>
      <c r="Q16" s="772">
        <v>0.86944364843067534</v>
      </c>
      <c r="R16" s="622"/>
      <c r="U16" s="623" t="s">
        <v>351</v>
      </c>
      <c r="V16" s="623">
        <v>0.93189559580243264</v>
      </c>
      <c r="W16" s="710">
        <v>0.91119216651185497</v>
      </c>
      <c r="X16" s="624"/>
      <c r="Y16" s="625"/>
      <c r="Z16" s="626"/>
    </row>
    <row r="17" spans="1:26" ht="11.25" customHeight="1">
      <c r="A17" s="128"/>
      <c r="B17" s="130"/>
      <c r="C17" s="130"/>
      <c r="D17" s="130"/>
      <c r="E17" s="130"/>
      <c r="F17" s="130"/>
      <c r="G17" s="130"/>
      <c r="H17" s="130"/>
      <c r="I17" s="130"/>
      <c r="J17" s="130"/>
      <c r="K17" s="130"/>
      <c r="L17" s="130"/>
      <c r="M17" s="621" t="s">
        <v>54</v>
      </c>
      <c r="N17" s="622" t="s">
        <v>165</v>
      </c>
      <c r="O17" s="709">
        <v>18.148</v>
      </c>
      <c r="P17" s="710">
        <v>10.60471925</v>
      </c>
      <c r="Q17" s="772">
        <v>0.86956315942593698</v>
      </c>
      <c r="R17" s="622"/>
      <c r="U17" s="623" t="s">
        <v>54</v>
      </c>
      <c r="V17" s="623">
        <v>0.9288441322540717</v>
      </c>
      <c r="W17" s="710">
        <v>0.95049731977052032</v>
      </c>
      <c r="X17" s="624"/>
      <c r="Y17" s="625"/>
      <c r="Z17" s="626"/>
    </row>
    <row r="18" spans="1:26">
      <c r="A18" s="128"/>
      <c r="B18" s="130"/>
      <c r="C18" s="130"/>
      <c r="D18" s="130"/>
      <c r="E18" s="130"/>
      <c r="F18" s="130"/>
      <c r="G18" s="130"/>
      <c r="H18" s="130"/>
      <c r="I18" s="130"/>
      <c r="J18" s="130"/>
      <c r="K18" s="130"/>
      <c r="L18" s="130"/>
      <c r="M18" s="621" t="s">
        <v>313</v>
      </c>
      <c r="N18" s="622" t="s">
        <v>165</v>
      </c>
      <c r="O18" s="709">
        <v>20.861999999999998</v>
      </c>
      <c r="P18" s="710">
        <v>9.0398152799999991</v>
      </c>
      <c r="Q18" s="772">
        <v>0.6448138276017914</v>
      </c>
      <c r="R18" s="622"/>
      <c r="U18" s="623" t="s">
        <v>67</v>
      </c>
      <c r="V18" s="623">
        <v>0.89746136356639328</v>
      </c>
      <c r="W18" s="710">
        <v>0.80135448506939955</v>
      </c>
      <c r="X18" s="624"/>
      <c r="Y18" s="625"/>
      <c r="Z18" s="626"/>
    </row>
    <row r="19" spans="1:26">
      <c r="A19" s="128"/>
      <c r="B19" s="130"/>
      <c r="C19" s="130"/>
      <c r="D19" s="130"/>
      <c r="E19" s="130"/>
      <c r="F19" s="130"/>
      <c r="G19" s="130"/>
      <c r="H19" s="130"/>
      <c r="I19" s="130"/>
      <c r="J19" s="130"/>
      <c r="K19" s="130"/>
      <c r="L19" s="130"/>
      <c r="M19" s="621" t="s">
        <v>358</v>
      </c>
      <c r="N19" s="622" t="s">
        <v>165</v>
      </c>
      <c r="O19" s="709">
        <v>20.763359999999999</v>
      </c>
      <c r="P19" s="710">
        <v>7.8488362775000002</v>
      </c>
      <c r="Q19" s="772">
        <v>0.56252051157119587</v>
      </c>
      <c r="R19" s="622"/>
      <c r="U19" s="623" t="s">
        <v>66</v>
      </c>
      <c r="V19" s="623">
        <v>0.89444182852310206</v>
      </c>
      <c r="W19" s="710">
        <v>0.92810008628291674</v>
      </c>
      <c r="X19" s="624"/>
      <c r="Y19" s="625"/>
      <c r="Z19" s="626"/>
    </row>
    <row r="20" spans="1:26">
      <c r="A20" s="128"/>
      <c r="B20" s="130"/>
      <c r="C20" s="130"/>
      <c r="D20" s="130"/>
      <c r="E20" s="130"/>
      <c r="F20" s="130"/>
      <c r="G20" s="130"/>
      <c r="H20" s="130"/>
      <c r="I20" s="130"/>
      <c r="J20" s="130"/>
      <c r="K20" s="130"/>
      <c r="L20" s="130"/>
      <c r="M20" s="621" t="s">
        <v>57</v>
      </c>
      <c r="N20" s="622" t="s">
        <v>165</v>
      </c>
      <c r="O20" s="709">
        <v>9.9830000000000005</v>
      </c>
      <c r="P20" s="710">
        <v>6.2196447174999996</v>
      </c>
      <c r="Q20" s="772">
        <v>0.92711847007472226</v>
      </c>
      <c r="R20" s="622"/>
      <c r="U20" s="623" t="s">
        <v>325</v>
      </c>
      <c r="V20" s="623">
        <v>0.87343800639839364</v>
      </c>
      <c r="W20" s="710">
        <v>0.88015838426952453</v>
      </c>
      <c r="X20" s="624"/>
      <c r="Y20" s="625"/>
      <c r="Z20" s="626"/>
    </row>
    <row r="21" spans="1:26">
      <c r="A21" s="128"/>
      <c r="B21" s="130"/>
      <c r="C21" s="130"/>
      <c r="D21" s="130"/>
      <c r="E21" s="130"/>
      <c r="F21" s="130"/>
      <c r="G21" s="130"/>
      <c r="H21" s="130"/>
      <c r="I21" s="130"/>
      <c r="J21" s="130"/>
      <c r="K21" s="130"/>
      <c r="L21" s="130"/>
      <c r="M21" s="621" t="s">
        <v>59</v>
      </c>
      <c r="N21" s="622" t="s">
        <v>165</v>
      </c>
      <c r="O21" s="709">
        <v>9.9643300000000004</v>
      </c>
      <c r="P21" s="710">
        <v>6.0150975100000004</v>
      </c>
      <c r="Q21" s="772">
        <v>0.89830806098448401</v>
      </c>
      <c r="R21" s="622"/>
      <c r="U21" s="623" t="s">
        <v>65</v>
      </c>
      <c r="V21" s="623">
        <v>0.87215857126058705</v>
      </c>
      <c r="W21" s="710">
        <v>0.93520285022140115</v>
      </c>
      <c r="X21" s="624"/>
      <c r="Y21" s="625"/>
      <c r="Z21" s="626"/>
    </row>
    <row r="22" spans="1:26">
      <c r="A22" s="128"/>
      <c r="B22" s="130"/>
      <c r="C22" s="130"/>
      <c r="D22" s="130"/>
      <c r="E22" s="130"/>
      <c r="F22" s="130"/>
      <c r="G22" s="130"/>
      <c r="H22" s="130"/>
      <c r="I22" s="130"/>
      <c r="J22" s="130"/>
      <c r="K22" s="130"/>
      <c r="L22" s="130"/>
      <c r="M22" s="621" t="s">
        <v>60</v>
      </c>
      <c r="N22" s="622" t="s">
        <v>165</v>
      </c>
      <c r="O22" s="709">
        <v>9.85</v>
      </c>
      <c r="P22" s="710">
        <v>5.836525065</v>
      </c>
      <c r="Q22" s="772">
        <v>0.88175686865482239</v>
      </c>
      <c r="R22" s="622"/>
      <c r="U22" s="623" t="s">
        <v>59</v>
      </c>
      <c r="V22" s="623">
        <v>0.86617409143046009</v>
      </c>
      <c r="W22" s="710">
        <v>0.95457198124560894</v>
      </c>
      <c r="X22" s="624"/>
      <c r="Y22" s="625"/>
      <c r="Z22" s="626"/>
    </row>
    <row r="23" spans="1:26">
      <c r="A23" s="128"/>
      <c r="B23" s="130"/>
      <c r="C23" s="130"/>
      <c r="D23" s="130"/>
      <c r="E23" s="130"/>
      <c r="F23" s="130"/>
      <c r="G23" s="130"/>
      <c r="H23" s="130"/>
      <c r="I23" s="130"/>
      <c r="J23" s="130"/>
      <c r="K23" s="130"/>
      <c r="L23" s="130"/>
      <c r="M23" s="621" t="s">
        <v>64</v>
      </c>
      <c r="N23" s="622" t="s">
        <v>165</v>
      </c>
      <c r="O23" s="709">
        <v>9.5660000000000007</v>
      </c>
      <c r="P23" s="710">
        <v>5.6946131224999998</v>
      </c>
      <c r="Q23" s="772">
        <v>0.88585894526310949</v>
      </c>
      <c r="R23" s="622"/>
      <c r="U23" s="623" t="s">
        <v>62</v>
      </c>
      <c r="V23" s="623">
        <v>0.86101354434402633</v>
      </c>
      <c r="W23" s="710">
        <v>1</v>
      </c>
      <c r="X23" s="624"/>
      <c r="Y23" s="625"/>
      <c r="Z23" s="626"/>
    </row>
    <row r="24" spans="1:26">
      <c r="A24" s="128"/>
      <c r="B24" s="130"/>
      <c r="C24" s="130"/>
      <c r="D24" s="130"/>
      <c r="E24" s="130"/>
      <c r="F24" s="130"/>
      <c r="G24" s="130"/>
      <c r="H24" s="130"/>
      <c r="I24" s="130"/>
      <c r="J24" s="130"/>
      <c r="K24" s="130"/>
      <c r="L24" s="130"/>
      <c r="M24" s="621" t="s">
        <v>348</v>
      </c>
      <c r="N24" s="622" t="s">
        <v>165</v>
      </c>
      <c r="O24" s="709">
        <v>8.5804989999999997</v>
      </c>
      <c r="P24" s="710">
        <v>5.1266432499999999</v>
      </c>
      <c r="Q24" s="772">
        <v>0.88910136901572923</v>
      </c>
      <c r="R24" s="622"/>
      <c r="U24" s="623" t="s">
        <v>63</v>
      </c>
      <c r="V24" s="623">
        <v>0.85650945567832371</v>
      </c>
      <c r="W24" s="710">
        <v>0.97258382958159262</v>
      </c>
      <c r="X24" s="624"/>
      <c r="Y24" s="625"/>
      <c r="Z24" s="626"/>
    </row>
    <row r="25" spans="1:26">
      <c r="A25" s="128"/>
      <c r="B25" s="130"/>
      <c r="C25" s="130"/>
      <c r="D25" s="130"/>
      <c r="E25" s="130"/>
      <c r="F25" s="130"/>
      <c r="G25" s="130"/>
      <c r="H25" s="130"/>
      <c r="I25" s="130"/>
      <c r="J25" s="130"/>
      <c r="K25" s="130"/>
      <c r="L25" s="130"/>
      <c r="M25" s="621" t="s">
        <v>62</v>
      </c>
      <c r="N25" s="622" t="s">
        <v>165</v>
      </c>
      <c r="O25" s="709">
        <v>6.5019999999999998</v>
      </c>
      <c r="P25" s="710">
        <v>4.3262681724999998</v>
      </c>
      <c r="Q25" s="772">
        <v>0.99014135131040271</v>
      </c>
      <c r="R25" s="622"/>
      <c r="U25" s="623" t="s">
        <v>69</v>
      </c>
      <c r="V25" s="623">
        <v>0.84098739940928957</v>
      </c>
      <c r="W25" s="710">
        <v>0.85765700084767593</v>
      </c>
      <c r="X25" s="624"/>
      <c r="Y25" s="625"/>
      <c r="Z25" s="626"/>
    </row>
    <row r="26" spans="1:26">
      <c r="A26" s="128"/>
      <c r="B26" s="130"/>
      <c r="C26" s="130"/>
      <c r="D26" s="130"/>
      <c r="E26" s="130"/>
      <c r="F26" s="130"/>
      <c r="G26" s="130"/>
      <c r="H26" s="130"/>
      <c r="I26" s="130"/>
      <c r="J26" s="130"/>
      <c r="K26" s="130"/>
      <c r="L26" s="130"/>
      <c r="M26" s="621" t="s">
        <v>63</v>
      </c>
      <c r="N26" s="622" t="s">
        <v>165</v>
      </c>
      <c r="O26" s="709">
        <v>6.6360000000000001</v>
      </c>
      <c r="P26" s="710">
        <v>3.9257473850000002</v>
      </c>
      <c r="Q26" s="772">
        <v>0.88033242760448061</v>
      </c>
      <c r="R26" s="622"/>
      <c r="U26" s="623" t="s">
        <v>60</v>
      </c>
      <c r="V26" s="623">
        <v>0.8398020987481718</v>
      </c>
      <c r="W26" s="710">
        <v>0.94621221884298967</v>
      </c>
      <c r="X26" s="624"/>
      <c r="Y26" s="625"/>
      <c r="Z26" s="626"/>
    </row>
    <row r="27" spans="1:26">
      <c r="A27" s="128"/>
      <c r="B27" s="130"/>
      <c r="C27" s="130"/>
      <c r="D27" s="130"/>
      <c r="E27" s="130"/>
      <c r="F27" s="130"/>
      <c r="G27" s="130"/>
      <c r="H27" s="130"/>
      <c r="I27" s="130"/>
      <c r="J27" s="130"/>
      <c r="K27" s="130"/>
      <c r="L27" s="130"/>
      <c r="M27" s="621" t="s">
        <v>66</v>
      </c>
      <c r="N27" s="622" t="s">
        <v>165</v>
      </c>
      <c r="O27" s="709">
        <v>5.67</v>
      </c>
      <c r="P27" s="710">
        <v>3.2268697249999998</v>
      </c>
      <c r="Q27" s="772">
        <v>0.84689408672419586</v>
      </c>
      <c r="R27" s="622"/>
      <c r="U27" s="623" t="s">
        <v>348</v>
      </c>
      <c r="V27" s="623">
        <v>0.83759124564807841</v>
      </c>
      <c r="W27" s="710">
        <v>0.80517861987658457</v>
      </c>
      <c r="X27" s="624"/>
      <c r="Y27" s="625"/>
      <c r="Z27" s="626"/>
    </row>
    <row r="28" spans="1:26">
      <c r="A28" s="128"/>
      <c r="B28" s="130"/>
      <c r="C28" s="130"/>
      <c r="D28" s="130"/>
      <c r="E28" s="130"/>
      <c r="F28" s="130"/>
      <c r="G28" s="130"/>
      <c r="H28" s="130"/>
      <c r="I28" s="130"/>
      <c r="J28" s="130"/>
      <c r="K28" s="130"/>
      <c r="L28" s="130"/>
      <c r="M28" s="621" t="s">
        <v>65</v>
      </c>
      <c r="N28" s="622" t="s">
        <v>165</v>
      </c>
      <c r="O28" s="709">
        <v>5.1890000000000001</v>
      </c>
      <c r="P28" s="710">
        <v>2.73833875</v>
      </c>
      <c r="Q28" s="772">
        <v>0.78529752441061229</v>
      </c>
      <c r="R28" s="622"/>
      <c r="U28" s="623" t="s">
        <v>68</v>
      </c>
      <c r="V28" s="623">
        <v>0.82467666677241291</v>
      </c>
      <c r="W28" s="710">
        <v>0.78686887322181398</v>
      </c>
      <c r="X28" s="624"/>
      <c r="Y28" s="625"/>
      <c r="Z28" s="626"/>
    </row>
    <row r="29" spans="1:26">
      <c r="A29" s="128"/>
      <c r="B29" s="130"/>
      <c r="C29" s="130"/>
      <c r="D29" s="130"/>
      <c r="E29" s="130"/>
      <c r="F29" s="130"/>
      <c r="G29" s="130"/>
      <c r="H29" s="130"/>
      <c r="I29" s="130"/>
      <c r="J29" s="130"/>
      <c r="K29" s="130"/>
      <c r="L29" s="130"/>
      <c r="M29" s="621" t="s">
        <v>69</v>
      </c>
      <c r="N29" s="622" t="s">
        <v>165</v>
      </c>
      <c r="O29" s="709">
        <v>3.9729999999999999</v>
      </c>
      <c r="P29" s="710">
        <v>2.2252999999999998</v>
      </c>
      <c r="Q29" s="772">
        <v>0.8334906451883547</v>
      </c>
      <c r="R29" s="622"/>
      <c r="U29" s="623" t="s">
        <v>313</v>
      </c>
      <c r="V29" s="623">
        <v>0.80818432244011906</v>
      </c>
      <c r="W29" s="710">
        <v>0.9645599730632719</v>
      </c>
      <c r="X29" s="624"/>
      <c r="Y29" s="625"/>
      <c r="Z29" s="626"/>
    </row>
    <row r="30" spans="1:26">
      <c r="A30" s="128"/>
      <c r="B30" s="130"/>
      <c r="C30" s="130"/>
      <c r="D30" s="130"/>
      <c r="E30" s="130"/>
      <c r="F30" s="130"/>
      <c r="G30" s="130"/>
      <c r="H30" s="130"/>
      <c r="I30" s="130"/>
      <c r="J30" s="130"/>
      <c r="K30" s="130"/>
      <c r="L30" s="130"/>
      <c r="M30" s="454" t="s">
        <v>67</v>
      </c>
      <c r="N30" s="622" t="s">
        <v>165</v>
      </c>
      <c r="O30" s="709">
        <v>3.6848800000000002</v>
      </c>
      <c r="P30" s="710">
        <v>2.12087</v>
      </c>
      <c r="Q30" s="772">
        <v>0.85648828391129372</v>
      </c>
      <c r="R30" s="622"/>
      <c r="U30" s="623" t="s">
        <v>320</v>
      </c>
      <c r="V30" s="623">
        <v>0.72745181486674781</v>
      </c>
      <c r="W30" s="710">
        <v>0.97935957247836769</v>
      </c>
      <c r="X30" s="624"/>
      <c r="Y30" s="625"/>
      <c r="Z30" s="626"/>
    </row>
    <row r="31" spans="1:26">
      <c r="A31" s="128"/>
      <c r="B31" s="130"/>
      <c r="C31" s="130"/>
      <c r="D31" s="130"/>
      <c r="E31" s="130"/>
      <c r="F31" s="130"/>
      <c r="G31" s="130"/>
      <c r="H31" s="130"/>
      <c r="I31" s="130"/>
      <c r="J31" s="130"/>
      <c r="K31" s="130"/>
      <c r="L31" s="130"/>
      <c r="M31" s="621" t="s">
        <v>68</v>
      </c>
      <c r="N31" s="622" t="s">
        <v>165</v>
      </c>
      <c r="O31" s="710">
        <v>3.91621</v>
      </c>
      <c r="P31" s="710">
        <v>2.0177573</v>
      </c>
      <c r="Q31" s="772">
        <v>0.76671450963097099</v>
      </c>
      <c r="R31" s="622"/>
      <c r="U31" s="623" t="s">
        <v>358</v>
      </c>
      <c r="V31" s="623">
        <v>0.69752494233023565</v>
      </c>
      <c r="W31" s="710">
        <v>0.86050237256325846</v>
      </c>
      <c r="X31" s="624"/>
      <c r="Y31" s="625"/>
      <c r="Z31" s="626"/>
    </row>
    <row r="32" spans="1:26">
      <c r="A32" s="128"/>
      <c r="B32" s="130"/>
      <c r="C32" s="130"/>
      <c r="D32" s="130"/>
      <c r="E32" s="130"/>
      <c r="F32" s="130"/>
      <c r="G32" s="130"/>
      <c r="H32" s="130"/>
      <c r="I32" s="130"/>
      <c r="J32" s="130"/>
      <c r="K32" s="130"/>
      <c r="L32" s="130"/>
      <c r="M32" s="621" t="s">
        <v>579</v>
      </c>
      <c r="N32" s="622" t="s">
        <v>165</v>
      </c>
      <c r="O32" s="710">
        <v>2</v>
      </c>
      <c r="P32" s="710">
        <v>1.2889903325000001</v>
      </c>
      <c r="Q32" s="772">
        <v>0.95907018787202392</v>
      </c>
      <c r="R32" s="622"/>
      <c r="U32" s="623" t="s">
        <v>322</v>
      </c>
      <c r="V32" s="623">
        <v>0.68141158871786767</v>
      </c>
      <c r="W32" s="710">
        <v>0.36624018255090907</v>
      </c>
      <c r="X32" s="624"/>
      <c r="Y32" s="625"/>
      <c r="Z32" s="626"/>
    </row>
    <row r="33" spans="1:26">
      <c r="A33" s="128"/>
      <c r="B33" s="130"/>
      <c r="C33" s="130"/>
      <c r="D33" s="130"/>
      <c r="E33" s="130"/>
      <c r="F33" s="130"/>
      <c r="G33" s="130"/>
      <c r="H33" s="130"/>
      <c r="I33" s="130"/>
      <c r="J33" s="130"/>
      <c r="K33" s="130"/>
      <c r="L33" s="130"/>
      <c r="M33" s="621" t="s">
        <v>61</v>
      </c>
      <c r="N33" s="622" t="s">
        <v>165</v>
      </c>
      <c r="O33" s="710">
        <v>9.0798699999999997</v>
      </c>
      <c r="P33" s="710">
        <v>1.27896937</v>
      </c>
      <c r="Q33" s="772">
        <v>0.20960963418712675</v>
      </c>
      <c r="R33" s="622"/>
      <c r="U33" s="623" t="s">
        <v>64</v>
      </c>
      <c r="V33" s="623">
        <v>0.68089973918190727</v>
      </c>
      <c r="W33" s="710">
        <v>0.68049263728278553</v>
      </c>
      <c r="X33" s="624"/>
      <c r="Y33" s="625"/>
      <c r="Z33" s="626"/>
    </row>
    <row r="34" spans="1:26">
      <c r="B34" s="130"/>
      <c r="C34" s="130"/>
      <c r="D34" s="130"/>
      <c r="E34" s="130"/>
      <c r="F34" s="130"/>
      <c r="G34" s="130"/>
      <c r="H34" s="130"/>
      <c r="I34" s="130"/>
      <c r="J34" s="130"/>
      <c r="K34" s="130"/>
      <c r="L34" s="130"/>
      <c r="M34" s="621" t="s">
        <v>322</v>
      </c>
      <c r="N34" s="622" t="s">
        <v>165</v>
      </c>
      <c r="O34" s="710">
        <v>0.678643</v>
      </c>
      <c r="P34" s="710">
        <v>0.24398400000000001</v>
      </c>
      <c r="Q34" s="772">
        <v>0.53499620355831945</v>
      </c>
      <c r="R34" s="622"/>
      <c r="U34" s="623" t="s">
        <v>61</v>
      </c>
      <c r="V34" s="623">
        <v>0.47187466537933398</v>
      </c>
      <c r="W34" s="710">
        <v>0.2463325015134844</v>
      </c>
      <c r="X34" s="624"/>
      <c r="Y34" s="625"/>
      <c r="Z34" s="626"/>
    </row>
    <row r="35" spans="1:26">
      <c r="A35" s="128"/>
      <c r="B35" s="130"/>
      <c r="C35" s="130"/>
      <c r="D35" s="130"/>
      <c r="E35" s="130"/>
      <c r="F35" s="130"/>
      <c r="G35" s="130"/>
      <c r="H35" s="130"/>
      <c r="I35" s="130"/>
      <c r="J35" s="130"/>
      <c r="K35" s="130"/>
      <c r="L35" s="130"/>
      <c r="M35" s="621" t="s">
        <v>70</v>
      </c>
      <c r="N35" s="622" t="s">
        <v>165</v>
      </c>
      <c r="O35" s="709">
        <v>1.769382</v>
      </c>
      <c r="P35" s="710">
        <v>4.6333289999999999E-2</v>
      </c>
      <c r="Q35" s="772">
        <v>3.8967474640459618E-2</v>
      </c>
      <c r="R35" s="622"/>
      <c r="U35" s="623" t="s">
        <v>70</v>
      </c>
      <c r="V35" s="623">
        <v>1.8493038812421512E-2</v>
      </c>
      <c r="W35" s="710">
        <v>0.2870344007993596</v>
      </c>
      <c r="X35" s="624"/>
      <c r="Y35" s="625"/>
      <c r="Z35" s="626"/>
    </row>
    <row r="36" spans="1:26" ht="10.95" customHeight="1">
      <c r="A36" s="128"/>
      <c r="B36" s="130"/>
      <c r="C36" s="130"/>
      <c r="D36" s="130"/>
      <c r="E36" s="130"/>
      <c r="F36" s="130"/>
      <c r="G36" s="130"/>
      <c r="H36" s="130"/>
      <c r="I36" s="130"/>
      <c r="J36" s="130"/>
      <c r="K36" s="130"/>
      <c r="L36" s="130"/>
      <c r="M36" s="621" t="s">
        <v>395</v>
      </c>
      <c r="N36" s="622" t="s">
        <v>167</v>
      </c>
      <c r="O36" s="709">
        <v>260</v>
      </c>
      <c r="P36" s="710">
        <v>59.892345939999998</v>
      </c>
      <c r="Q36" s="772">
        <v>0.34279044150641025</v>
      </c>
      <c r="R36" s="622"/>
      <c r="T36" s="454" t="s">
        <v>340</v>
      </c>
      <c r="U36" s="623" t="s">
        <v>73</v>
      </c>
      <c r="V36" s="623">
        <v>0.45357879270391949</v>
      </c>
      <c r="W36" s="710">
        <v>0.40830976663523705</v>
      </c>
      <c r="X36" s="624"/>
      <c r="Y36" s="625"/>
      <c r="Z36" s="626"/>
    </row>
    <row r="37" spans="1:26">
      <c r="A37" s="128"/>
      <c r="B37" s="130"/>
      <c r="C37" s="130"/>
      <c r="D37" s="130"/>
      <c r="E37" s="130"/>
      <c r="F37" s="130"/>
      <c r="G37" s="130"/>
      <c r="H37" s="130"/>
      <c r="I37" s="130"/>
      <c r="J37" s="130"/>
      <c r="K37" s="130"/>
      <c r="L37" s="130"/>
      <c r="M37" s="454" t="s">
        <v>402</v>
      </c>
      <c r="N37" s="615" t="s">
        <v>167</v>
      </c>
      <c r="O37" s="711">
        <v>135.69999999999999</v>
      </c>
      <c r="P37" s="711">
        <v>32.120616249999998</v>
      </c>
      <c r="Q37" s="773">
        <v>0.35223681714303262</v>
      </c>
      <c r="R37" s="622"/>
      <c r="U37" s="623" t="s">
        <v>402</v>
      </c>
      <c r="V37" s="623">
        <v>0.43629566716210988</v>
      </c>
      <c r="W37" s="710">
        <v>0</v>
      </c>
      <c r="X37" s="624"/>
      <c r="Y37" s="625"/>
      <c r="Z37" s="626"/>
    </row>
    <row r="38" spans="1:26" ht="11.25" customHeight="1">
      <c r="A38" s="128"/>
      <c r="B38" s="130"/>
      <c r="C38" s="130"/>
      <c r="D38" s="130"/>
      <c r="E38" s="130"/>
      <c r="F38" s="130"/>
      <c r="G38" s="130"/>
      <c r="H38" s="130"/>
      <c r="I38" s="130"/>
      <c r="J38" s="130"/>
      <c r="K38" s="130"/>
      <c r="L38" s="130"/>
      <c r="M38" s="621" t="s">
        <v>622</v>
      </c>
      <c r="N38" s="622" t="s">
        <v>167</v>
      </c>
      <c r="O38" s="709">
        <v>177</v>
      </c>
      <c r="P38" s="710">
        <v>22.603204250000001</v>
      </c>
      <c r="Q38" s="772">
        <v>0.19003231983118105</v>
      </c>
      <c r="R38" s="622"/>
      <c r="U38" s="623" t="s">
        <v>71</v>
      </c>
      <c r="V38" s="623">
        <v>0.41769777335197183</v>
      </c>
      <c r="W38" s="710">
        <v>0.45306139642157822</v>
      </c>
      <c r="X38" s="624"/>
      <c r="Y38" s="625"/>
      <c r="Z38" s="626"/>
    </row>
    <row r="39" spans="1:26" ht="11.25" customHeight="1">
      <c r="A39" s="128"/>
      <c r="B39" s="130"/>
      <c r="C39" s="130"/>
      <c r="D39" s="130"/>
      <c r="E39" s="130"/>
      <c r="F39" s="130"/>
      <c r="G39" s="130"/>
      <c r="H39" s="130"/>
      <c r="I39" s="130"/>
      <c r="J39" s="130"/>
      <c r="K39" s="130"/>
      <c r="L39" s="130"/>
      <c r="M39" s="454" t="s">
        <v>327</v>
      </c>
      <c r="N39" s="615" t="s">
        <v>167</v>
      </c>
      <c r="O39" s="709">
        <v>132.30000000000001</v>
      </c>
      <c r="P39" s="710">
        <v>22.969629879999999</v>
      </c>
      <c r="Q39" s="772">
        <v>0.25835976451427128</v>
      </c>
      <c r="R39" s="622"/>
      <c r="U39" s="623" t="s">
        <v>395</v>
      </c>
      <c r="V39" s="623">
        <v>0.39051559409631681</v>
      </c>
      <c r="W39" s="710">
        <v>0.36429987604995578</v>
      </c>
      <c r="X39" s="624"/>
      <c r="Y39" s="625"/>
      <c r="Z39" s="626"/>
    </row>
    <row r="40" spans="1:26">
      <c r="A40" s="128"/>
      <c r="B40" s="130"/>
      <c r="C40" s="130"/>
      <c r="D40" s="130"/>
      <c r="E40" s="130"/>
      <c r="F40" s="130"/>
      <c r="G40" s="130"/>
      <c r="H40" s="130"/>
      <c r="I40" s="130"/>
      <c r="J40" s="130"/>
      <c r="K40" s="130"/>
      <c r="L40" s="130"/>
      <c r="M40" s="454" t="s">
        <v>71</v>
      </c>
      <c r="N40" s="622" t="s">
        <v>167</v>
      </c>
      <c r="O40" s="709">
        <v>97.15</v>
      </c>
      <c r="P40" s="710">
        <v>20.490931742499999</v>
      </c>
      <c r="Q40" s="772">
        <v>0.31386987081985396</v>
      </c>
      <c r="R40" s="622"/>
      <c r="U40" s="623" t="s">
        <v>72</v>
      </c>
      <c r="V40" s="623">
        <v>0.3702360108977038</v>
      </c>
      <c r="W40" s="710">
        <v>0.40604311675340926</v>
      </c>
      <c r="X40" s="624"/>
      <c r="Y40" s="625"/>
      <c r="Z40" s="626"/>
    </row>
    <row r="41" spans="1:26">
      <c r="A41" s="128"/>
      <c r="B41" s="130"/>
      <c r="C41" s="130"/>
      <c r="D41" s="130"/>
      <c r="E41" s="130"/>
      <c r="F41" s="130"/>
      <c r="G41" s="130"/>
      <c r="H41" s="130"/>
      <c r="I41" s="130"/>
      <c r="J41" s="130"/>
      <c r="K41" s="130"/>
      <c r="L41" s="130"/>
      <c r="M41" s="621" t="s">
        <v>72</v>
      </c>
      <c r="N41" s="622" t="s">
        <v>167</v>
      </c>
      <c r="O41" s="709">
        <v>83.15</v>
      </c>
      <c r="P41" s="710">
        <v>14.8651714675</v>
      </c>
      <c r="Q41" s="772">
        <v>0.26603476697842399</v>
      </c>
      <c r="R41" s="622"/>
      <c r="U41" s="623" t="s">
        <v>327</v>
      </c>
      <c r="V41" s="623">
        <v>0.33686140416618626</v>
      </c>
      <c r="W41" s="710">
        <v>0.38319541370187926</v>
      </c>
      <c r="X41" s="624"/>
      <c r="Y41" s="625"/>
      <c r="Z41" s="626"/>
    </row>
    <row r="42" spans="1:26">
      <c r="A42" s="128"/>
      <c r="B42" s="130"/>
      <c r="C42" s="130"/>
      <c r="D42" s="130"/>
      <c r="E42" s="130"/>
      <c r="F42" s="130"/>
      <c r="G42" s="130"/>
      <c r="H42" s="130"/>
      <c r="I42" s="130"/>
      <c r="J42" s="130"/>
      <c r="K42" s="130"/>
      <c r="L42" s="130"/>
      <c r="M42" s="621" t="s">
        <v>73</v>
      </c>
      <c r="N42" s="622" t="s">
        <v>167</v>
      </c>
      <c r="O42" s="709">
        <v>32</v>
      </c>
      <c r="P42" s="710">
        <v>7.4709958475000002</v>
      </c>
      <c r="Q42" s="772">
        <v>0.34742354201543901</v>
      </c>
      <c r="R42" s="622"/>
      <c r="U42" s="623" t="s">
        <v>74</v>
      </c>
      <c r="V42" s="623">
        <v>0.31306576858859586</v>
      </c>
      <c r="W42" s="710">
        <v>0.22036142844306136</v>
      </c>
      <c r="X42" s="624"/>
      <c r="Y42" s="625"/>
      <c r="Z42" s="626"/>
    </row>
    <row r="43" spans="1:26">
      <c r="A43" s="128"/>
      <c r="B43" s="130"/>
      <c r="C43" s="130"/>
      <c r="D43" s="130"/>
      <c r="E43" s="130"/>
      <c r="F43" s="130"/>
      <c r="G43" s="130"/>
      <c r="H43" s="130"/>
      <c r="I43" s="130"/>
      <c r="J43" s="130"/>
      <c r="K43" s="130"/>
      <c r="L43" s="130"/>
      <c r="M43" s="621" t="s">
        <v>403</v>
      </c>
      <c r="N43" s="622" t="s">
        <v>167</v>
      </c>
      <c r="O43" s="709">
        <v>36.4</v>
      </c>
      <c r="P43" s="710">
        <v>3.363886715</v>
      </c>
      <c r="Q43" s="772">
        <v>0.1375215330242674</v>
      </c>
      <c r="R43" s="622"/>
      <c r="U43" s="623" t="s">
        <v>368</v>
      </c>
      <c r="V43" s="623">
        <v>0.30727132455043693</v>
      </c>
      <c r="W43" s="710">
        <v>0.49478682134164276</v>
      </c>
      <c r="X43" s="624"/>
      <c r="Y43" s="625"/>
      <c r="Z43" s="626"/>
    </row>
    <row r="44" spans="1:26" ht="36" customHeight="1">
      <c r="A44" s="831"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febrero 2025.
Nota: Son consideradas las centrales adjudicadas por subasta RER y cuenten con operación comercial</v>
      </c>
      <c r="B44" s="831"/>
      <c r="C44" s="831"/>
      <c r="D44" s="831"/>
      <c r="E44" s="831"/>
      <c r="F44" s="831"/>
      <c r="G44" s="831"/>
      <c r="H44" s="831"/>
      <c r="I44" s="831"/>
      <c r="J44" s="831"/>
      <c r="K44" s="831"/>
      <c r="L44" s="831"/>
      <c r="M44" s="454" t="s">
        <v>368</v>
      </c>
      <c r="N44" s="622" t="s">
        <v>167</v>
      </c>
      <c r="O44" s="709">
        <v>18.37</v>
      </c>
      <c r="P44" s="710">
        <v>3.0377019674999999</v>
      </c>
      <c r="Q44" s="772">
        <v>0.24607456900322733</v>
      </c>
      <c r="R44" s="622"/>
      <c r="U44" s="623" t="s">
        <v>622</v>
      </c>
      <c r="V44" s="623">
        <v>0.25074581956813174</v>
      </c>
      <c r="W44" s="710">
        <v>0</v>
      </c>
      <c r="X44" s="624"/>
      <c r="Y44" s="625"/>
      <c r="Z44" s="626"/>
    </row>
    <row r="45" spans="1:26" ht="18" customHeight="1">
      <c r="A45" s="128"/>
      <c r="B45" s="130"/>
      <c r="C45" s="130"/>
      <c r="D45" s="130"/>
      <c r="E45" s="130"/>
      <c r="F45" s="130"/>
      <c r="G45" s="130"/>
      <c r="H45" s="130"/>
      <c r="I45" s="130"/>
      <c r="J45" s="130"/>
      <c r="K45" s="130"/>
      <c r="L45" s="130"/>
      <c r="M45" s="454" t="s">
        <v>74</v>
      </c>
      <c r="N45" s="622" t="s">
        <v>167</v>
      </c>
      <c r="O45" s="709">
        <v>30.86</v>
      </c>
      <c r="P45" s="710">
        <v>2.867063865</v>
      </c>
      <c r="Q45" s="772">
        <v>0.13825223865267103</v>
      </c>
      <c r="R45" s="622"/>
      <c r="U45" s="623" t="s">
        <v>367</v>
      </c>
      <c r="V45" s="623">
        <v>0.24738361701097036</v>
      </c>
      <c r="W45" s="710">
        <v>0.40298778813845665</v>
      </c>
      <c r="X45" s="624"/>
      <c r="Y45" s="625"/>
      <c r="Z45" s="626"/>
    </row>
    <row r="46" spans="1:26" ht="12">
      <c r="A46" s="128"/>
      <c r="B46" s="130"/>
      <c r="C46" s="835" t="str">
        <f>"Factor de planta de las centrales RER  Acumulado al "&amp;'1. Resumen'!Q7&amp;" de "&amp;'1. Resumen'!Q4</f>
        <v>Factor de planta de las centrales RER  Acumulado al 28 de febrero</v>
      </c>
      <c r="D46" s="835"/>
      <c r="E46" s="835"/>
      <c r="F46" s="835"/>
      <c r="G46" s="835"/>
      <c r="H46" s="835"/>
      <c r="I46" s="835"/>
      <c r="J46" s="835"/>
      <c r="K46" s="130"/>
      <c r="L46" s="130"/>
      <c r="M46" s="621" t="s">
        <v>367</v>
      </c>
      <c r="N46" s="622" t="s">
        <v>167</v>
      </c>
      <c r="O46" s="709">
        <v>18.37</v>
      </c>
      <c r="P46" s="710">
        <v>2.3519880375</v>
      </c>
      <c r="Q46" s="772">
        <v>0.19052706579535736</v>
      </c>
      <c r="R46" s="622"/>
      <c r="U46" s="623" t="s">
        <v>403</v>
      </c>
      <c r="V46" s="623">
        <v>0.19322233297246541</v>
      </c>
      <c r="W46" s="710">
        <v>0.28613374157272325</v>
      </c>
      <c r="X46" s="624"/>
      <c r="Y46" s="625"/>
      <c r="Z46" s="626"/>
    </row>
    <row r="47" spans="1:26" ht="9.75" customHeight="1">
      <c r="A47" s="128"/>
      <c r="B47" s="130"/>
      <c r="C47" s="130"/>
      <c r="D47" s="130"/>
      <c r="E47" s="130"/>
      <c r="F47" s="130"/>
      <c r="G47" s="130"/>
      <c r="H47" s="130"/>
      <c r="I47" s="130"/>
      <c r="J47" s="130"/>
      <c r="K47" s="130"/>
      <c r="L47" s="130"/>
      <c r="M47" s="621" t="s">
        <v>328</v>
      </c>
      <c r="N47" s="622" t="s">
        <v>75</v>
      </c>
      <c r="O47" s="709">
        <v>144.47999999999999</v>
      </c>
      <c r="P47" s="710">
        <v>28.987161499999999</v>
      </c>
      <c r="Q47" s="772">
        <v>0.29855798030210146</v>
      </c>
      <c r="R47" s="622"/>
      <c r="T47" s="454" t="s">
        <v>335</v>
      </c>
      <c r="U47" s="623" t="s">
        <v>180</v>
      </c>
      <c r="V47" s="623">
        <v>0.34732179555084747</v>
      </c>
      <c r="W47" s="710">
        <v>0.30057031249999999</v>
      </c>
      <c r="X47" s="624"/>
      <c r="Y47" s="625"/>
      <c r="Z47" s="626"/>
    </row>
    <row r="48" spans="1:26" ht="9.75" customHeight="1">
      <c r="A48" s="128"/>
      <c r="B48" s="130"/>
      <c r="C48" s="130"/>
      <c r="D48" s="130"/>
      <c r="E48" s="130"/>
      <c r="F48" s="130"/>
      <c r="G48" s="130"/>
      <c r="H48" s="130"/>
      <c r="I48" s="130"/>
      <c r="J48" s="130"/>
      <c r="K48" s="130"/>
      <c r="L48" s="130"/>
      <c r="M48" s="621" t="s">
        <v>540</v>
      </c>
      <c r="N48" s="622" t="s">
        <v>75</v>
      </c>
      <c r="O48" s="709">
        <v>114.93</v>
      </c>
      <c r="P48" s="710">
        <v>22.5704195</v>
      </c>
      <c r="Q48" s="772">
        <v>0.2922381778453137</v>
      </c>
      <c r="R48" s="622"/>
      <c r="U48" s="623" t="s">
        <v>76</v>
      </c>
      <c r="V48" s="623">
        <v>0.34097321901483052</v>
      </c>
      <c r="W48" s="710">
        <v>0.3124249057112069</v>
      </c>
      <c r="X48" s="624"/>
      <c r="Y48" s="625"/>
      <c r="Z48" s="626"/>
    </row>
    <row r="49" spans="1:26" ht="9.75" customHeight="1">
      <c r="A49" s="128"/>
      <c r="B49" s="130"/>
      <c r="C49" s="130"/>
      <c r="D49" s="130"/>
      <c r="E49" s="130"/>
      <c r="F49" s="130"/>
      <c r="G49" s="130"/>
      <c r="H49" s="130"/>
      <c r="I49" s="130"/>
      <c r="J49" s="130"/>
      <c r="K49" s="130"/>
      <c r="L49" s="130"/>
      <c r="M49" s="621" t="s">
        <v>635</v>
      </c>
      <c r="N49" s="622" t="s">
        <v>75</v>
      </c>
      <c r="O49" s="709">
        <v>80</v>
      </c>
      <c r="P49" s="710">
        <v>15.5563600875</v>
      </c>
      <c r="Q49" s="772">
        <v>0.28936681710379469</v>
      </c>
      <c r="R49" s="622"/>
      <c r="U49" s="628" t="s">
        <v>181</v>
      </c>
      <c r="V49" s="623">
        <v>0.33377541490112994</v>
      </c>
      <c r="W49" s="710">
        <v>0.30723638649425289</v>
      </c>
      <c r="Y49" s="625"/>
      <c r="Z49" s="626"/>
    </row>
    <row r="50" spans="1:26" ht="9.75" customHeight="1">
      <c r="A50" s="128"/>
      <c r="B50" s="130"/>
      <c r="C50" s="130"/>
      <c r="D50" s="130"/>
      <c r="E50" s="130"/>
      <c r="F50" s="130"/>
      <c r="G50" s="130"/>
      <c r="H50" s="130"/>
      <c r="I50" s="130"/>
      <c r="J50" s="130"/>
      <c r="K50" s="130"/>
      <c r="L50" s="130"/>
      <c r="M50" s="621" t="s">
        <v>329</v>
      </c>
      <c r="N50" s="622" t="s">
        <v>75</v>
      </c>
      <c r="O50" s="709">
        <v>40.5</v>
      </c>
      <c r="P50" s="710">
        <v>6.4506895975000003</v>
      </c>
      <c r="Q50" s="772">
        <v>0.23701828327087007</v>
      </c>
      <c r="R50" s="622"/>
      <c r="U50" s="623" t="s">
        <v>635</v>
      </c>
      <c r="V50" s="623">
        <v>0.32104687786899716</v>
      </c>
      <c r="W50" s="710">
        <v>0</v>
      </c>
      <c r="Y50" s="625"/>
      <c r="Z50" s="626"/>
    </row>
    <row r="51" spans="1:26" ht="9.75" customHeight="1">
      <c r="A51" s="128"/>
      <c r="B51" s="130"/>
      <c r="C51" s="130"/>
      <c r="D51" s="130"/>
      <c r="E51" s="130"/>
      <c r="F51" s="130"/>
      <c r="G51" s="130"/>
      <c r="H51" s="130"/>
      <c r="I51" s="130"/>
      <c r="J51" s="130"/>
      <c r="K51" s="130"/>
      <c r="L51" s="130"/>
      <c r="M51" s="621" t="s">
        <v>180</v>
      </c>
      <c r="N51" s="622" t="s">
        <v>75</v>
      </c>
      <c r="O51" s="709">
        <v>20</v>
      </c>
      <c r="P51" s="710">
        <v>4.7753627500000002</v>
      </c>
      <c r="Q51" s="772">
        <v>0.3553097284226191</v>
      </c>
      <c r="R51" s="622"/>
      <c r="U51" s="623" t="s">
        <v>328</v>
      </c>
      <c r="V51" s="623">
        <v>0.32088554302083139</v>
      </c>
      <c r="W51" s="710">
        <v>0.33468797087215668</v>
      </c>
      <c r="Y51" s="625"/>
      <c r="Z51" s="626"/>
    </row>
    <row r="52" spans="1:26" ht="9.75" customHeight="1">
      <c r="A52" s="128"/>
      <c r="B52" s="130"/>
      <c r="C52" s="130"/>
      <c r="D52" s="130"/>
      <c r="E52" s="130"/>
      <c r="F52" s="130"/>
      <c r="G52" s="130"/>
      <c r="H52" s="130"/>
      <c r="I52" s="130"/>
      <c r="J52" s="130"/>
      <c r="K52" s="130"/>
      <c r="L52" s="130"/>
      <c r="M52" s="621" t="s">
        <v>181</v>
      </c>
      <c r="N52" s="622" t="s">
        <v>75</v>
      </c>
      <c r="O52" s="709">
        <v>20</v>
      </c>
      <c r="P52" s="710">
        <v>4.42573025</v>
      </c>
      <c r="Q52" s="772">
        <v>0.32929540550595243</v>
      </c>
      <c r="R52" s="622"/>
      <c r="U52" s="623" t="s">
        <v>540</v>
      </c>
      <c r="V52" s="623">
        <v>0.31989364012287508</v>
      </c>
      <c r="W52" s="710">
        <v>0.30387810396333198</v>
      </c>
    </row>
    <row r="53" spans="1:26" ht="20.25" customHeight="1">
      <c r="A53" s="128"/>
      <c r="B53" s="130"/>
      <c r="C53" s="130"/>
      <c r="D53" s="130"/>
      <c r="E53" s="130"/>
      <c r="F53" s="130"/>
      <c r="G53" s="130"/>
      <c r="H53" s="130"/>
      <c r="I53" s="130"/>
      <c r="J53" s="130"/>
      <c r="K53" s="130"/>
      <c r="L53" s="130"/>
      <c r="M53" s="454" t="s">
        <v>76</v>
      </c>
      <c r="N53" s="615" t="s">
        <v>75</v>
      </c>
      <c r="O53" s="709">
        <v>16</v>
      </c>
      <c r="P53" s="710">
        <v>3.6596452500000001</v>
      </c>
      <c r="Q53" s="772">
        <v>0.3403687918526786</v>
      </c>
      <c r="R53" s="622"/>
      <c r="U53" s="623" t="s">
        <v>329</v>
      </c>
      <c r="V53" s="623">
        <v>0.26736659582723027</v>
      </c>
      <c r="W53" s="710">
        <v>0.26878709140414364</v>
      </c>
    </row>
    <row r="54" spans="1:26" ht="9.75" customHeight="1">
      <c r="A54" s="128"/>
      <c r="B54" s="130"/>
      <c r="C54" s="130"/>
      <c r="D54" s="130"/>
      <c r="E54" s="130"/>
      <c r="F54" s="130"/>
      <c r="G54" s="130"/>
      <c r="H54" s="130"/>
      <c r="I54" s="130"/>
      <c r="J54" s="130"/>
      <c r="K54" s="130"/>
      <c r="L54" s="130"/>
      <c r="M54" s="454" t="s">
        <v>182</v>
      </c>
      <c r="N54" s="615" t="s">
        <v>75</v>
      </c>
      <c r="O54" s="709">
        <v>20</v>
      </c>
      <c r="P54" s="710">
        <v>3.2640197</v>
      </c>
      <c r="Q54" s="772">
        <v>0.24285860863095238</v>
      </c>
      <c r="R54" s="622"/>
      <c r="U54" s="623" t="s">
        <v>182</v>
      </c>
      <c r="V54" s="623">
        <v>0.25506645127118643</v>
      </c>
      <c r="W54" s="710">
        <v>0.25755710937499998</v>
      </c>
    </row>
    <row r="55" spans="1:26" ht="9.75" customHeight="1">
      <c r="B55" s="130"/>
      <c r="C55" s="130"/>
      <c r="D55" s="130"/>
      <c r="E55" s="130"/>
      <c r="F55" s="130"/>
      <c r="G55" s="130"/>
      <c r="H55" s="130"/>
      <c r="I55" s="130"/>
      <c r="J55" s="130"/>
      <c r="K55" s="130"/>
      <c r="L55" s="130"/>
      <c r="M55" s="621" t="s">
        <v>77</v>
      </c>
      <c r="N55" s="622" t="s">
        <v>75</v>
      </c>
      <c r="O55" s="709">
        <v>20</v>
      </c>
      <c r="P55" s="710">
        <v>2.7803100000000001</v>
      </c>
      <c r="Q55" s="772">
        <v>0.2068683035714286</v>
      </c>
      <c r="R55" s="622"/>
      <c r="U55" s="623" t="s">
        <v>77</v>
      </c>
      <c r="V55" s="623">
        <v>0.23137390889830509</v>
      </c>
      <c r="W55" s="710">
        <v>0.24125061063218392</v>
      </c>
    </row>
    <row r="56" spans="1:26" ht="9.75" customHeight="1">
      <c r="B56" s="130"/>
      <c r="C56" s="130"/>
      <c r="D56" s="130"/>
      <c r="E56" s="130"/>
      <c r="F56" s="130"/>
      <c r="G56" s="130"/>
      <c r="H56" s="130"/>
      <c r="I56" s="130"/>
      <c r="J56" s="130"/>
      <c r="K56" s="130"/>
      <c r="L56" s="130"/>
      <c r="M56" s="621" t="s">
        <v>386</v>
      </c>
      <c r="N56" s="622" t="s">
        <v>75</v>
      </c>
      <c r="O56" s="709">
        <v>1.2949999999999999</v>
      </c>
      <c r="P56" s="710">
        <v>0.14369725</v>
      </c>
      <c r="Q56" s="772">
        <v>0.16512370150763009</v>
      </c>
      <c r="R56" s="622"/>
      <c r="U56" s="623" t="s">
        <v>386</v>
      </c>
      <c r="V56" s="623">
        <v>0.19096072464716535</v>
      </c>
      <c r="W56" s="710">
        <v>0.19430557404695337</v>
      </c>
    </row>
    <row r="57" spans="1:26" ht="9.75" customHeight="1">
      <c r="B57" s="130"/>
      <c r="C57" s="130"/>
      <c r="D57" s="130"/>
      <c r="E57" s="130"/>
      <c r="F57" s="130"/>
      <c r="G57" s="130"/>
      <c r="H57" s="130"/>
      <c r="I57" s="130"/>
      <c r="J57" s="130"/>
      <c r="K57" s="130"/>
      <c r="L57" s="130"/>
      <c r="M57" s="621" t="s">
        <v>404</v>
      </c>
      <c r="N57" s="622" t="s">
        <v>75</v>
      </c>
      <c r="O57" s="709">
        <v>0.55000000000000004</v>
      </c>
      <c r="P57" s="710">
        <v>4.9554807499999999E-2</v>
      </c>
      <c r="Q57" s="772">
        <v>0.13407686011904763</v>
      </c>
      <c r="R57" s="622"/>
      <c r="U57" s="623" t="s">
        <v>404</v>
      </c>
      <c r="V57" s="623">
        <v>0.14568366718027734</v>
      </c>
      <c r="W57" s="710">
        <v>8.5731197753396035E-2</v>
      </c>
    </row>
    <row r="58" spans="1:26" ht="9.75" customHeight="1">
      <c r="B58" s="130"/>
      <c r="C58" s="130"/>
      <c r="D58" s="130"/>
      <c r="E58" s="130"/>
      <c r="F58" s="130"/>
      <c r="G58" s="130"/>
      <c r="H58" s="130"/>
      <c r="I58" s="130"/>
      <c r="J58" s="130"/>
      <c r="K58" s="130"/>
      <c r="L58" s="130"/>
      <c r="M58" s="621" t="s">
        <v>81</v>
      </c>
      <c r="N58" s="622" t="s">
        <v>166</v>
      </c>
      <c r="O58" s="709">
        <v>20.690760000000001</v>
      </c>
      <c r="P58" s="710">
        <v>7.6259346275000004</v>
      </c>
      <c r="Q58" s="772">
        <v>0.54846303399238761</v>
      </c>
      <c r="R58" s="622"/>
      <c r="T58" s="454" t="s">
        <v>336</v>
      </c>
      <c r="U58" s="623" t="s">
        <v>671</v>
      </c>
      <c r="V58" s="623">
        <v>1</v>
      </c>
      <c r="W58" s="710">
        <v>0.70169405564523213</v>
      </c>
    </row>
    <row r="59" spans="1:26" ht="30.75" customHeight="1">
      <c r="M59" s="621" t="s">
        <v>78</v>
      </c>
      <c r="N59" s="622" t="s">
        <v>166</v>
      </c>
      <c r="O59" s="709">
        <v>14.733040000000001</v>
      </c>
      <c r="P59" s="710">
        <v>6.8942819824999999</v>
      </c>
      <c r="Q59" s="772">
        <v>0.69634971385702127</v>
      </c>
      <c r="R59" s="622"/>
      <c r="U59" s="623" t="s">
        <v>672</v>
      </c>
      <c r="V59" s="623">
        <v>0.96517468326696076</v>
      </c>
      <c r="W59" s="710">
        <v>0.87120317299643024</v>
      </c>
    </row>
    <row r="60" spans="1:26" ht="9.75" customHeight="1">
      <c r="M60" s="621" t="s">
        <v>354</v>
      </c>
      <c r="N60" s="622" t="s">
        <v>166</v>
      </c>
      <c r="O60" s="756">
        <v>8.3245199999999997</v>
      </c>
      <c r="P60" s="757">
        <v>4.1316392400000002</v>
      </c>
      <c r="Q60" s="774">
        <v>0.73857383711870817</v>
      </c>
      <c r="R60" s="622"/>
      <c r="U60" s="454" t="s">
        <v>79</v>
      </c>
      <c r="V60" s="623">
        <v>0.93227080360434678</v>
      </c>
      <c r="W60" s="710">
        <v>1</v>
      </c>
    </row>
    <row r="61" spans="1:26" ht="9.75" customHeight="1">
      <c r="M61" s="621" t="s">
        <v>352</v>
      </c>
      <c r="N61" s="622" t="s">
        <v>166</v>
      </c>
      <c r="O61" s="758">
        <v>11.59258</v>
      </c>
      <c r="P61" s="759">
        <v>3.2899409999999998</v>
      </c>
      <c r="Q61" s="774">
        <v>0.42231716630071009</v>
      </c>
      <c r="R61" s="622"/>
      <c r="U61" s="454" t="s">
        <v>80</v>
      </c>
      <c r="V61" s="623">
        <v>0.84595057114962913</v>
      </c>
      <c r="W61" s="711">
        <v>0.74216260064878969</v>
      </c>
    </row>
    <row r="62" spans="1:26" ht="9.75" customHeight="1">
      <c r="M62" s="454" t="s">
        <v>79</v>
      </c>
      <c r="N62" s="615" t="s">
        <v>166</v>
      </c>
      <c r="O62" s="760">
        <v>4.4530099999999999</v>
      </c>
      <c r="P62" s="760">
        <v>2.797712975</v>
      </c>
      <c r="Q62" s="774">
        <v>0.93493240654181375</v>
      </c>
      <c r="R62" s="622"/>
      <c r="U62" s="454" t="s">
        <v>78</v>
      </c>
      <c r="V62" s="623">
        <v>0.73010237665959665</v>
      </c>
      <c r="W62" s="711">
        <v>0.5711759698995591</v>
      </c>
    </row>
    <row r="63" spans="1:26" ht="9.75" customHeight="1">
      <c r="M63" s="454" t="s">
        <v>80</v>
      </c>
      <c r="N63" s="615" t="s">
        <v>166</v>
      </c>
      <c r="O63" s="760">
        <v>2.9172799999999999</v>
      </c>
      <c r="P63" s="760">
        <v>1.6461129999999999</v>
      </c>
      <c r="Q63" s="774">
        <v>0.8396769993509936</v>
      </c>
      <c r="R63" s="622"/>
      <c r="U63" s="454" t="s">
        <v>354</v>
      </c>
      <c r="V63" s="711">
        <v>0.72774465639266872</v>
      </c>
      <c r="W63" s="711">
        <v>0.86732889191692075</v>
      </c>
    </row>
    <row r="64" spans="1:26" ht="9.75" customHeight="1">
      <c r="M64" s="454" t="s">
        <v>671</v>
      </c>
      <c r="N64" s="615" t="s">
        <v>166</v>
      </c>
      <c r="O64" s="760">
        <v>1.9285699999999999</v>
      </c>
      <c r="P64" s="760">
        <v>1.5522412249999999</v>
      </c>
      <c r="Q64" s="774">
        <v>1</v>
      </c>
      <c r="R64" s="622"/>
      <c r="U64" s="454" t="s">
        <v>352</v>
      </c>
      <c r="V64" s="711">
        <v>0.63342780483425931</v>
      </c>
      <c r="W64" s="711">
        <v>0.7815858302783173</v>
      </c>
    </row>
    <row r="65" spans="1:23" ht="9.75" customHeight="1">
      <c r="A65" s="831"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febrero.
Nota: Son consideradas las centrales adjudicadas por subasta RER y cuenten con operación comercial</v>
      </c>
      <c r="B65" s="831"/>
      <c r="C65" s="831"/>
      <c r="D65" s="831"/>
      <c r="E65" s="831"/>
      <c r="F65" s="831"/>
      <c r="G65" s="831"/>
      <c r="H65" s="831"/>
      <c r="I65" s="831"/>
      <c r="J65" s="831"/>
      <c r="K65" s="831"/>
      <c r="L65" s="831"/>
      <c r="M65" s="454" t="s">
        <v>672</v>
      </c>
      <c r="N65" s="615" t="s">
        <v>166</v>
      </c>
      <c r="O65" s="454">
        <v>1.9571499999999999</v>
      </c>
      <c r="P65" s="454">
        <v>1.1046284500000001</v>
      </c>
      <c r="Q65" s="773">
        <v>0.83989082916972324</v>
      </c>
      <c r="R65" s="622"/>
      <c r="U65" s="454" t="s">
        <v>81</v>
      </c>
      <c r="V65" s="711">
        <v>0.60293790643500544</v>
      </c>
      <c r="W65" s="711">
        <v>0</v>
      </c>
    </row>
    <row r="66" spans="1:23" ht="9.75" customHeight="1">
      <c r="A66" s="831"/>
      <c r="B66" s="831"/>
      <c r="C66" s="831"/>
      <c r="D66" s="831"/>
      <c r="E66" s="831"/>
      <c r="F66" s="831"/>
      <c r="G66" s="831"/>
      <c r="H66" s="831"/>
      <c r="I66" s="831"/>
      <c r="J66" s="831"/>
      <c r="K66" s="831"/>
      <c r="L66" s="831"/>
    </row>
    <row r="67" spans="1:23" ht="9.75" customHeight="1"/>
    <row r="69" spans="1:23"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80"/>
  <sheetViews>
    <sheetView showGridLines="0" view="pageBreakPreview" zoomScale="115" zoomScaleNormal="100" zoomScaleSheetLayoutView="115" zoomScalePageLayoutView="120" workbookViewId="0">
      <selection activeCell="A5" sqref="A5:B71"/>
    </sheetView>
  </sheetViews>
  <sheetFormatPr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6" customWidth="1"/>
    <col min="13" max="13" width="19.140625" style="241" customWidth="1"/>
    <col min="14" max="14" width="10.42578125" style="241" bestFit="1" customWidth="1"/>
    <col min="15" max="15" width="9.42578125" style="241" bestFit="1" customWidth="1"/>
    <col min="16" max="17" width="9.28515625" style="351"/>
    <col min="18" max="18" width="9.28515625" style="536"/>
  </cols>
  <sheetData>
    <row r="1" spans="1:16" ht="11.25" customHeight="1">
      <c r="A1" s="832" t="s">
        <v>184</v>
      </c>
      <c r="B1" s="832"/>
      <c r="C1" s="832"/>
      <c r="D1" s="832"/>
      <c r="E1" s="832"/>
      <c r="F1" s="832"/>
      <c r="G1" s="832"/>
      <c r="H1" s="832"/>
      <c r="I1" s="832"/>
      <c r="J1" s="832"/>
      <c r="K1" s="14"/>
    </row>
    <row r="2" spans="1:16" ht="6" customHeight="1">
      <c r="A2" s="14"/>
      <c r="B2" s="14"/>
      <c r="C2" s="14"/>
      <c r="D2" s="14"/>
      <c r="E2" s="14"/>
      <c r="F2" s="14"/>
      <c r="G2" s="14"/>
      <c r="H2" s="14"/>
      <c r="I2" s="14"/>
      <c r="J2" s="14"/>
      <c r="K2" s="14"/>
      <c r="L2" s="537"/>
      <c r="M2" s="561"/>
    </row>
    <row r="3" spans="1:16" ht="11.25" customHeight="1">
      <c r="A3" s="838" t="s">
        <v>194</v>
      </c>
      <c r="B3" s="839" t="str">
        <f>+'1. Resumen'!Q4</f>
        <v>febrero</v>
      </c>
      <c r="C3" s="840"/>
      <c r="D3" s="840"/>
      <c r="E3" s="130"/>
      <c r="F3" s="130"/>
      <c r="G3" s="841" t="s">
        <v>755</v>
      </c>
      <c r="H3" s="841"/>
      <c r="I3" s="841"/>
      <c r="J3" s="841"/>
      <c r="K3" s="130"/>
      <c r="M3" s="562"/>
      <c r="N3" s="563">
        <v>2025</v>
      </c>
      <c r="O3" s="563">
        <v>2024</v>
      </c>
    </row>
    <row r="4" spans="1:16" ht="11.25" customHeight="1">
      <c r="A4" s="838"/>
      <c r="B4" s="315">
        <f>+'1. Resumen'!Q5</f>
        <v>2025</v>
      </c>
      <c r="C4" s="316">
        <f>+B4-1</f>
        <v>2024</v>
      </c>
      <c r="D4" s="316" t="s">
        <v>33</v>
      </c>
      <c r="E4" s="130"/>
      <c r="F4" s="130"/>
      <c r="G4" s="130"/>
      <c r="H4" s="130"/>
      <c r="I4" s="130"/>
      <c r="J4" s="130"/>
      <c r="K4" s="130"/>
      <c r="L4" s="568"/>
      <c r="M4" s="564" t="s">
        <v>83</v>
      </c>
      <c r="N4" s="565"/>
      <c r="O4" s="565">
        <v>740.67575974999977</v>
      </c>
    </row>
    <row r="5" spans="1:16" ht="9" customHeight="1">
      <c r="A5" s="487" t="s">
        <v>317</v>
      </c>
      <c r="B5" s="581">
        <v>977.49598841749992</v>
      </c>
      <c r="C5" s="582">
        <v>1000.2346179849999</v>
      </c>
      <c r="D5" s="488">
        <f>IF(C5=0,"",B5/C5-1)</f>
        <v>-2.2733295927417019E-2</v>
      </c>
      <c r="E5" s="130"/>
      <c r="F5" s="130"/>
      <c r="G5" s="130"/>
      <c r="H5" s="130"/>
      <c r="I5" s="130"/>
      <c r="J5" s="130"/>
      <c r="K5" s="130"/>
      <c r="L5" s="569"/>
      <c r="M5" s="565" t="s">
        <v>707</v>
      </c>
      <c r="N5" s="565"/>
      <c r="O5" s="565">
        <v>1.3656087400000001</v>
      </c>
      <c r="P5" s="771"/>
    </row>
    <row r="6" spans="1:16" ht="9" customHeight="1">
      <c r="A6" s="489" t="s">
        <v>563</v>
      </c>
      <c r="B6" s="583">
        <v>595.27891088000013</v>
      </c>
      <c r="C6" s="583"/>
      <c r="D6" s="490" t="str">
        <f t="shared" ref="D6:D69" si="0">IF(C6=0,"",B6/C6-1)</f>
        <v/>
      </c>
      <c r="E6" s="273"/>
      <c r="F6" s="130"/>
      <c r="G6" s="130"/>
      <c r="H6" s="130"/>
      <c r="I6" s="130"/>
      <c r="J6" s="130"/>
      <c r="K6" s="130"/>
      <c r="M6" s="564" t="s">
        <v>192</v>
      </c>
      <c r="N6" s="565">
        <v>2.0615420000000002E-2</v>
      </c>
      <c r="O6" s="565">
        <v>6.3021550000000003E-3</v>
      </c>
    </row>
    <row r="7" spans="1:16" ht="9" customHeight="1">
      <c r="A7" s="487" t="s">
        <v>84</v>
      </c>
      <c r="B7" s="582">
        <v>551.09639906000007</v>
      </c>
      <c r="C7" s="582">
        <v>543.5189831875</v>
      </c>
      <c r="D7" s="488">
        <f t="shared" si="0"/>
        <v>1.3941400589289277E-2</v>
      </c>
      <c r="E7" s="130"/>
      <c r="F7" s="130"/>
      <c r="G7" s="130"/>
      <c r="H7" s="130"/>
      <c r="I7" s="130"/>
      <c r="K7" s="130"/>
      <c r="M7" s="565" t="s">
        <v>364</v>
      </c>
      <c r="N7" s="565">
        <v>4.6333289999999999E-2</v>
      </c>
      <c r="O7" s="565">
        <v>0.3534799575</v>
      </c>
    </row>
    <row r="8" spans="1:16" ht="9" customHeight="1">
      <c r="A8" s="489" t="s">
        <v>82</v>
      </c>
      <c r="B8" s="583">
        <v>455.91956049000004</v>
      </c>
      <c r="C8" s="583">
        <v>520.50088030500001</v>
      </c>
      <c r="D8" s="490">
        <f t="shared" si="0"/>
        <v>-0.12407533254728986</v>
      </c>
      <c r="E8" s="130"/>
      <c r="F8" s="130"/>
      <c r="G8" s="130"/>
      <c r="H8" s="130"/>
      <c r="I8" s="130"/>
      <c r="J8" s="130"/>
      <c r="K8" s="130"/>
      <c r="M8" s="565" t="s">
        <v>398</v>
      </c>
      <c r="N8" s="565">
        <v>4.9554807500000006E-2</v>
      </c>
      <c r="O8" s="565">
        <v>3.2817902500000003E-2</v>
      </c>
    </row>
    <row r="9" spans="1:16" ht="9" customHeight="1">
      <c r="A9" s="487" t="s">
        <v>186</v>
      </c>
      <c r="B9" s="582">
        <v>302.84059914500006</v>
      </c>
      <c r="C9" s="582">
        <v>250.69473987999999</v>
      </c>
      <c r="D9" s="488">
        <f t="shared" si="0"/>
        <v>0.20800539847768929</v>
      </c>
      <c r="E9" s="130"/>
      <c r="F9" s="130"/>
      <c r="G9" s="130"/>
      <c r="H9" s="130"/>
      <c r="I9" s="130"/>
      <c r="J9" s="130"/>
      <c r="K9" s="130"/>
      <c r="L9" s="568"/>
      <c r="M9" s="565" t="s">
        <v>111</v>
      </c>
      <c r="N9" s="565">
        <v>0.115064295</v>
      </c>
      <c r="O9" s="565">
        <v>1.3112579999999999E-2</v>
      </c>
    </row>
    <row r="10" spans="1:16" ht="9" customHeight="1">
      <c r="A10" s="489" t="s">
        <v>188</v>
      </c>
      <c r="B10" s="583">
        <v>294.69183229500004</v>
      </c>
      <c r="C10" s="583">
        <v>152.40356489249999</v>
      </c>
      <c r="D10" s="490">
        <f t="shared" si="0"/>
        <v>0.93362820943765379</v>
      </c>
      <c r="E10" s="130"/>
      <c r="F10" s="130"/>
      <c r="G10" s="130"/>
      <c r="H10" s="130"/>
      <c r="I10" s="130"/>
      <c r="J10" s="130"/>
      <c r="K10" s="130"/>
      <c r="L10" s="569"/>
      <c r="M10" s="564" t="s">
        <v>383</v>
      </c>
      <c r="N10" s="565">
        <v>0.14369725</v>
      </c>
      <c r="O10" s="565">
        <v>0.1751315</v>
      </c>
    </row>
    <row r="11" spans="1:16" ht="9" customHeight="1">
      <c r="A11" s="487" t="s">
        <v>85</v>
      </c>
      <c r="B11" s="582">
        <v>244.49022060500002</v>
      </c>
      <c r="C11" s="582">
        <v>264.78465706500003</v>
      </c>
      <c r="D11" s="488">
        <f t="shared" si="0"/>
        <v>-7.6645062009835674E-2</v>
      </c>
      <c r="E11" s="130"/>
      <c r="F11" s="130"/>
      <c r="G11" s="130"/>
      <c r="H11" s="130"/>
      <c r="I11" s="130"/>
      <c r="J11" s="130"/>
      <c r="K11" s="130"/>
      <c r="L11" s="569"/>
      <c r="M11" s="564" t="s">
        <v>110</v>
      </c>
      <c r="N11" s="565">
        <v>0.74285538749999991</v>
      </c>
      <c r="O11" s="565">
        <v>0.41333287750000003</v>
      </c>
    </row>
    <row r="12" spans="1:16" ht="9" customHeight="1">
      <c r="A12" s="489" t="s">
        <v>190</v>
      </c>
      <c r="B12" s="583">
        <v>209.86948128499995</v>
      </c>
      <c r="C12" s="583">
        <v>221.94396856999998</v>
      </c>
      <c r="D12" s="491">
        <f t="shared" si="0"/>
        <v>-5.4403313425441469E-2</v>
      </c>
      <c r="E12" s="130"/>
      <c r="F12" s="130"/>
      <c r="G12" s="130"/>
      <c r="H12" s="130"/>
      <c r="I12" s="130"/>
      <c r="J12" s="130"/>
      <c r="K12" s="130"/>
      <c r="L12" s="569"/>
      <c r="M12" s="565" t="s">
        <v>193</v>
      </c>
      <c r="N12" s="565">
        <v>1.0771151925</v>
      </c>
      <c r="O12" s="565">
        <v>2.24050825</v>
      </c>
    </row>
    <row r="13" spans="1:16" ht="9" customHeight="1">
      <c r="A13" s="487" t="s">
        <v>89</v>
      </c>
      <c r="B13" s="582">
        <v>128.9468584</v>
      </c>
      <c r="C13" s="582">
        <v>134.872552555</v>
      </c>
      <c r="D13" s="488">
        <f t="shared" si="0"/>
        <v>-4.3935508320594341E-2</v>
      </c>
      <c r="E13" s="130"/>
      <c r="F13" s="130"/>
      <c r="G13" s="130"/>
      <c r="H13" s="130"/>
      <c r="I13" s="130"/>
      <c r="J13" s="130"/>
      <c r="K13" s="130"/>
      <c r="L13" s="569"/>
      <c r="M13" s="565" t="s">
        <v>555</v>
      </c>
      <c r="N13" s="565">
        <v>1.2889903325000001</v>
      </c>
      <c r="O13" s="565"/>
    </row>
    <row r="14" spans="1:16" ht="9" customHeight="1">
      <c r="A14" s="489" t="s">
        <v>94</v>
      </c>
      <c r="B14" s="583">
        <v>112.66788943500001</v>
      </c>
      <c r="C14" s="583">
        <v>116.24984925000001</v>
      </c>
      <c r="D14" s="490">
        <f t="shared" si="0"/>
        <v>-3.0812597505368466E-2</v>
      </c>
      <c r="E14" s="130"/>
      <c r="F14" s="130"/>
      <c r="G14" s="130"/>
      <c r="H14" s="130"/>
      <c r="I14" s="130"/>
      <c r="J14" s="130"/>
      <c r="K14" s="130"/>
      <c r="L14" s="569"/>
      <c r="M14" s="565" t="s">
        <v>1016</v>
      </c>
      <c r="N14" s="565">
        <v>1.5012186525000002</v>
      </c>
      <c r="O14" s="565"/>
    </row>
    <row r="15" spans="1:16" ht="9" customHeight="1">
      <c r="A15" s="487" t="s">
        <v>87</v>
      </c>
      <c r="B15" s="582">
        <v>110.27280400000001</v>
      </c>
      <c r="C15" s="582">
        <v>114.77707024999999</v>
      </c>
      <c r="D15" s="488">
        <f t="shared" si="0"/>
        <v>-3.9243607108885858E-2</v>
      </c>
      <c r="E15" s="130"/>
      <c r="F15" s="130"/>
      <c r="G15" s="130"/>
      <c r="H15" s="130"/>
      <c r="I15" s="130"/>
      <c r="J15" s="130"/>
      <c r="K15" s="130" t="s">
        <v>7</v>
      </c>
      <c r="L15" s="569"/>
      <c r="M15" s="565" t="s">
        <v>382</v>
      </c>
      <c r="N15" s="565">
        <v>1.58042821</v>
      </c>
      <c r="O15" s="565">
        <v>1.65009545</v>
      </c>
    </row>
    <row r="16" spans="1:16" ht="9" customHeight="1">
      <c r="A16" s="489" t="s">
        <v>88</v>
      </c>
      <c r="B16" s="583">
        <v>94.590207249999992</v>
      </c>
      <c r="C16" s="583">
        <v>119.437865</v>
      </c>
      <c r="D16" s="490">
        <f t="shared" si="0"/>
        <v>-0.20803836162007761</v>
      </c>
      <c r="E16" s="130"/>
      <c r="F16" s="130"/>
      <c r="G16" s="130"/>
      <c r="H16" s="130"/>
      <c r="I16" s="130"/>
      <c r="J16" s="130"/>
      <c r="K16" s="130"/>
      <c r="L16" s="569"/>
      <c r="M16" s="564" t="s">
        <v>185</v>
      </c>
      <c r="N16" s="565">
        <v>1.5905319625000001</v>
      </c>
      <c r="O16" s="565">
        <v>2.4723504724999996</v>
      </c>
    </row>
    <row r="17" spans="1:15" ht="9" customHeight="1">
      <c r="A17" s="487" t="s">
        <v>86</v>
      </c>
      <c r="B17" s="582">
        <v>79.432449475000013</v>
      </c>
      <c r="C17" s="582">
        <v>48.521331035000003</v>
      </c>
      <c r="D17" s="488">
        <f t="shared" si="0"/>
        <v>0.63706245852371235</v>
      </c>
      <c r="E17" s="130"/>
      <c r="F17" s="130"/>
      <c r="G17" s="130"/>
      <c r="H17" s="130"/>
      <c r="I17" s="130"/>
      <c r="J17" s="130"/>
      <c r="K17" s="130"/>
      <c r="L17" s="570"/>
      <c r="M17" s="565" t="s">
        <v>107</v>
      </c>
      <c r="N17" s="565">
        <v>2.0177573</v>
      </c>
      <c r="O17" s="565">
        <v>2.1447544499999998</v>
      </c>
    </row>
    <row r="18" spans="1:15" ht="9" customHeight="1">
      <c r="A18" s="489" t="s">
        <v>90</v>
      </c>
      <c r="B18" s="583">
        <v>72.739919402500007</v>
      </c>
      <c r="C18" s="583">
        <v>73.378342440000011</v>
      </c>
      <c r="D18" s="490">
        <f t="shared" si="0"/>
        <v>-8.7004287133091163E-3</v>
      </c>
      <c r="E18" s="130"/>
      <c r="F18" s="130"/>
      <c r="G18" s="130"/>
      <c r="H18" s="130"/>
      <c r="I18" s="130"/>
      <c r="J18" s="130"/>
      <c r="K18" s="130"/>
      <c r="L18" s="569"/>
      <c r="M18" s="564" t="s">
        <v>109</v>
      </c>
      <c r="N18" s="565">
        <v>2.12087</v>
      </c>
      <c r="O18" s="565">
        <v>2.055215</v>
      </c>
    </row>
    <row r="19" spans="1:15" ht="9" customHeight="1">
      <c r="A19" s="487" t="s">
        <v>330</v>
      </c>
      <c r="B19" s="582">
        <v>59.83956757</v>
      </c>
      <c r="C19" s="582">
        <v>42.164227539999999</v>
      </c>
      <c r="D19" s="488">
        <f t="shared" si="0"/>
        <v>0.41920227314094416</v>
      </c>
      <c r="E19" s="130"/>
      <c r="F19" s="130"/>
      <c r="G19" s="130"/>
      <c r="H19" s="130"/>
      <c r="I19" s="130"/>
      <c r="J19" s="130"/>
      <c r="K19" s="130"/>
      <c r="L19" s="569"/>
      <c r="M19" s="565" t="s">
        <v>108</v>
      </c>
      <c r="N19" s="565">
        <v>2.2253000000000003</v>
      </c>
      <c r="O19" s="565">
        <v>2.3715999999999999</v>
      </c>
    </row>
    <row r="20" spans="1:15" ht="9" customHeight="1">
      <c r="A20" s="489" t="s">
        <v>187</v>
      </c>
      <c r="B20" s="583">
        <v>49.398798200000002</v>
      </c>
      <c r="C20" s="583">
        <v>46.403290672499999</v>
      </c>
      <c r="D20" s="490">
        <f t="shared" si="0"/>
        <v>6.4553773753705634E-2</v>
      </c>
      <c r="E20" s="130"/>
      <c r="F20" s="130"/>
      <c r="G20" s="130"/>
      <c r="H20" s="130"/>
      <c r="I20" s="130"/>
      <c r="J20" s="130"/>
      <c r="K20" s="130"/>
      <c r="L20" s="569"/>
      <c r="M20" s="564" t="s">
        <v>362</v>
      </c>
      <c r="N20" s="565">
        <v>2.3519880375</v>
      </c>
      <c r="O20" s="565">
        <v>5.152408425</v>
      </c>
    </row>
    <row r="21" spans="1:15" ht="9" customHeight="1">
      <c r="A21" s="487" t="s">
        <v>365</v>
      </c>
      <c r="B21" s="582">
        <v>46.995823249999987</v>
      </c>
      <c r="C21" s="582">
        <v>49.947704537500002</v>
      </c>
      <c r="D21" s="488">
        <f t="shared" si="0"/>
        <v>-5.9099438399291881E-2</v>
      </c>
      <c r="E21" s="130"/>
      <c r="F21" s="130"/>
      <c r="G21" s="130"/>
      <c r="H21" s="130"/>
      <c r="I21" s="130"/>
      <c r="J21" s="130"/>
      <c r="K21" s="130"/>
      <c r="L21" s="570"/>
      <c r="M21" s="564" t="s">
        <v>106</v>
      </c>
      <c r="N21" s="565">
        <v>2.73833875</v>
      </c>
      <c r="O21" s="565">
        <v>3.3775262425000001</v>
      </c>
    </row>
    <row r="22" spans="1:15" ht="9" customHeight="1">
      <c r="A22" s="489" t="s">
        <v>102</v>
      </c>
      <c r="B22" s="583">
        <v>40.800485424999998</v>
      </c>
      <c r="C22" s="583">
        <v>43.156501564999999</v>
      </c>
      <c r="D22" s="490">
        <f t="shared" si="0"/>
        <v>-5.4592380164353638E-2</v>
      </c>
      <c r="E22" s="130"/>
      <c r="F22" s="130"/>
      <c r="G22" s="130"/>
      <c r="H22" s="130"/>
      <c r="I22" s="130"/>
      <c r="J22" s="130"/>
      <c r="K22" s="130"/>
      <c r="L22" s="569"/>
      <c r="M22" s="564" t="s">
        <v>361</v>
      </c>
      <c r="N22" s="565">
        <v>2.7803100000000001</v>
      </c>
      <c r="O22" s="565">
        <v>3.3582085000000004</v>
      </c>
    </row>
    <row r="23" spans="1:15" ht="9" customHeight="1">
      <c r="A23" s="487" t="s">
        <v>369</v>
      </c>
      <c r="B23" s="582">
        <v>40.644668500000002</v>
      </c>
      <c r="C23" s="582">
        <v>45.375073999999998</v>
      </c>
      <c r="D23" s="488">
        <f t="shared" si="0"/>
        <v>-0.10425119086307155</v>
      </c>
      <c r="E23" s="130"/>
      <c r="F23" s="130"/>
      <c r="G23" s="130"/>
      <c r="H23" s="130"/>
      <c r="I23" s="130"/>
      <c r="J23" s="130"/>
      <c r="K23" s="130"/>
      <c r="L23" s="569"/>
      <c r="M23" s="565" t="s">
        <v>363</v>
      </c>
      <c r="N23" s="565">
        <v>3.0377019675000003</v>
      </c>
      <c r="O23" s="565">
        <v>6.3261067999999998</v>
      </c>
    </row>
    <row r="24" spans="1:15" ht="9" customHeight="1">
      <c r="A24" s="489" t="s">
        <v>394</v>
      </c>
      <c r="B24" s="583">
        <v>32.120616249999998</v>
      </c>
      <c r="C24" s="583">
        <v>32.223153750000002</v>
      </c>
      <c r="D24" s="490">
        <f t="shared" si="0"/>
        <v>-3.1821062828154556E-3</v>
      </c>
      <c r="E24" s="130"/>
      <c r="F24" s="130"/>
      <c r="G24" s="130"/>
      <c r="H24" s="130"/>
      <c r="I24" s="130"/>
      <c r="J24" s="130"/>
      <c r="K24" s="130"/>
      <c r="L24" s="569"/>
      <c r="M24" s="564" t="s">
        <v>360</v>
      </c>
      <c r="N24" s="565">
        <v>3.2640197</v>
      </c>
      <c r="O24" s="565">
        <v>3.5851949625000001</v>
      </c>
    </row>
    <row r="25" spans="1:15" ht="9" customHeight="1">
      <c r="A25" s="487" t="s">
        <v>91</v>
      </c>
      <c r="B25" s="582">
        <v>25.705796897500001</v>
      </c>
      <c r="C25" s="582">
        <v>27.89585275</v>
      </c>
      <c r="D25" s="488">
        <f t="shared" si="0"/>
        <v>-7.8508295556585894E-2</v>
      </c>
      <c r="E25" s="130"/>
      <c r="F25" s="130"/>
      <c r="G25" s="130"/>
      <c r="H25" s="130"/>
      <c r="I25" s="130"/>
      <c r="J25" s="130"/>
      <c r="K25" s="130"/>
      <c r="L25" s="569"/>
      <c r="M25" s="564" t="s">
        <v>346</v>
      </c>
      <c r="N25" s="565">
        <v>3.2899409999999998</v>
      </c>
      <c r="O25" s="565">
        <v>6.3061749999999996</v>
      </c>
    </row>
    <row r="26" spans="1:15" ht="9" customHeight="1">
      <c r="A26" s="489" t="s">
        <v>96</v>
      </c>
      <c r="B26" s="583">
        <v>21.158633275</v>
      </c>
      <c r="C26" s="583"/>
      <c r="D26" s="490" t="str">
        <f t="shared" si="0"/>
        <v/>
      </c>
      <c r="E26" s="130"/>
      <c r="F26" s="130"/>
      <c r="G26" s="130"/>
      <c r="H26" s="130"/>
      <c r="I26" s="130"/>
      <c r="J26" s="130"/>
      <c r="K26" s="130"/>
      <c r="L26" s="569"/>
      <c r="M26" s="564" t="s">
        <v>104</v>
      </c>
      <c r="N26" s="565">
        <v>3.6596452500000001</v>
      </c>
      <c r="O26" s="565">
        <v>3.4791637500000001</v>
      </c>
    </row>
    <row r="27" spans="1:15" ht="9" customHeight="1">
      <c r="A27" s="492" t="s">
        <v>93</v>
      </c>
      <c r="B27" s="582">
        <v>20.490931742500003</v>
      </c>
      <c r="C27" s="582">
        <v>30.634380604999997</v>
      </c>
      <c r="D27" s="488">
        <f t="shared" si="0"/>
        <v>-0.33111323493984501</v>
      </c>
      <c r="E27" s="130"/>
      <c r="F27" s="130"/>
      <c r="G27" s="130"/>
      <c r="H27" s="130"/>
      <c r="I27" s="130"/>
      <c r="J27" s="130"/>
      <c r="K27" s="130"/>
      <c r="L27" s="569"/>
      <c r="M27" s="565" t="s">
        <v>331</v>
      </c>
      <c r="N27" s="565">
        <v>4.1316392400000002</v>
      </c>
      <c r="O27" s="565">
        <v>4.9206936050000003</v>
      </c>
    </row>
    <row r="28" spans="1:15" ht="9" customHeight="1">
      <c r="A28" s="493" t="s">
        <v>554</v>
      </c>
      <c r="B28" s="583">
        <v>20.021989155</v>
      </c>
      <c r="C28" s="583"/>
      <c r="D28" s="490" t="str">
        <f t="shared" si="0"/>
        <v/>
      </c>
      <c r="E28" s="130"/>
      <c r="F28" s="130"/>
      <c r="G28" s="130"/>
      <c r="H28" s="130"/>
      <c r="I28" s="130"/>
      <c r="J28" s="130"/>
      <c r="K28" s="130"/>
      <c r="L28" s="569"/>
      <c r="M28" s="565" t="s">
        <v>101</v>
      </c>
      <c r="N28" s="565">
        <v>4.42573025</v>
      </c>
      <c r="O28" s="565">
        <v>4.2767304999999993</v>
      </c>
    </row>
    <row r="29" spans="1:15" ht="9" customHeight="1">
      <c r="A29" s="494" t="s">
        <v>105</v>
      </c>
      <c r="B29" s="582">
        <v>19.066708210000002</v>
      </c>
      <c r="C29" s="582">
        <v>17.439850065000002</v>
      </c>
      <c r="D29" s="488">
        <f t="shared" si="0"/>
        <v>9.3283952495952782E-2</v>
      </c>
      <c r="E29" s="130"/>
      <c r="F29" s="130"/>
      <c r="G29" s="130"/>
      <c r="H29" s="130"/>
      <c r="I29" s="130"/>
      <c r="J29" s="130"/>
      <c r="K29" s="130"/>
      <c r="L29" s="569"/>
      <c r="M29" s="565" t="s">
        <v>103</v>
      </c>
      <c r="N29" s="565">
        <v>4.7753627500000002</v>
      </c>
      <c r="O29" s="565">
        <v>4.1839387500000003</v>
      </c>
    </row>
    <row r="30" spans="1:15" ht="9" customHeight="1">
      <c r="A30" s="493" t="s">
        <v>92</v>
      </c>
      <c r="B30" s="583">
        <v>17.7322353325</v>
      </c>
      <c r="C30" s="583">
        <v>28.2317358325</v>
      </c>
      <c r="D30" s="490">
        <f t="shared" si="0"/>
        <v>-0.37190417770603801</v>
      </c>
      <c r="E30" s="130"/>
      <c r="F30" s="130"/>
      <c r="G30" s="130"/>
      <c r="H30" s="130"/>
      <c r="I30" s="130"/>
      <c r="J30" s="130"/>
      <c r="K30" s="130"/>
      <c r="L30" s="569"/>
      <c r="M30" s="564" t="s">
        <v>100</v>
      </c>
      <c r="N30" s="565">
        <v>6.8942819824999999</v>
      </c>
      <c r="O30" s="565">
        <v>5.3468726125000003</v>
      </c>
    </row>
    <row r="31" spans="1:15" ht="9" customHeight="1">
      <c r="A31" s="494" t="s">
        <v>347</v>
      </c>
      <c r="B31" s="582">
        <v>17.15126325</v>
      </c>
      <c r="C31" s="582">
        <v>17.860632867500001</v>
      </c>
      <c r="D31" s="488">
        <f t="shared" si="0"/>
        <v>-3.9716936278937909E-2</v>
      </c>
      <c r="E31" s="130"/>
      <c r="F31" s="130"/>
      <c r="G31" s="130"/>
      <c r="H31" s="130"/>
      <c r="I31" s="130"/>
      <c r="J31" s="130"/>
      <c r="K31" s="130"/>
      <c r="L31" s="569"/>
      <c r="M31" s="564" t="s">
        <v>318</v>
      </c>
      <c r="N31" s="565">
        <v>7.1006956500000005</v>
      </c>
      <c r="O31" s="565">
        <v>7.2732080200000002</v>
      </c>
    </row>
    <row r="32" spans="1:15" ht="9" customHeight="1">
      <c r="A32" s="495" t="s">
        <v>560</v>
      </c>
      <c r="B32" s="583">
        <v>15.5563600875</v>
      </c>
      <c r="C32" s="583"/>
      <c r="D32" s="490" t="str">
        <f t="shared" si="0"/>
        <v/>
      </c>
      <c r="E32" s="130"/>
      <c r="F32" s="130"/>
      <c r="G32" s="130"/>
      <c r="H32" s="130"/>
      <c r="I32" s="130"/>
      <c r="J32" s="130"/>
      <c r="K32" s="130"/>
      <c r="L32" s="569"/>
      <c r="M32" s="564" t="s">
        <v>191</v>
      </c>
      <c r="N32" s="565">
        <v>7.4709958475000002</v>
      </c>
      <c r="O32" s="565">
        <v>9.0938751225000001</v>
      </c>
    </row>
    <row r="33" spans="1:15" ht="9" customHeight="1">
      <c r="A33" s="496" t="s">
        <v>99</v>
      </c>
      <c r="B33" s="582">
        <v>14.1503827425</v>
      </c>
      <c r="C33" s="582">
        <v>12.623034987500001</v>
      </c>
      <c r="D33" s="488">
        <f t="shared" si="0"/>
        <v>0.12099687250431135</v>
      </c>
      <c r="E33" s="130"/>
      <c r="F33" s="130"/>
      <c r="G33" s="130"/>
      <c r="H33" s="130"/>
      <c r="I33" s="130"/>
      <c r="J33" s="130"/>
      <c r="K33" s="130"/>
      <c r="L33" s="571"/>
      <c r="M33" s="564" t="s">
        <v>113</v>
      </c>
      <c r="N33" s="565">
        <v>7.6259346274999995</v>
      </c>
      <c r="O33" s="565">
        <v>0</v>
      </c>
    </row>
    <row r="34" spans="1:15" ht="9" customHeight="1">
      <c r="A34" s="495" t="s">
        <v>323</v>
      </c>
      <c r="B34" s="583">
        <v>13.0524951825</v>
      </c>
      <c r="C34" s="583">
        <v>12.475994357499999</v>
      </c>
      <c r="D34" s="490">
        <f t="shared" si="0"/>
        <v>4.6208807769573479E-2</v>
      </c>
      <c r="E34" s="130"/>
      <c r="F34" s="130"/>
      <c r="G34" s="130"/>
      <c r="H34" s="130"/>
      <c r="I34" s="130"/>
      <c r="J34" s="130"/>
      <c r="K34" s="130"/>
      <c r="L34" s="571"/>
      <c r="M34" s="565" t="s">
        <v>355</v>
      </c>
      <c r="N34" s="565">
        <v>7.8488362775000002</v>
      </c>
      <c r="O34" s="565">
        <v>12.435376697500001</v>
      </c>
    </row>
    <row r="35" spans="1:15" ht="9" customHeight="1">
      <c r="A35" s="496" t="s">
        <v>341</v>
      </c>
      <c r="B35" s="582">
        <v>13.0330665175</v>
      </c>
      <c r="C35" s="582">
        <v>13.351492775000001</v>
      </c>
      <c r="D35" s="488">
        <f t="shared" si="0"/>
        <v>-2.3849487309481776E-2</v>
      </c>
      <c r="E35" s="130"/>
      <c r="F35" s="130"/>
      <c r="G35" s="130"/>
      <c r="H35" s="130"/>
      <c r="I35" s="130"/>
      <c r="J35" s="130"/>
      <c r="K35" s="130"/>
      <c r="L35" s="570"/>
      <c r="M35" s="564" t="s">
        <v>310</v>
      </c>
      <c r="N35" s="565">
        <v>9.0398152800000009</v>
      </c>
      <c r="O35" s="565">
        <v>14.00536451</v>
      </c>
    </row>
    <row r="36" spans="1:15" ht="9" customHeight="1">
      <c r="A36" s="495" t="s">
        <v>112</v>
      </c>
      <c r="B36" s="583">
        <v>13.015105275</v>
      </c>
      <c r="C36" s="583">
        <v>13.233727815</v>
      </c>
      <c r="D36" s="490">
        <f t="shared" si="0"/>
        <v>-1.6520102502954548E-2</v>
      </c>
      <c r="E36" s="130"/>
      <c r="F36" s="130"/>
      <c r="G36" s="130"/>
      <c r="H36" s="130"/>
      <c r="I36" s="130"/>
      <c r="J36" s="130"/>
      <c r="K36" s="130"/>
      <c r="L36" s="570"/>
      <c r="M36" s="565" t="s">
        <v>366</v>
      </c>
      <c r="N36" s="565">
        <v>10.019868004999999</v>
      </c>
      <c r="O36" s="565">
        <v>13.35414308</v>
      </c>
    </row>
    <row r="37" spans="1:15" ht="9" customHeight="1">
      <c r="A37" s="496" t="s">
        <v>98</v>
      </c>
      <c r="B37" s="582">
        <v>12.2640680275</v>
      </c>
      <c r="C37" s="582">
        <v>11.993684312500001</v>
      </c>
      <c r="D37" s="488">
        <f t="shared" si="0"/>
        <v>2.2543841238025664E-2</v>
      </c>
      <c r="E37" s="130"/>
      <c r="F37" s="130"/>
      <c r="G37" s="130"/>
      <c r="H37" s="130"/>
      <c r="I37" s="130"/>
      <c r="J37" s="130"/>
      <c r="K37" s="130"/>
      <c r="L37" s="570"/>
      <c r="M37" s="564" t="s">
        <v>95</v>
      </c>
      <c r="N37" s="565">
        <v>10.501533774999999</v>
      </c>
      <c r="O37" s="565">
        <v>11.315114125000001</v>
      </c>
    </row>
    <row r="38" spans="1:15" ht="9" customHeight="1">
      <c r="A38" s="495" t="s">
        <v>97</v>
      </c>
      <c r="B38" s="583">
        <v>12.2461670875</v>
      </c>
      <c r="C38" s="583">
        <v>12.630091865000001</v>
      </c>
      <c r="D38" s="490">
        <f t="shared" si="0"/>
        <v>-3.0397623517206318E-2</v>
      </c>
      <c r="E38" s="130"/>
      <c r="F38" s="130"/>
      <c r="G38" s="130"/>
      <c r="H38" s="130"/>
      <c r="I38" s="130"/>
      <c r="J38" s="130"/>
      <c r="K38" s="130"/>
      <c r="L38" s="571"/>
      <c r="M38" s="565" t="s">
        <v>189</v>
      </c>
      <c r="N38" s="565">
        <v>10.60471925</v>
      </c>
      <c r="O38" s="565">
        <v>12.00573925</v>
      </c>
    </row>
    <row r="39" spans="1:15" ht="9" customHeight="1">
      <c r="A39" s="496" t="s">
        <v>189</v>
      </c>
      <c r="B39" s="582">
        <v>10.60471925</v>
      </c>
      <c r="C39" s="582">
        <v>12.00573925</v>
      </c>
      <c r="D39" s="488">
        <f t="shared" si="0"/>
        <v>-0.11669585444311559</v>
      </c>
      <c r="E39" s="130"/>
      <c r="F39" s="130"/>
      <c r="G39" s="130"/>
      <c r="H39" s="130"/>
      <c r="I39" s="130"/>
      <c r="J39" s="130"/>
      <c r="K39" s="130"/>
      <c r="L39" s="571"/>
      <c r="M39" s="564" t="s">
        <v>97</v>
      </c>
      <c r="N39" s="565">
        <v>12.2461670875</v>
      </c>
      <c r="O39" s="565">
        <v>12.630091865000001</v>
      </c>
    </row>
    <row r="40" spans="1:15" ht="9" customHeight="1">
      <c r="A40" s="493" t="s">
        <v>95</v>
      </c>
      <c r="B40" s="583">
        <v>10.501533774999999</v>
      </c>
      <c r="C40" s="583">
        <v>11.315114125000001</v>
      </c>
      <c r="D40" s="490">
        <f t="shared" si="0"/>
        <v>-7.1902089630934474E-2</v>
      </c>
      <c r="E40" s="130"/>
      <c r="F40" s="130"/>
      <c r="G40" s="130"/>
      <c r="H40" s="130"/>
      <c r="I40" s="130"/>
      <c r="J40" s="130"/>
      <c r="K40" s="130"/>
      <c r="L40" s="571"/>
      <c r="M40" s="564" t="s">
        <v>98</v>
      </c>
      <c r="N40" s="565">
        <v>12.2640680275</v>
      </c>
      <c r="O40" s="565">
        <v>11.993684312500001</v>
      </c>
    </row>
    <row r="41" spans="1:15" ht="9" customHeight="1">
      <c r="A41" s="494" t="s">
        <v>366</v>
      </c>
      <c r="B41" s="582">
        <v>10.019868004999999</v>
      </c>
      <c r="C41" s="582">
        <v>13.35414308</v>
      </c>
      <c r="D41" s="488">
        <f t="shared" si="0"/>
        <v>-0.24968094583272959</v>
      </c>
      <c r="E41" s="130"/>
      <c r="F41" s="130"/>
      <c r="G41" s="130"/>
      <c r="H41" s="130"/>
      <c r="I41" s="130"/>
      <c r="J41" s="130"/>
      <c r="K41" s="130"/>
      <c r="M41" s="566" t="s">
        <v>112</v>
      </c>
      <c r="N41" s="565">
        <v>13.015105275</v>
      </c>
      <c r="O41" s="565">
        <v>13.233727815</v>
      </c>
    </row>
    <row r="42" spans="1:15" ht="9" customHeight="1">
      <c r="A42" s="493" t="s">
        <v>310</v>
      </c>
      <c r="B42" s="583">
        <v>9.0398152800000009</v>
      </c>
      <c r="C42" s="583">
        <v>14.00536451</v>
      </c>
      <c r="D42" s="490">
        <f t="shared" si="0"/>
        <v>-0.3545462330847966</v>
      </c>
      <c r="E42" s="130"/>
      <c r="F42" s="130"/>
      <c r="G42" s="130"/>
      <c r="H42" s="130"/>
      <c r="I42" s="130"/>
      <c r="J42" s="130"/>
      <c r="K42" s="130"/>
      <c r="M42" s="564" t="s">
        <v>341</v>
      </c>
      <c r="N42" s="565">
        <v>13.0330665175</v>
      </c>
      <c r="O42" s="565">
        <v>13.351492775000001</v>
      </c>
    </row>
    <row r="43" spans="1:15" ht="9" customHeight="1">
      <c r="A43" s="494" t="s">
        <v>355</v>
      </c>
      <c r="B43" s="582">
        <v>7.8488362775000002</v>
      </c>
      <c r="C43" s="582">
        <v>12.435376697500001</v>
      </c>
      <c r="D43" s="488">
        <f t="shared" si="0"/>
        <v>-0.36883003479275989</v>
      </c>
      <c r="E43" s="130"/>
      <c r="F43" s="130"/>
      <c r="G43" s="130"/>
      <c r="H43" s="130"/>
      <c r="I43" s="130"/>
      <c r="J43" s="130"/>
      <c r="K43" s="130"/>
      <c r="M43" s="564" t="s">
        <v>323</v>
      </c>
      <c r="N43" s="565">
        <v>13.0524951825</v>
      </c>
      <c r="O43" s="565">
        <v>12.475994357499999</v>
      </c>
    </row>
    <row r="44" spans="1:15" ht="9" customHeight="1">
      <c r="A44" s="493" t="s">
        <v>113</v>
      </c>
      <c r="B44" s="583">
        <v>7.6259346274999995</v>
      </c>
      <c r="C44" s="583">
        <v>0</v>
      </c>
      <c r="D44" s="490" t="str">
        <f t="shared" si="0"/>
        <v/>
      </c>
      <c r="E44" s="130"/>
      <c r="F44" s="130"/>
      <c r="G44" s="130"/>
      <c r="H44" s="130"/>
      <c r="I44" s="130"/>
      <c r="J44" s="130"/>
      <c r="K44" s="130"/>
      <c r="M44" s="564" t="s">
        <v>99</v>
      </c>
      <c r="N44" s="565">
        <v>14.1503827425</v>
      </c>
      <c r="O44" s="565">
        <v>12.623034987500001</v>
      </c>
    </row>
    <row r="45" spans="1:15" ht="9" customHeight="1">
      <c r="A45" s="494" t="s">
        <v>191</v>
      </c>
      <c r="B45" s="582">
        <v>7.4709958475000002</v>
      </c>
      <c r="C45" s="582">
        <v>9.0938751225000001</v>
      </c>
      <c r="D45" s="488">
        <f t="shared" si="0"/>
        <v>-0.17845849576102968</v>
      </c>
      <c r="E45" s="130"/>
      <c r="F45" s="130"/>
      <c r="G45" s="130"/>
      <c r="H45" s="130"/>
      <c r="I45" s="130"/>
      <c r="J45" s="130"/>
      <c r="K45" s="130"/>
      <c r="M45" s="565" t="s">
        <v>560</v>
      </c>
      <c r="N45" s="565">
        <v>15.5563600875</v>
      </c>
      <c r="O45" s="565"/>
    </row>
    <row r="46" spans="1:15" ht="9" customHeight="1">
      <c r="A46" s="493" t="s">
        <v>318</v>
      </c>
      <c r="B46" s="583">
        <v>7.1006956500000005</v>
      </c>
      <c r="C46" s="583">
        <v>7.2732080200000002</v>
      </c>
      <c r="D46" s="490">
        <f t="shared" si="0"/>
        <v>-2.3718882991607293E-2</v>
      </c>
      <c r="E46" s="130"/>
      <c r="F46" s="130"/>
      <c r="G46" s="130"/>
      <c r="H46" s="130"/>
      <c r="I46" s="130"/>
      <c r="J46" s="130"/>
      <c r="K46" s="130"/>
      <c r="M46" s="567" t="s">
        <v>347</v>
      </c>
      <c r="N46" s="565">
        <v>17.15126325</v>
      </c>
      <c r="O46" s="565">
        <v>17.860632867500001</v>
      </c>
    </row>
    <row r="47" spans="1:15" ht="9" customHeight="1">
      <c r="A47" s="496" t="s">
        <v>100</v>
      </c>
      <c r="B47" s="582">
        <v>6.8942819824999999</v>
      </c>
      <c r="C47" s="582">
        <v>5.3468726125000003</v>
      </c>
      <c r="D47" s="488">
        <f t="shared" si="0"/>
        <v>0.28940457013739995</v>
      </c>
      <c r="E47" s="130"/>
      <c r="F47" s="130"/>
      <c r="G47" s="130"/>
      <c r="H47" s="130"/>
      <c r="I47" s="130"/>
      <c r="J47" s="130"/>
      <c r="K47" s="130"/>
      <c r="M47" s="564" t="s">
        <v>92</v>
      </c>
      <c r="N47" s="565">
        <v>17.7322353325</v>
      </c>
      <c r="O47" s="565">
        <v>28.2317358325</v>
      </c>
    </row>
    <row r="48" spans="1:15" ht="9" customHeight="1">
      <c r="A48" s="493" t="s">
        <v>103</v>
      </c>
      <c r="B48" s="583">
        <v>4.7753627500000002</v>
      </c>
      <c r="C48" s="583">
        <v>4.1839387500000003</v>
      </c>
      <c r="D48" s="490">
        <f t="shared" si="0"/>
        <v>0.14135579781133267</v>
      </c>
      <c r="E48" s="130"/>
      <c r="F48" s="130"/>
      <c r="G48" s="130"/>
      <c r="H48" s="130"/>
      <c r="I48" s="130"/>
      <c r="J48" s="130"/>
      <c r="K48" s="130"/>
      <c r="M48" s="564" t="s">
        <v>105</v>
      </c>
      <c r="N48" s="565">
        <v>19.066708210000002</v>
      </c>
      <c r="O48" s="565">
        <v>17.439850065000002</v>
      </c>
    </row>
    <row r="49" spans="1:15" ht="9" customHeight="1">
      <c r="A49" s="494" t="s">
        <v>101</v>
      </c>
      <c r="B49" s="582">
        <v>4.42573025</v>
      </c>
      <c r="C49" s="582">
        <v>4.2767304999999993</v>
      </c>
      <c r="D49" s="488">
        <f t="shared" si="0"/>
        <v>3.4839639766873542E-2</v>
      </c>
      <c r="E49" s="130"/>
      <c r="F49" s="130"/>
      <c r="G49" s="130"/>
      <c r="H49" s="130"/>
      <c r="I49" s="130"/>
      <c r="J49" s="130"/>
      <c r="K49" s="130"/>
      <c r="M49" s="564" t="s">
        <v>554</v>
      </c>
      <c r="N49" s="565">
        <v>20.021989155</v>
      </c>
      <c r="O49" s="565"/>
    </row>
    <row r="50" spans="1:15" ht="9" customHeight="1">
      <c r="A50" s="495" t="s">
        <v>331</v>
      </c>
      <c r="B50" s="583">
        <v>4.1316392400000002</v>
      </c>
      <c r="C50" s="583">
        <v>4.9206936050000003</v>
      </c>
      <c r="D50" s="490">
        <f t="shared" si="0"/>
        <v>-0.1603542972474914</v>
      </c>
      <c r="E50" s="130"/>
      <c r="F50" s="130"/>
      <c r="G50" s="130"/>
      <c r="H50" s="130"/>
      <c r="I50" s="130"/>
      <c r="J50" s="130"/>
      <c r="K50" s="130"/>
      <c r="M50" s="564" t="s">
        <v>93</v>
      </c>
      <c r="N50" s="565">
        <v>20.490931742500003</v>
      </c>
      <c r="O50" s="565">
        <v>30.634380604999997</v>
      </c>
    </row>
    <row r="51" spans="1:15" ht="9" customHeight="1">
      <c r="A51" s="494" t="s">
        <v>104</v>
      </c>
      <c r="B51" s="582">
        <v>3.6596452500000001</v>
      </c>
      <c r="C51" s="582">
        <v>3.4791637500000001</v>
      </c>
      <c r="D51" s="488">
        <f t="shared" si="0"/>
        <v>5.1874965643683657E-2</v>
      </c>
      <c r="E51" s="130"/>
      <c r="F51" s="130"/>
      <c r="G51" s="130"/>
      <c r="H51" s="130"/>
      <c r="I51" s="130"/>
      <c r="J51" s="130"/>
      <c r="K51" s="130"/>
      <c r="M51" s="564" t="s">
        <v>96</v>
      </c>
      <c r="N51" s="565">
        <v>21.158633275</v>
      </c>
      <c r="O51" s="565"/>
    </row>
    <row r="52" spans="1:15" ht="9" customHeight="1">
      <c r="A52" s="493" t="s">
        <v>346</v>
      </c>
      <c r="B52" s="583">
        <v>3.2899409999999998</v>
      </c>
      <c r="C52" s="583">
        <v>6.3061749999999996</v>
      </c>
      <c r="D52" s="490">
        <f t="shared" si="0"/>
        <v>-0.47829849314362505</v>
      </c>
      <c r="E52" s="130"/>
      <c r="F52" s="130"/>
      <c r="G52" s="130"/>
      <c r="H52" s="130"/>
      <c r="I52" s="130"/>
      <c r="J52" s="130"/>
      <c r="K52" s="130"/>
      <c r="M52" s="564" t="s">
        <v>91</v>
      </c>
      <c r="N52" s="565">
        <v>25.705796897500001</v>
      </c>
      <c r="O52" s="565">
        <v>27.89585275</v>
      </c>
    </row>
    <row r="53" spans="1:15" ht="9" customHeight="1">
      <c r="A53" s="494" t="s">
        <v>360</v>
      </c>
      <c r="B53" s="582">
        <v>3.2640197</v>
      </c>
      <c r="C53" s="582">
        <v>3.5851949625000001</v>
      </c>
      <c r="D53" s="488">
        <f t="shared" si="0"/>
        <v>-8.9583764860597936E-2</v>
      </c>
      <c r="E53" s="130"/>
      <c r="F53" s="130"/>
      <c r="G53" s="130"/>
      <c r="H53" s="130"/>
      <c r="I53" s="130"/>
      <c r="J53" s="130"/>
      <c r="K53" s="130"/>
      <c r="M53" s="565" t="s">
        <v>394</v>
      </c>
      <c r="N53" s="565">
        <v>32.120616249999998</v>
      </c>
      <c r="O53" s="565">
        <v>32.223153750000002</v>
      </c>
    </row>
    <row r="54" spans="1:15" ht="9" customHeight="1">
      <c r="A54" s="493" t="s">
        <v>363</v>
      </c>
      <c r="B54" s="583">
        <v>3.0377019675000003</v>
      </c>
      <c r="C54" s="583">
        <v>6.3261067999999998</v>
      </c>
      <c r="D54" s="490">
        <f t="shared" si="0"/>
        <v>-0.5198149409206938</v>
      </c>
      <c r="E54" s="130"/>
      <c r="F54" s="130"/>
      <c r="G54" s="130"/>
      <c r="H54" s="130"/>
      <c r="I54" s="130"/>
      <c r="J54" s="130"/>
      <c r="K54" s="130"/>
      <c r="M54" s="564" t="s">
        <v>369</v>
      </c>
      <c r="N54" s="565">
        <v>40.644668500000002</v>
      </c>
      <c r="O54" s="565">
        <v>45.375073999999998</v>
      </c>
    </row>
    <row r="55" spans="1:15" ht="9" customHeight="1">
      <c r="A55" s="496" t="s">
        <v>361</v>
      </c>
      <c r="B55" s="582">
        <v>2.7803100000000001</v>
      </c>
      <c r="C55" s="582">
        <v>3.3582085000000004</v>
      </c>
      <c r="D55" s="488">
        <f t="shared" si="0"/>
        <v>-0.17208535443823703</v>
      </c>
      <c r="E55" s="130"/>
      <c r="F55" s="130"/>
      <c r="G55" s="130"/>
      <c r="H55" s="130"/>
      <c r="I55" s="130"/>
      <c r="J55" s="130"/>
      <c r="K55" s="130"/>
      <c r="M55" s="564" t="s">
        <v>102</v>
      </c>
      <c r="N55" s="565">
        <v>40.800485424999998</v>
      </c>
      <c r="O55" s="565">
        <v>43.156501564999999</v>
      </c>
    </row>
    <row r="56" spans="1:15" ht="9" customHeight="1">
      <c r="A56" s="493" t="s">
        <v>106</v>
      </c>
      <c r="B56" s="583">
        <v>2.73833875</v>
      </c>
      <c r="C56" s="583">
        <v>3.3775262425000001</v>
      </c>
      <c r="D56" s="490">
        <f t="shared" si="0"/>
        <v>-0.1892472320294637</v>
      </c>
      <c r="E56" s="130"/>
      <c r="F56" s="130"/>
      <c r="G56" s="130"/>
      <c r="H56" s="130"/>
      <c r="I56" s="130"/>
      <c r="J56" s="130"/>
      <c r="K56" s="130"/>
      <c r="M56" s="565" t="s">
        <v>365</v>
      </c>
      <c r="N56" s="565">
        <v>46.995823249999987</v>
      </c>
      <c r="O56" s="565">
        <v>49.947704537500002</v>
      </c>
    </row>
    <row r="57" spans="1:15" ht="9" customHeight="1">
      <c r="A57" s="494" t="s">
        <v>362</v>
      </c>
      <c r="B57" s="582">
        <v>2.3519880375</v>
      </c>
      <c r="C57" s="582">
        <v>5.152408425</v>
      </c>
      <c r="D57" s="488">
        <f t="shared" si="0"/>
        <v>-0.54351677050912361</v>
      </c>
      <c r="E57" s="130"/>
      <c r="F57" s="130"/>
      <c r="G57" s="130"/>
      <c r="H57" s="130"/>
      <c r="I57" s="130"/>
      <c r="J57" s="130"/>
      <c r="K57" s="130"/>
      <c r="M57" s="564" t="s">
        <v>187</v>
      </c>
      <c r="N57" s="565">
        <v>49.398798200000002</v>
      </c>
      <c r="O57" s="565">
        <v>46.403290672499999</v>
      </c>
    </row>
    <row r="58" spans="1:15" ht="9" customHeight="1">
      <c r="A58" s="493" t="s">
        <v>108</v>
      </c>
      <c r="B58" s="583">
        <v>2.2253000000000003</v>
      </c>
      <c r="C58" s="583">
        <v>2.3715999999999999</v>
      </c>
      <c r="D58" s="490">
        <f t="shared" si="0"/>
        <v>-6.168831168831157E-2</v>
      </c>
      <c r="E58" s="130"/>
      <c r="F58" s="130"/>
      <c r="G58" s="130"/>
      <c r="H58" s="130"/>
      <c r="I58" s="130"/>
      <c r="J58" s="130"/>
      <c r="K58" s="130"/>
      <c r="M58" s="564" t="s">
        <v>330</v>
      </c>
      <c r="N58" s="565">
        <v>59.83956757</v>
      </c>
      <c r="O58" s="565">
        <v>42.164227539999999</v>
      </c>
    </row>
    <row r="59" spans="1:15" ht="9" customHeight="1">
      <c r="A59" s="494" t="s">
        <v>109</v>
      </c>
      <c r="B59" s="584">
        <v>2.12087</v>
      </c>
      <c r="C59" s="584">
        <v>2.055215</v>
      </c>
      <c r="D59" s="497">
        <f t="shared" si="0"/>
        <v>3.1945562872984112E-2</v>
      </c>
      <c r="E59" s="130"/>
      <c r="F59" s="130"/>
      <c r="G59" s="130"/>
      <c r="H59" s="130"/>
      <c r="I59" s="130"/>
      <c r="J59" s="130"/>
      <c r="K59" s="130"/>
      <c r="M59" s="564" t="s">
        <v>90</v>
      </c>
      <c r="N59" s="565">
        <v>72.709825802500006</v>
      </c>
      <c r="O59" s="565">
        <v>73.378342440000011</v>
      </c>
    </row>
    <row r="60" spans="1:15" ht="9" customHeight="1">
      <c r="A60" s="498" t="s">
        <v>107</v>
      </c>
      <c r="B60" s="583">
        <v>2.0177573</v>
      </c>
      <c r="C60" s="583">
        <v>2.1447544499999998</v>
      </c>
      <c r="D60" s="490">
        <f t="shared" si="0"/>
        <v>-5.9212908964939914E-2</v>
      </c>
      <c r="E60" s="130"/>
      <c r="F60" s="130"/>
      <c r="G60" s="130"/>
      <c r="H60" s="130"/>
      <c r="I60" s="130"/>
      <c r="J60" s="130"/>
      <c r="K60" s="130"/>
      <c r="M60" s="564" t="s">
        <v>86</v>
      </c>
      <c r="N60" s="565">
        <v>79.432449475000013</v>
      </c>
      <c r="O60" s="565">
        <v>48.521331035000003</v>
      </c>
    </row>
    <row r="61" spans="1:15" ht="9" customHeight="1">
      <c r="A61" s="494" t="s">
        <v>185</v>
      </c>
      <c r="B61" s="584">
        <v>1.5905319625000001</v>
      </c>
      <c r="C61" s="584">
        <v>2.4723504724999996</v>
      </c>
      <c r="D61" s="497">
        <f t="shared" si="0"/>
        <v>-0.35667213035064538</v>
      </c>
      <c r="E61" s="130"/>
      <c r="F61" s="130"/>
      <c r="G61" s="130"/>
      <c r="H61" s="130"/>
      <c r="I61" s="130"/>
      <c r="J61" s="130"/>
      <c r="K61" s="130"/>
      <c r="M61" s="564" t="s">
        <v>88</v>
      </c>
      <c r="N61" s="565">
        <v>94.590207249999992</v>
      </c>
      <c r="O61" s="565">
        <v>119.437865</v>
      </c>
    </row>
    <row r="62" spans="1:15" ht="9" customHeight="1">
      <c r="A62" s="498" t="s">
        <v>382</v>
      </c>
      <c r="B62" s="583">
        <v>1.58042821</v>
      </c>
      <c r="C62" s="583">
        <v>1.65009545</v>
      </c>
      <c r="D62" s="490">
        <f t="shared" si="0"/>
        <v>-4.2220127326573764E-2</v>
      </c>
      <c r="E62" s="130"/>
      <c r="F62" s="130"/>
      <c r="G62" s="130"/>
      <c r="H62" s="130"/>
      <c r="I62" s="130"/>
      <c r="J62" s="130"/>
      <c r="K62" s="130"/>
      <c r="M62" s="564" t="s">
        <v>87</v>
      </c>
      <c r="N62" s="565">
        <v>110.27280400000001</v>
      </c>
      <c r="O62" s="565">
        <v>114.77707024999999</v>
      </c>
    </row>
    <row r="63" spans="1:15" ht="9" customHeight="1">
      <c r="A63" s="494" t="s">
        <v>1016</v>
      </c>
      <c r="B63" s="584">
        <v>1.5012186525000002</v>
      </c>
      <c r="C63" s="584"/>
      <c r="D63" s="497" t="str">
        <f t="shared" si="0"/>
        <v/>
      </c>
      <c r="E63" s="130"/>
      <c r="F63" s="130"/>
      <c r="G63" s="130"/>
      <c r="H63" s="130"/>
      <c r="I63" s="130"/>
      <c r="J63" s="130"/>
      <c r="K63" s="130"/>
      <c r="M63" s="564" t="s">
        <v>94</v>
      </c>
      <c r="N63" s="565">
        <v>112.66788943500001</v>
      </c>
      <c r="O63" s="565">
        <v>116.24984925000001</v>
      </c>
    </row>
    <row r="64" spans="1:15" ht="9" customHeight="1">
      <c r="A64" s="498" t="s">
        <v>555</v>
      </c>
      <c r="B64" s="583">
        <v>1.2889903325000001</v>
      </c>
      <c r="C64" s="583"/>
      <c r="D64" s="490" t="str">
        <f t="shared" si="0"/>
        <v/>
      </c>
      <c r="E64" s="130"/>
      <c r="F64" s="130"/>
      <c r="G64" s="130"/>
      <c r="H64" s="130"/>
      <c r="I64" s="130"/>
      <c r="J64" s="130"/>
      <c r="K64" s="130"/>
      <c r="M64" s="564" t="s">
        <v>89</v>
      </c>
      <c r="N64" s="565">
        <v>128.9468584</v>
      </c>
      <c r="O64" s="565">
        <v>134.872552555</v>
      </c>
    </row>
    <row r="65" spans="1:15" ht="9" customHeight="1">
      <c r="A65" s="494" t="s">
        <v>193</v>
      </c>
      <c r="B65" s="584">
        <v>1.0771151925</v>
      </c>
      <c r="C65" s="584">
        <v>2.24050825</v>
      </c>
      <c r="D65" s="497">
        <f t="shared" si="0"/>
        <v>-0.51925408330899914</v>
      </c>
      <c r="E65" s="130"/>
      <c r="F65" s="130"/>
      <c r="G65" s="130"/>
      <c r="H65" s="130"/>
      <c r="I65" s="130"/>
      <c r="J65" s="130"/>
      <c r="K65" s="130"/>
      <c r="M65" s="564" t="s">
        <v>190</v>
      </c>
      <c r="N65" s="565">
        <v>209.86948128499995</v>
      </c>
      <c r="O65" s="565">
        <v>221.94396856999998</v>
      </c>
    </row>
    <row r="66" spans="1:15" ht="9" customHeight="1">
      <c r="A66" s="498" t="s">
        <v>110</v>
      </c>
      <c r="B66" s="583">
        <v>0.74285538749999991</v>
      </c>
      <c r="C66" s="583">
        <v>0.41333287750000003</v>
      </c>
      <c r="D66" s="490">
        <f t="shared" si="0"/>
        <v>0.79723275823854545</v>
      </c>
      <c r="E66" s="130"/>
      <c r="F66" s="130"/>
      <c r="G66" s="130"/>
      <c r="H66" s="130"/>
      <c r="I66" s="130"/>
      <c r="J66" s="130"/>
      <c r="K66" s="130"/>
      <c r="M66" s="564" t="s">
        <v>85</v>
      </c>
      <c r="N66" s="565">
        <v>244.49022060500002</v>
      </c>
      <c r="O66" s="565">
        <v>264.78465706500003</v>
      </c>
    </row>
    <row r="67" spans="1:15" ht="9" customHeight="1">
      <c r="A67" s="494" t="s">
        <v>383</v>
      </c>
      <c r="B67" s="584">
        <v>0.14369725</v>
      </c>
      <c r="C67" s="584">
        <v>0.1751315</v>
      </c>
      <c r="D67" s="497">
        <f t="shared" si="0"/>
        <v>-0.17948941224165837</v>
      </c>
      <c r="E67" s="130"/>
      <c r="F67" s="130"/>
      <c r="G67" s="130"/>
      <c r="H67" s="130"/>
      <c r="I67" s="130"/>
      <c r="J67" s="130"/>
      <c r="K67" s="130"/>
      <c r="M67" s="564" t="s">
        <v>188</v>
      </c>
      <c r="N67" s="565">
        <v>294.69183229500004</v>
      </c>
      <c r="O67" s="565">
        <v>152.40356489249999</v>
      </c>
    </row>
    <row r="68" spans="1:15" ht="9" customHeight="1">
      <c r="A68" s="498" t="s">
        <v>111</v>
      </c>
      <c r="B68" s="583">
        <v>0.115064295</v>
      </c>
      <c r="C68" s="583">
        <v>1.3112579999999999E-2</v>
      </c>
      <c r="D68" s="490">
        <f t="shared" si="0"/>
        <v>7.7751071871439503</v>
      </c>
      <c r="E68" s="130"/>
      <c r="F68" s="130"/>
      <c r="G68" s="130"/>
      <c r="H68" s="130"/>
      <c r="I68" s="130"/>
      <c r="J68" s="130"/>
      <c r="K68" s="130"/>
      <c r="M68" s="564" t="s">
        <v>186</v>
      </c>
      <c r="N68" s="565">
        <v>302.84059914500006</v>
      </c>
      <c r="O68" s="565">
        <v>250.69473987999999</v>
      </c>
    </row>
    <row r="69" spans="1:15" ht="9" customHeight="1">
      <c r="A69" s="494" t="s">
        <v>398</v>
      </c>
      <c r="B69" s="584">
        <v>4.9554807500000006E-2</v>
      </c>
      <c r="C69" s="584">
        <v>3.2817902500000003E-2</v>
      </c>
      <c r="D69" s="497">
        <f t="shared" si="0"/>
        <v>0.5099931356063967</v>
      </c>
      <c r="E69" s="130"/>
      <c r="F69" s="130"/>
      <c r="G69" s="130"/>
      <c r="H69" s="130"/>
      <c r="I69" s="130"/>
      <c r="J69" s="130"/>
      <c r="K69" s="130"/>
      <c r="M69" s="564" t="s">
        <v>82</v>
      </c>
      <c r="N69" s="565">
        <v>455.91956049000004</v>
      </c>
      <c r="O69" s="565">
        <v>520.50088030500001</v>
      </c>
    </row>
    <row r="70" spans="1:15" ht="9" customHeight="1">
      <c r="A70" s="498" t="s">
        <v>364</v>
      </c>
      <c r="B70" s="583">
        <v>4.6333289999999999E-2</v>
      </c>
      <c r="C70" s="583">
        <v>0.3534799575</v>
      </c>
      <c r="D70" s="490">
        <f t="shared" ref="D70" si="1">IF(C70=0,"",B70/C70-1)</f>
        <v>-0.8689224409562174</v>
      </c>
      <c r="E70" s="130"/>
      <c r="F70" s="130"/>
      <c r="G70" s="130"/>
      <c r="H70" s="130"/>
      <c r="I70" s="130"/>
      <c r="J70" s="130"/>
      <c r="K70" s="130"/>
      <c r="M70" s="564" t="s">
        <v>84</v>
      </c>
      <c r="N70" s="565">
        <v>551.10224056750008</v>
      </c>
      <c r="O70" s="565">
        <v>543.5189831875</v>
      </c>
    </row>
    <row r="71" spans="1:15" ht="9" customHeight="1">
      <c r="A71" s="745" t="s">
        <v>192</v>
      </c>
      <c r="B71" s="746">
        <v>2.0615420000000002E-2</v>
      </c>
      <c r="C71" s="746">
        <v>6.3021550000000003E-3</v>
      </c>
      <c r="D71" s="747">
        <f>IF(C71=0,"",B71/C71-1)</f>
        <v>2.2711699410757116</v>
      </c>
      <c r="E71" s="130"/>
      <c r="F71" s="130"/>
      <c r="G71" s="130"/>
      <c r="H71" s="130"/>
      <c r="I71" s="130"/>
      <c r="J71" s="130"/>
      <c r="K71" s="130"/>
      <c r="M71" s="564" t="s">
        <v>563</v>
      </c>
      <c r="N71" s="565">
        <v>594.07221850000019</v>
      </c>
      <c r="O71" s="565"/>
    </row>
    <row r="72" spans="1:15" ht="9" customHeight="1">
      <c r="A72" s="498" t="s">
        <v>707</v>
      </c>
      <c r="B72" s="583"/>
      <c r="C72" s="583">
        <v>1.3656087400000001</v>
      </c>
      <c r="D72" s="490"/>
      <c r="E72" s="130"/>
      <c r="F72" s="130"/>
      <c r="G72" s="130"/>
      <c r="H72" s="130"/>
      <c r="I72" s="130"/>
      <c r="J72" s="130"/>
      <c r="K72" s="130"/>
      <c r="M72" s="564" t="s">
        <v>317</v>
      </c>
      <c r="N72" s="565">
        <v>977.49598841749992</v>
      </c>
      <c r="O72" s="565">
        <v>1000.2346179849999</v>
      </c>
    </row>
    <row r="73" spans="1:15" ht="9" customHeight="1">
      <c r="A73" s="745" t="s">
        <v>83</v>
      </c>
      <c r="B73" s="746"/>
      <c r="C73" s="746">
        <v>740.67575974999977</v>
      </c>
      <c r="D73" s="747">
        <f>IF(C73=0,"",B73/C73-1)</f>
        <v>-1</v>
      </c>
      <c r="E73" s="130"/>
      <c r="F73" s="130"/>
      <c r="G73" s="130"/>
      <c r="H73" s="130"/>
      <c r="I73" s="130"/>
      <c r="J73" s="130"/>
      <c r="K73" s="130"/>
      <c r="M73" s="564"/>
      <c r="N73" s="565"/>
      <c r="O73" s="565"/>
    </row>
    <row r="74" spans="1:15" ht="9.6" customHeight="1">
      <c r="A74" s="499" t="s">
        <v>40</v>
      </c>
      <c r="B74" s="585">
        <f>+SUM(B5:B73)</f>
        <v>4860.8599718574969</v>
      </c>
      <c r="C74" s="585">
        <f>+SUM(C5:C73)</f>
        <v>4904.7247617500016</v>
      </c>
      <c r="D74" s="500">
        <f>IF(C74=0,"",B74/C74-1)</f>
        <v>-8.9433744039193463E-3</v>
      </c>
      <c r="E74" s="130"/>
      <c r="F74" s="130"/>
      <c r="G74" s="130"/>
      <c r="H74" s="130"/>
      <c r="I74" s="130"/>
      <c r="J74" s="130"/>
      <c r="K74" s="130"/>
    </row>
    <row r="75" spans="1:15" ht="10.199999999999999" customHeight="1">
      <c r="E75" s="130"/>
      <c r="F75" s="130"/>
      <c r="G75" s="130"/>
      <c r="H75" s="130"/>
      <c r="I75" s="130"/>
      <c r="J75" s="130"/>
      <c r="K75" s="130"/>
    </row>
    <row r="76" spans="1:15" ht="36.6" customHeight="1">
      <c r="A76" s="843" t="str">
        <f>"Cuadro N° 6: Participación de las empresas generadoras del COES en la producción de energía eléctrica (GWh) en "&amp;'1. Resumen'!Q4</f>
        <v>Cuadro N° 6: Participación de las empresas generadoras del COES en la producción de energía eléctrica (GWh) en febrero</v>
      </c>
      <c r="B76" s="843"/>
      <c r="C76" s="843"/>
      <c r="D76" s="348"/>
      <c r="E76" s="842" t="str">
        <f>"Gráfico N° 10: Comparación de producción energética (GWh) de las empresas generadoras del COES en "&amp;'1. Resumen'!Q4</f>
        <v>Gráfico N° 10: Comparación de producción energética (GWh) de las empresas generadoras del COES en febrero</v>
      </c>
      <c r="F76" s="842"/>
      <c r="G76" s="842"/>
      <c r="H76" s="842"/>
      <c r="I76" s="842"/>
      <c r="J76" s="842"/>
      <c r="K76" s="842"/>
    </row>
    <row r="77" spans="1:15">
      <c r="A77" s="836"/>
      <c r="B77" s="836"/>
      <c r="C77" s="836"/>
      <c r="D77" s="836"/>
      <c r="E77" s="836"/>
      <c r="F77" s="836"/>
      <c r="G77" s="836"/>
      <c r="H77" s="836"/>
      <c r="I77" s="836"/>
      <c r="J77" s="836"/>
      <c r="K77" s="836"/>
    </row>
    <row r="78" spans="1:15">
      <c r="A78" s="837"/>
      <c r="B78" s="837"/>
      <c r="C78" s="837"/>
      <c r="D78" s="837"/>
      <c r="E78" s="837"/>
      <c r="F78" s="837"/>
      <c r="G78" s="837"/>
      <c r="H78" s="837"/>
      <c r="I78" s="837"/>
      <c r="J78" s="837"/>
      <c r="K78" s="837"/>
    </row>
    <row r="79" spans="1:15">
      <c r="A79" s="836"/>
      <c r="B79" s="836"/>
      <c r="C79" s="836"/>
      <c r="D79" s="836"/>
      <c r="E79" s="836"/>
      <c r="F79" s="836"/>
      <c r="G79" s="836"/>
      <c r="H79" s="836"/>
      <c r="I79" s="836"/>
      <c r="J79" s="836"/>
      <c r="K79" s="836"/>
    </row>
    <row r="80" spans="1:15">
      <c r="A80" s="837"/>
      <c r="B80" s="837"/>
      <c r="C80" s="837"/>
      <c r="D80" s="837"/>
      <c r="E80" s="837"/>
      <c r="F80" s="837"/>
      <c r="G80" s="837"/>
      <c r="H80" s="837"/>
      <c r="I80" s="837"/>
      <c r="J80" s="837"/>
      <c r="K80" s="837"/>
    </row>
  </sheetData>
  <mergeCells count="10">
    <mergeCell ref="A77:K77"/>
    <mergeCell ref="A78:K78"/>
    <mergeCell ref="A79:K79"/>
    <mergeCell ref="A80:K80"/>
    <mergeCell ref="A1:J1"/>
    <mergeCell ref="A3:A4"/>
    <mergeCell ref="B3:D3"/>
    <mergeCell ref="G3:J3"/>
    <mergeCell ref="E76:K76"/>
    <mergeCell ref="A76:C7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febrero 2025
INF-SGI-MES-02-2025
11/03/2025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26</vt:i4>
      </vt:variant>
    </vt:vector>
  </HeadingPairs>
  <TitlesOfParts>
    <vt:vector size="6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31.ANEXO III-7</vt:lpstr>
      <vt:lpstr>32.ANEXO III-8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'27.ANEXO III-3'!Print_Area</vt:lpstr>
      <vt:lpstr>'28.ANEXO III-4'!Print_Area</vt:lpstr>
      <vt:lpstr>'29.ANEXO III-5'!Print_Area</vt:lpstr>
      <vt:lpstr>'30.ANEXO III-6'!Print_Area</vt:lpstr>
      <vt:lpstr>'31.ANEXO III-7'!Print_Area</vt:lpstr>
      <vt:lpstr>'32.ANEXO III-8'!Print_Area</vt:lpstr>
      <vt:lpstr>'5. RER'!Print_Area</vt:lpstr>
      <vt:lpstr>'6. FP RER'!Print_Area</vt:lpstr>
      <vt:lpstr>'7. Generacion empresa'!Print_Area</vt:lpstr>
      <vt:lpstr>'8. Max Potencia'!Print_Area</vt:lpstr>
      <vt:lpstr>'9. Pot. Empresa'!Print_Area</vt:lpstr>
      <vt:lpstr>Índice!Print_Area</vt:lpstr>
      <vt:lpstr>Portada!Print_Area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Miguel Cabellos</cp:lastModifiedBy>
  <cp:lastPrinted>2025-03-11T15:43:24Z</cp:lastPrinted>
  <dcterms:created xsi:type="dcterms:W3CDTF">2018-02-13T14:18:17Z</dcterms:created>
  <dcterms:modified xsi:type="dcterms:W3CDTF">2025-03-14T18:41:03Z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