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fs\Areas\SGI\1-SGI_IE   Informes - Estadistica\INFORMES\03 Informe Mensual\2018\"/>
    </mc:Choice>
  </mc:AlternateContent>
  <xr:revisionPtr revIDLastSave="0" documentId="13_ncr:1_{65A1F724-38D5-419C-B2CD-8E7D715863FC}" xr6:coauthVersionLast="38" xr6:coauthVersionMax="38" xr10:uidLastSave="{00000000-0000-0000-0000-000000000000}"/>
  <bookViews>
    <workbookView xWindow="0" yWindow="0" windowWidth="25185" windowHeight="10740" tabRatio="712" xr2:uid="{F2B6F377-0267-405F-92D4-AB138E6E385C}"/>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47" r:id="rId27"/>
    <sheet name="26.ANEXO III -2" sheetId="48" r:id="rId28"/>
    <sheet name="27.ANEXO III - 3" sheetId="49" r:id="rId29"/>
    <sheet name="28.ANEXO III - 4" sheetId="50" r:id="rId30"/>
    <sheet name="29.ANEXO III - 5" sheetId="51" r:id="rId31"/>
    <sheet name="30.ANEXO III -6" sheetId="52" state="hidden" r:id="rId32"/>
    <sheet name="31.ANEXOIII - 7" sheetId="53" state="hidden" r:id="rId33"/>
    <sheet name="32.ANEXOIII - 8" sheetId="60" state="hidden" r:id="rId34"/>
    <sheet name="Contraportada" sheetId="59" r:id="rId35"/>
  </sheets>
  <definedNames>
    <definedName name="_xlnm._FilterDatabase" localSheetId="7" hidden="1">'6. FP RER'!$T$51:$V$54</definedName>
    <definedName name="_xlnm._FilterDatabase" localSheetId="8" hidden="1">'7. Generacion empresa'!$L$4:$N$61</definedName>
    <definedName name="_xlnm._FilterDatabase" localSheetId="10" hidden="1">'9. Pot. Empresa'!$L$6:$N$62</definedName>
    <definedName name="_xlnm.Print_Area" localSheetId="2">'1. Resumen'!$A$1:$M$50</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generación'!$A$1:$J$59</definedName>
    <definedName name="_xlnm.Print_Area" localSheetId="6">'5. RER'!$A$1:$K$61</definedName>
    <definedName name="_xlnm.Print_Area" localSheetId="7">'6. FP RER'!$A$1:$K$64</definedName>
    <definedName name="_xlnm.Print_Area" localSheetId="8">'7. Generacion empresa'!$A$1:$J$68</definedName>
    <definedName name="_xlnm.Print_Area" localSheetId="10">'9. Pot. Empresa'!$A$1:$J$69</definedName>
    <definedName name="_xlnm.Print_Area" localSheetId="1">Índice!$A$1:$L$45</definedName>
    <definedName name="_xlnm.Print_Area" localSheetId="0">'Portada '!$A$1:$L$71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3" i="38" l="1"/>
  <c r="E16" i="21" l="1"/>
  <c r="F16" i="21"/>
  <c r="D16" i="21"/>
  <c r="M24" i="6" l="1"/>
  <c r="M21" i="6"/>
  <c r="I17" i="6"/>
  <c r="H17" i="6"/>
  <c r="H11" i="21" l="1"/>
  <c r="H10" i="21"/>
  <c r="F48" i="46" l="1"/>
  <c r="F47" i="46"/>
  <c r="F70" i="45"/>
  <c r="F69" i="45"/>
  <c r="F68" i="45"/>
  <c r="F67" i="45"/>
  <c r="C1" i="38"/>
  <c r="F2" i="38"/>
  <c r="I10" i="22" l="1"/>
  <c r="H12" i="7" l="1"/>
  <c r="F5" i="45" l="1"/>
  <c r="F6" i="45"/>
  <c r="F7" i="45"/>
  <c r="F8" i="45"/>
  <c r="F9" i="45"/>
  <c r="F10" i="45"/>
  <c r="F11" i="45"/>
  <c r="F12" i="45"/>
  <c r="F13" i="45"/>
  <c r="F14" i="45"/>
  <c r="F15" i="45"/>
  <c r="F16" i="45"/>
  <c r="F17" i="45"/>
  <c r="F18" i="45"/>
  <c r="F19" i="45"/>
  <c r="F20" i="45"/>
  <c r="F21" i="45"/>
  <c r="F22" i="45"/>
  <c r="F23" i="45"/>
  <c r="F24" i="45"/>
  <c r="F25" i="45"/>
  <c r="F26" i="45"/>
  <c r="F27" i="45"/>
  <c r="F28" i="45"/>
  <c r="F29" i="45"/>
  <c r="F30" i="45"/>
  <c r="F31" i="45"/>
  <c r="F32" i="45"/>
  <c r="F33" i="45"/>
  <c r="F34" i="45"/>
  <c r="F35" i="45"/>
  <c r="F36" i="45"/>
  <c r="F37" i="45"/>
  <c r="F38" i="45"/>
  <c r="F39" i="45"/>
  <c r="F40" i="45"/>
  <c r="F41" i="45"/>
  <c r="F42" i="45"/>
  <c r="F43" i="45"/>
  <c r="F44" i="45"/>
  <c r="F45" i="45"/>
  <c r="F47" i="45"/>
  <c r="F48" i="45"/>
  <c r="F49" i="45"/>
  <c r="F50" i="45"/>
  <c r="F51" i="45"/>
  <c r="F52" i="45"/>
  <c r="F53" i="45"/>
  <c r="F54" i="45"/>
  <c r="F55" i="45"/>
  <c r="F56" i="45"/>
  <c r="F57" i="45"/>
  <c r="F58" i="45"/>
  <c r="F59" i="45"/>
  <c r="F60" i="45"/>
  <c r="F61" i="45"/>
  <c r="F62" i="45"/>
  <c r="F63" i="45"/>
  <c r="F64" i="45"/>
  <c r="F65" i="45"/>
  <c r="F66" i="45"/>
  <c r="G43" i="38"/>
  <c r="I9" i="22" l="1"/>
  <c r="I11" i="22"/>
  <c r="I7" i="22"/>
  <c r="I8" i="22"/>
  <c r="D58" i="11"/>
  <c r="D57" i="11"/>
  <c r="D56" i="11"/>
  <c r="D55" i="11"/>
  <c r="D54" i="11"/>
  <c r="D53" i="11"/>
  <c r="D52" i="11"/>
  <c r="D51" i="11"/>
  <c r="D50" i="11"/>
  <c r="D49" i="11"/>
  <c r="D48" i="11"/>
  <c r="D47" i="11"/>
  <c r="D46" i="11"/>
  <c r="D45" i="11"/>
  <c r="B14" i="12"/>
  <c r="B11" i="9"/>
  <c r="C11" i="9"/>
  <c r="D11" i="9"/>
  <c r="E11" i="9"/>
  <c r="J12" i="22" l="1"/>
  <c r="F9" i="8" l="1"/>
  <c r="C29" i="14" l="1"/>
  <c r="G16" i="21" l="1"/>
  <c r="C63" i="13"/>
  <c r="B63" i="13"/>
  <c r="N29" i="18" l="1"/>
  <c r="N28" i="18"/>
  <c r="N27" i="18"/>
  <c r="N26" i="18"/>
  <c r="N25" i="18"/>
  <c r="N24" i="18"/>
  <c r="N23" i="18"/>
  <c r="N20" i="18"/>
  <c r="N19" i="18"/>
  <c r="N18" i="18"/>
  <c r="N17" i="18"/>
  <c r="N16" i="18"/>
  <c r="N15" i="18"/>
  <c r="N14" i="18"/>
  <c r="N12" i="18"/>
  <c r="N11" i="18"/>
  <c r="N10" i="18"/>
  <c r="N9" i="18"/>
  <c r="N8" i="18"/>
  <c r="C52" i="46" l="1"/>
  <c r="D52" i="46"/>
  <c r="D51" i="46"/>
  <c r="C51" i="46"/>
  <c r="F5" i="46"/>
  <c r="F6" i="46"/>
  <c r="F7" i="46"/>
  <c r="F8" i="46"/>
  <c r="F9" i="46"/>
  <c r="F10" i="46"/>
  <c r="F11" i="46"/>
  <c r="F12" i="46"/>
  <c r="F13" i="46"/>
  <c r="F14" i="46"/>
  <c r="F15" i="46"/>
  <c r="F16" i="46"/>
  <c r="F17" i="46"/>
  <c r="F18" i="46"/>
  <c r="F19" i="46"/>
  <c r="F20" i="46"/>
  <c r="F21" i="46"/>
  <c r="F22" i="46"/>
  <c r="F23" i="46"/>
  <c r="F24" i="46"/>
  <c r="F25" i="46"/>
  <c r="F26" i="46"/>
  <c r="F27" i="46"/>
  <c r="F28" i="46"/>
  <c r="F29" i="46"/>
  <c r="F30" i="46"/>
  <c r="F31" i="46"/>
  <c r="F32" i="46"/>
  <c r="F33" i="46"/>
  <c r="F34" i="46"/>
  <c r="F35" i="46"/>
  <c r="F36" i="46"/>
  <c r="F37" i="46"/>
  <c r="F38" i="46"/>
  <c r="F39" i="46"/>
  <c r="F40" i="46"/>
  <c r="F41" i="46"/>
  <c r="F42" i="46"/>
  <c r="F43" i="46"/>
  <c r="F44" i="46"/>
  <c r="F45" i="46"/>
  <c r="F46" i="46"/>
  <c r="B12" i="22" l="1"/>
  <c r="H47" i="4" l="1"/>
  <c r="B47" i="4"/>
  <c r="D59" i="11" l="1"/>
  <c r="D60" i="11"/>
  <c r="B35" i="6" l="1"/>
  <c r="M22" i="6"/>
  <c r="A53" i="22" l="1"/>
  <c r="A55" i="21"/>
  <c r="B58" i="18"/>
  <c r="B40" i="18"/>
  <c r="B21" i="18"/>
  <c r="A58" i="12"/>
  <c r="F64" i="13"/>
  <c r="M20" i="6" l="1"/>
  <c r="B18" i="12" l="1"/>
  <c r="C18" i="12"/>
  <c r="D18" i="12"/>
  <c r="E18" i="12"/>
  <c r="G18" i="12"/>
  <c r="H18" i="12"/>
  <c r="J18" i="12"/>
  <c r="H7" i="21" l="1"/>
  <c r="G7" i="21"/>
  <c r="F42" i="6" l="1"/>
  <c r="F44" i="6"/>
  <c r="F11" i="14" l="1"/>
  <c r="F50" i="46" l="1"/>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F6" i="36"/>
  <c r="F43" i="6" l="1"/>
  <c r="F41" i="6"/>
  <c r="C62" i="11" l="1"/>
  <c r="B62" i="11"/>
  <c r="A63" i="8"/>
  <c r="J12" i="7"/>
  <c r="A58" i="7"/>
  <c r="E40" i="6"/>
  <c r="D62" i="11" l="1"/>
  <c r="E63" i="11"/>
  <c r="A63" i="11"/>
  <c r="C45" i="10"/>
  <c r="A34" i="9"/>
  <c r="D3" i="36" l="1"/>
  <c r="D2" i="45" s="1"/>
  <c r="D2" i="46" s="1"/>
  <c r="C3" i="36"/>
  <c r="C2" i="45" s="1"/>
  <c r="C2" i="46" s="1"/>
  <c r="F2" i="37"/>
  <c r="F3" i="23"/>
  <c r="C2" i="23"/>
  <c r="C1" i="37" s="1"/>
  <c r="A38" i="22"/>
  <c r="E17" i="22"/>
  <c r="A17" i="22"/>
  <c r="A13" i="22"/>
  <c r="A17" i="21"/>
  <c r="F6" i="21"/>
  <c r="E6" i="21"/>
  <c r="D6" i="21"/>
  <c r="B47" i="18"/>
  <c r="B28" i="18"/>
  <c r="B10" i="18"/>
  <c r="C31" i="16"/>
  <c r="E6" i="16"/>
  <c r="D6" i="16"/>
  <c r="A64" i="13"/>
  <c r="B3" i="13"/>
  <c r="B5" i="11"/>
  <c r="C5" i="11" s="1"/>
  <c r="B4" i="11"/>
  <c r="A64" i="10"/>
  <c r="A43" i="10"/>
  <c r="A61" i="9"/>
  <c r="G6" i="7"/>
  <c r="G4" i="8" s="1"/>
  <c r="G4" i="9" s="1"/>
  <c r="D7" i="7"/>
  <c r="E7" i="7" s="1"/>
  <c r="A58" i="6"/>
  <c r="B46" i="6"/>
  <c r="A18" i="6"/>
  <c r="D5" i="8" l="1"/>
  <c r="C7" i="7"/>
  <c r="B7" i="7" s="1"/>
  <c r="B5" i="8" s="1"/>
  <c r="E4" i="46"/>
  <c r="D4" i="46"/>
  <c r="C4" i="46"/>
  <c r="E3" i="46"/>
  <c r="D3" i="46"/>
  <c r="C3" i="46"/>
  <c r="E4" i="45"/>
  <c r="D4" i="45"/>
  <c r="C4" i="45"/>
  <c r="E3" i="45"/>
  <c r="D3" i="45"/>
  <c r="C3" i="45"/>
  <c r="E5" i="36"/>
  <c r="E4" i="36"/>
  <c r="D4" i="36"/>
  <c r="D5" i="36"/>
  <c r="C5" i="36"/>
  <c r="C4" i="36"/>
  <c r="D8" i="13" l="1"/>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3" i="13"/>
  <c r="C6" i="13"/>
  <c r="B6" i="13"/>
  <c r="C5" i="13"/>
  <c r="B5" i="13"/>
  <c r="C5" i="8" l="1"/>
  <c r="C5" i="9" s="1"/>
  <c r="C7" i="12" s="1"/>
  <c r="D5" i="9"/>
  <c r="D7" i="12" s="1"/>
  <c r="B5" i="9"/>
  <c r="B7" i="12" s="1"/>
  <c r="E19" i="8"/>
  <c r="D19" i="8"/>
  <c r="C19" i="8"/>
  <c r="B19" i="8"/>
  <c r="J23" i="8"/>
  <c r="E23" i="8"/>
  <c r="D23" i="8"/>
  <c r="C23" i="8"/>
  <c r="B23" i="8"/>
  <c r="K22" i="8"/>
  <c r="F22" i="8"/>
  <c r="K21" i="8"/>
  <c r="I21" i="8"/>
  <c r="F21" i="8"/>
  <c r="F8" i="8"/>
  <c r="A2" i="8"/>
  <c r="A4" i="7"/>
  <c r="J16" i="7"/>
  <c r="H16" i="7"/>
  <c r="G16" i="7"/>
  <c r="C16" i="7"/>
  <c r="D16" i="7"/>
  <c r="E16" i="7"/>
  <c r="B16" i="7"/>
  <c r="B49" i="4"/>
  <c r="D40" i="6"/>
  <c r="E45" i="6"/>
  <c r="D45" i="6"/>
  <c r="F39" i="9" l="1"/>
  <c r="F45" i="6"/>
  <c r="B12" i="9"/>
  <c r="G23" i="8"/>
  <c r="H23" i="8"/>
  <c r="I22" i="8"/>
  <c r="A9" i="4" l="1"/>
  <c r="I20" i="4" l="1"/>
  <c r="C20" i="4"/>
  <c r="C3" i="4"/>
  <c r="H12" i="22"/>
  <c r="G12" i="22"/>
  <c r="F12" i="22"/>
  <c r="E12" i="22"/>
  <c r="D12" i="22"/>
  <c r="C12" i="22"/>
  <c r="H16" i="21"/>
  <c r="F30" i="16"/>
  <c r="F29" i="16"/>
  <c r="F28" i="16"/>
  <c r="F27" i="16"/>
  <c r="F26" i="16"/>
  <c r="F25" i="16"/>
  <c r="F24" i="16"/>
  <c r="F23" i="16"/>
  <c r="F22" i="16"/>
  <c r="F21" i="16"/>
  <c r="F20" i="16"/>
  <c r="F19" i="16"/>
  <c r="F18" i="16"/>
  <c r="F17" i="16"/>
  <c r="F16" i="16"/>
  <c r="F15" i="16"/>
  <c r="F14" i="16"/>
  <c r="F13" i="16"/>
  <c r="F12" i="16"/>
  <c r="F11" i="16"/>
  <c r="F10" i="16"/>
  <c r="F9" i="16"/>
  <c r="F8" i="16"/>
  <c r="F7" i="16"/>
  <c r="F28" i="14"/>
  <c r="F27" i="14"/>
  <c r="F26" i="14"/>
  <c r="F25" i="14"/>
  <c r="F24" i="14"/>
  <c r="F23" i="14"/>
  <c r="F22" i="14"/>
  <c r="F20" i="14"/>
  <c r="F19" i="14"/>
  <c r="F18" i="14"/>
  <c r="F17" i="14"/>
  <c r="F16" i="14"/>
  <c r="F15" i="14"/>
  <c r="F14" i="14"/>
  <c r="F13" i="14"/>
  <c r="F12" i="14"/>
  <c r="F10" i="14"/>
  <c r="F9" i="14"/>
  <c r="F8" i="14"/>
  <c r="F7" i="14"/>
  <c r="D7" i="13"/>
  <c r="K16" i="12"/>
  <c r="I16" i="12"/>
  <c r="K13" i="12"/>
  <c r="I13" i="12"/>
  <c r="F13" i="12"/>
  <c r="K12" i="12"/>
  <c r="I12" i="12"/>
  <c r="F12" i="12"/>
  <c r="K11" i="12"/>
  <c r="I11" i="12"/>
  <c r="F11" i="12"/>
  <c r="K10" i="12"/>
  <c r="I10" i="12"/>
  <c r="D14" i="12"/>
  <c r="D20" i="12" s="1"/>
  <c r="C14" i="12"/>
  <c r="C20" i="12" s="1"/>
  <c r="B20" i="12"/>
  <c r="D44" i="11"/>
  <c r="D43" i="11"/>
  <c r="D42" i="11"/>
  <c r="D41" i="11"/>
  <c r="D40" i="11"/>
  <c r="D39" i="11"/>
  <c r="D38" i="11"/>
  <c r="D37" i="11"/>
  <c r="D36"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K10" i="9"/>
  <c r="I10" i="9"/>
  <c r="F10" i="9"/>
  <c r="K9" i="9"/>
  <c r="I9" i="9"/>
  <c r="F9" i="9"/>
  <c r="K8" i="9"/>
  <c r="I8" i="9"/>
  <c r="F8" i="9"/>
  <c r="I7" i="9"/>
  <c r="F7" i="9"/>
  <c r="K6" i="9"/>
  <c r="F6" i="9"/>
  <c r="K18" i="8"/>
  <c r="I18" i="8"/>
  <c r="F18" i="8"/>
  <c r="K17" i="8"/>
  <c r="I17" i="8"/>
  <c r="F17" i="8"/>
  <c r="K16" i="8"/>
  <c r="I16" i="8"/>
  <c r="F16" i="8"/>
  <c r="K15" i="8"/>
  <c r="I15" i="8"/>
  <c r="F15" i="8"/>
  <c r="K14" i="8"/>
  <c r="I14" i="8"/>
  <c r="F14" i="8"/>
  <c r="K13" i="8"/>
  <c r="I13" i="8"/>
  <c r="F13" i="8"/>
  <c r="K12" i="8"/>
  <c r="I12" i="8"/>
  <c r="F12" i="8"/>
  <c r="K11" i="8"/>
  <c r="I11" i="8"/>
  <c r="F11" i="8"/>
  <c r="K10" i="8"/>
  <c r="I10" i="8"/>
  <c r="F10" i="8"/>
  <c r="K9" i="8"/>
  <c r="I9" i="8"/>
  <c r="K8" i="8"/>
  <c r="I8" i="8"/>
  <c r="K7" i="8"/>
  <c r="I7" i="8"/>
  <c r="K6" i="8"/>
  <c r="I6" i="8"/>
  <c r="F6" i="8"/>
  <c r="K15" i="7"/>
  <c r="I15" i="7"/>
  <c r="F15" i="7"/>
  <c r="K13" i="7"/>
  <c r="K11" i="7"/>
  <c r="I11" i="7"/>
  <c r="F11" i="7"/>
  <c r="K10" i="7"/>
  <c r="I10" i="7"/>
  <c r="F10" i="7"/>
  <c r="K9" i="7"/>
  <c r="I9" i="7"/>
  <c r="F9" i="7"/>
  <c r="K8" i="7"/>
  <c r="I8" i="7"/>
  <c r="F8" i="7"/>
  <c r="I12" i="22" l="1"/>
  <c r="F17" i="12"/>
  <c r="I17" i="12"/>
  <c r="K18" i="12"/>
  <c r="E14" i="12"/>
  <c r="G14" i="12"/>
  <c r="G20" i="12" s="1"/>
  <c r="H14" i="12"/>
  <c r="H20" i="12" s="1"/>
  <c r="F16" i="12"/>
  <c r="J14" i="12"/>
  <c r="J20" i="12" s="1"/>
  <c r="F10" i="12"/>
  <c r="K17" i="12"/>
  <c r="H11" i="9"/>
  <c r="E12" i="9"/>
  <c r="G11" i="9"/>
  <c r="C12" i="9"/>
  <c r="J11" i="9"/>
  <c r="K7" i="9"/>
  <c r="I6" i="9"/>
  <c r="F19" i="8"/>
  <c r="G19" i="8"/>
  <c r="F7" i="8"/>
  <c r="H19" i="8"/>
  <c r="J19" i="8"/>
  <c r="G12" i="7"/>
  <c r="I12" i="7" s="1"/>
  <c r="C12" i="7"/>
  <c r="B12" i="7"/>
  <c r="D12" i="7"/>
  <c r="I14" i="7"/>
  <c r="E5" i="8"/>
  <c r="E5" i="9" s="1"/>
  <c r="E7" i="12" s="1"/>
  <c r="F14" i="7"/>
  <c r="E12" i="7"/>
  <c r="K14" i="7"/>
  <c r="F40" i="9" l="1"/>
  <c r="M39" i="9" s="1"/>
  <c r="D12" i="9"/>
  <c r="F14" i="12"/>
  <c r="E20" i="12"/>
  <c r="F20" i="12" s="1"/>
  <c r="F12" i="7"/>
  <c r="K19" i="8"/>
  <c r="J12" i="9"/>
  <c r="G12" i="9"/>
  <c r="K12" i="7"/>
  <c r="I11" i="9"/>
  <c r="H12" i="9"/>
  <c r="I18" i="12"/>
  <c r="I19" i="8"/>
  <c r="K14" i="12"/>
  <c r="I14" i="12"/>
  <c r="F11" i="9"/>
  <c r="K11" i="9"/>
  <c r="I20" i="12" l="1"/>
  <c r="K20" i="12"/>
</calcChain>
</file>

<file path=xl/sharedStrings.xml><?xml version="1.0" encoding="utf-8"?>
<sst xmlns="http://schemas.openxmlformats.org/spreadsheetml/2006/main" count="1647" uniqueCount="776">
  <si>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</si>
  <si>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</si>
  <si>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</si>
  <si>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</si>
  <si>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</si>
  <si>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</si>
  <si>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</si>
  <si>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</si>
  <si>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</si>
  <si>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</si>
  <si>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</si>
  <si>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</si>
  <si>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</si>
  <si>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</si>
  <si>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</si>
  <si>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</si>
  <si>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</si>
  <si>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</si>
  <si>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</si>
  <si>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</si>
  <si>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</si>
  <si>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</si>
  <si>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</si>
  <si>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</si>
  <si>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</si>
  <si>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</si>
  <si>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</si>
  <si>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</si>
  <si>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</si>
  <si>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</si>
  <si>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</si>
  <si>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</si>
  <si>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</si>
  <si>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</si>
  <si>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</si>
  <si>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</si>
  <si>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Var (%)
2017/2016</t>
  </si>
  <si>
    <t>Hidroeléctrica</t>
  </si>
  <si>
    <t>Termoeléctrica</t>
  </si>
  <si>
    <t>Eólica</t>
  </si>
  <si>
    <t>Importación</t>
  </si>
  <si>
    <t>Exportación</t>
  </si>
  <si>
    <t>Intercambios Internacionales</t>
  </si>
  <si>
    <t>Var (%)
2018/2017</t>
  </si>
  <si>
    <t>Total</t>
  </si>
  <si>
    <t xml:space="preserve">Por tipo de Recurso Energético </t>
  </si>
  <si>
    <t>Agua</t>
  </si>
  <si>
    <t>Residual 500</t>
  </si>
  <si>
    <t>Residual 6</t>
  </si>
  <si>
    <t>Diesel 2</t>
  </si>
  <si>
    <t>Bagazo</t>
  </si>
  <si>
    <t>Biogás</t>
  </si>
  <si>
    <t>G.N. de Camisea</t>
  </si>
  <si>
    <t>G.N. de Malacas</t>
  </si>
  <si>
    <t>G.N. de Aguaytía</t>
  </si>
  <si>
    <t>G.N. de La Isla</t>
  </si>
  <si>
    <t>(*) Se denomina RER a los Recursos Energéticos Renovables (biomasa, eólica, solar, geotérmica, mareomotriz), e hidroléctricas cuya capacidad instalada no sobrepase los 20 MW, según D.L. N° 1002</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</si>
  <si>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</si>
  <si>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</si>
  <si>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</si>
  <si>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</si>
  <si>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</si>
  <si>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</si>
  <si>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</si>
  <si>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</si>
  <si>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</si>
  <si>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</si>
  <si>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</si>
  <si>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</si>
  <si>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</si>
  <si>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</si>
  <si>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</si>
  <si>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</si>
  <si>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</si>
  <si>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</si>
  <si>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</si>
  <si>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</si>
  <si>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</si>
  <si>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</si>
  <si>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</si>
  <si>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EOLICA</t>
  </si>
  <si>
    <t>C.E. CUPISNIQUE</t>
  </si>
  <si>
    <t>C.E. MARCONA</t>
  </si>
  <si>
    <t>C.E. TALARA</t>
  </si>
  <si>
    <t>SOLAR</t>
  </si>
  <si>
    <t>C.S. MOQUEGUA FV</t>
  </si>
  <si>
    <t>C.S. RUBI</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</si>
  <si>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</si>
  <si>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</si>
  <si>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</si>
  <si>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</si>
  <si>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</si>
  <si>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</si>
  <si>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</si>
  <si>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</si>
  <si>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</si>
  <si>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</si>
  <si>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</si>
  <si>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</si>
  <si>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</si>
  <si>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</si>
  <si>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</si>
  <si>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</si>
  <si>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</si>
  <si>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</si>
  <si>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</si>
  <si>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</si>
  <si>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</si>
  <si>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</si>
  <si>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</si>
  <si>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</si>
  <si>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</si>
  <si>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</si>
  <si>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</si>
  <si>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</si>
  <si>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</si>
  <si>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</si>
  <si>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</si>
  <si>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</si>
  <si>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</si>
  <si>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</si>
  <si>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</si>
  <si>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</si>
  <si>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</si>
  <si>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ELECTRICA SANTA ROSA</t>
  </si>
  <si>
    <t>SHOUGESA</t>
  </si>
  <si>
    <t>AGUA AZUL</t>
  </si>
  <si>
    <t>AGROAURORA</t>
  </si>
  <si>
    <t>RIO BAÑOS</t>
  </si>
  <si>
    <t>CERRO DEL AGUILA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</si>
  <si>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</si>
  <si>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</si>
  <si>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</si>
  <si>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</si>
  <si>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</si>
  <si>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</si>
  <si>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</si>
  <si>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</si>
  <si>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</si>
  <si>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</si>
  <si>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</si>
  <si>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</si>
  <si>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</si>
  <si>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</si>
  <si>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</si>
  <si>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</si>
  <si>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</si>
  <si>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</si>
  <si>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Paron (ORAZUL)</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</si>
  <si>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</si>
  <si>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</si>
  <si>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</si>
  <si>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</si>
  <si>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</si>
  <si>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</si>
  <si>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</si>
  <si>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</si>
  <si>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</si>
  <si>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</si>
  <si>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</si>
  <si>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</si>
  <si>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</si>
  <si>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</si>
  <si>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</si>
  <si>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</si>
  <si>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</si>
  <si>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</si>
  <si>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</si>
  <si>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</si>
  <si>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</si>
  <si>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</si>
  <si>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</si>
  <si>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</si>
  <si>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</si>
  <si>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</si>
  <si>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</si>
  <si>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</si>
  <si>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</si>
  <si>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</si>
  <si>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</si>
  <si>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</si>
  <si>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</si>
  <si>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</si>
  <si>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CHAVARRIA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</si>
  <si>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</si>
  <si>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</si>
  <si>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</si>
  <si>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</si>
  <si>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</si>
  <si>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</si>
  <si>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</si>
  <si>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</si>
  <si>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</si>
  <si>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</si>
  <si>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</si>
  <si>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</si>
  <si>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</si>
  <si>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</si>
  <si>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</si>
  <si>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Var. (2017/2016)</t>
  </si>
  <si>
    <t>SUR</t>
  </si>
  <si>
    <t>CENTRO</t>
  </si>
  <si>
    <t>TOTAL HORAS DE CONGESTIÓN EN EL SEIN</t>
  </si>
  <si>
    <t>7. EVENTOS Y FALLAS QUE OCASIONARON INTERRUPCIÓN Y DISMINUCIÓN DE SUMINISTRO ELÉCTRICO</t>
  </si>
  <si>
    <t>7.1. FALLAS POR TIPO DE EQUIPO Y CAUSA SEGÚN CLASIFICACION CIER</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</si>
  <si>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</si>
  <si>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</si>
  <si>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</si>
  <si>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</si>
  <si>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</si>
  <si>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</si>
  <si>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</si>
  <si>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</si>
  <si>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</si>
  <si>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</si>
  <si>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</si>
  <si>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</si>
  <si>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</si>
  <si>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</si>
  <si>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</si>
  <si>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</si>
  <si>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</si>
  <si>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</si>
  <si>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</si>
  <si>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</si>
  <si>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</si>
  <si>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</si>
  <si>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</si>
  <si>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Empresa</t>
  </si>
  <si>
    <t>Tipo de Generación</t>
  </si>
  <si>
    <t>Recurso Energético</t>
  </si>
  <si>
    <t>Tipo de Tecnologia</t>
  </si>
  <si>
    <t>Central</t>
  </si>
  <si>
    <t>Unidad</t>
  </si>
  <si>
    <t>2.1.  INGRESO EN OPERACIÓN COMERCIAL AL SEIN</t>
  </si>
  <si>
    <t>ENEL GREEN PERU</t>
  </si>
  <si>
    <t>C.S. Rubí</t>
  </si>
  <si>
    <t>30.01.2018</t>
  </si>
  <si>
    <t>HIDROELÉCTRICA</t>
  </si>
  <si>
    <t>TERMOELÉCTRICA</t>
  </si>
  <si>
    <t>EÓLICA</t>
  </si>
  <si>
    <t>fotovoltaica</t>
  </si>
  <si>
    <t>Tensión  
(kV)</t>
  </si>
  <si>
    <t>Operación Comercial</t>
  </si>
  <si>
    <t>Central Solar</t>
  </si>
  <si>
    <t>POTENCIA INSTALADA (MW)</t>
  </si>
  <si>
    <t>Potencia Instalada (MW)</t>
  </si>
  <si>
    <t>560 880 
Módulos</t>
  </si>
  <si>
    <t>VARIACIÓN
 (%)</t>
  </si>
  <si>
    <t>2.1. Ingreso en Operación Comercial al SEIN</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</si>
  <si>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</si>
  <si>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</si>
  <si>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</si>
  <si>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</si>
  <si>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</si>
  <si>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</si>
  <si>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</si>
  <si>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</si>
  <si>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</si>
  <si>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</si>
  <si>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</si>
  <si>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</si>
  <si>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</si>
  <si>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</si>
  <si>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BIOMASA</t>
  </si>
  <si>
    <t>3.4. FACTOR DE PLANTA DE LAS CENTRALES RER DEL SEIN</t>
  </si>
  <si>
    <t>3.5. PARTICIPACIÓN DE LA PRODUCCIÓN (GWh) POR EMPRESAS INTEGRANTES</t>
  </si>
  <si>
    <t>CERRO VERDE</t>
  </si>
  <si>
    <t>EMGE HUALLAGA</t>
  </si>
  <si>
    <t>EMGE HUANZA</t>
  </si>
  <si>
    <t>EMGE JUNÍN</t>
  </si>
  <si>
    <t>FENIX POWER</t>
  </si>
  <si>
    <t>HUAURA POWER</t>
  </si>
  <si>
    <t>ORAZUL ENERGY PERÚ</t>
  </si>
  <si>
    <t>P.E. MARCONA</t>
  </si>
  <si>
    <t>PLANTA  ETEN</t>
  </si>
  <si>
    <t>SAMAY I</t>
  </si>
  <si>
    <t>SANTA CRUZ</t>
  </si>
  <si>
    <t>Empresa Integrante  (GWh)</t>
  </si>
  <si>
    <t>Variación 2018/2017 (GWh)</t>
  </si>
  <si>
    <t>4. MÁXIMA POTENCIA COINCIDENTE A NIVEL DE GENERACIÓN EN EL SEIN (MW)</t>
  </si>
  <si>
    <t>Total Máxima Potencia</t>
  </si>
  <si>
    <t>Máxima Potencia Anual</t>
  </si>
  <si>
    <t>Últimos 3 meses</t>
  </si>
  <si>
    <t>EMPRESA</t>
  </si>
  <si>
    <t>Variación 2018/2017 (MW)</t>
  </si>
  <si>
    <t>4.2. PARTICIPACIÓN DE LAS EMPRESAS INTEGRANTES EN LA MÁXIMA POTENCIA COINCIDENTE (MW)</t>
  </si>
  <si>
    <t>5. HIDROLOGÍA PARA LA OPERACIÓN DEL SEIN</t>
  </si>
  <si>
    <t>5.1. VOLÚMEN UTIL DE LOS EMBALSES Y LAGUNAS (Millones de m3)</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</si>
  <si>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</si>
  <si>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</si>
  <si>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</si>
  <si>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</si>
  <si>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</si>
  <si>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</si>
  <si>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</si>
  <si>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</si>
  <si>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</si>
  <si>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</si>
  <si>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</si>
  <si>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</si>
  <si>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</si>
  <si>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</si>
  <si>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</si>
  <si>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</si>
  <si>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</si>
  <si>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</si>
  <si>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</si>
  <si>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</si>
  <si>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</si>
  <si>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</si>
  <si>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t>
  </si>
  <si>
    <t>(*) Valor no reportado por Orazul</t>
  </si>
  <si>
    <t>ANEXO I: PRODUCCIÓN DE ELECTRICIDAD MENSUAL POR EMPRESA Y TIPO DE GENERACIÓN EN EL SEIN</t>
  </si>
  <si>
    <t>ANUAL</t>
  </si>
  <si>
    <t>GENERACIÓN</t>
  </si>
  <si>
    <t xml:space="preserve">ACUMULADO </t>
  </si>
  <si>
    <t>RER (*)</t>
  </si>
  <si>
    <t>(MWh)</t>
  </si>
  <si>
    <t>AGROAURORA Total</t>
  </si>
  <si>
    <t>AGUA AZUL Total</t>
  </si>
  <si>
    <t>AIPSA Total</t>
  </si>
  <si>
    <t>C.H. PLATANAL</t>
  </si>
  <si>
    <t>CELEPSA Total</t>
  </si>
  <si>
    <t>C.T. RECKA</t>
  </si>
  <si>
    <t>CERRO VERDE Total</t>
  </si>
  <si>
    <t>C.H. CHIMAY</t>
  </si>
  <si>
    <t>C.H. YANANGO</t>
  </si>
  <si>
    <t>CHINANGO Total</t>
  </si>
  <si>
    <t>C.H. CHARCANI I</t>
  </si>
  <si>
    <t>C.H. CHARCANI II</t>
  </si>
  <si>
    <t>C.H. CHARCANI III</t>
  </si>
  <si>
    <t>C.H. CHARCANI IV</t>
  </si>
  <si>
    <t>C.H. CHARCANI V</t>
  </si>
  <si>
    <t>C.H. CHARCANI VI</t>
  </si>
  <si>
    <t>C.T. CHILINA DIESEL</t>
  </si>
  <si>
    <t>C.T. MOLLENDO DIESEL</t>
  </si>
  <si>
    <t>C.T. PISCO</t>
  </si>
  <si>
    <t>EGASA Total</t>
  </si>
  <si>
    <t>EGECSAC Total</t>
  </si>
  <si>
    <t>C.H. MACHUPICCHU</t>
  </si>
  <si>
    <t>EGEMSA Total</t>
  </si>
  <si>
    <t>C.H. ARICOTA I</t>
  </si>
  <si>
    <t>C.H. ARICOTA II</t>
  </si>
  <si>
    <t>C.T. INDEPENDENCIA</t>
  </si>
  <si>
    <t>EGESUR Total</t>
  </si>
  <si>
    <t>ELECTRICA SANTA ROSA Total</t>
  </si>
  <si>
    <t>ELECTRICA YANAPAMPA Total</t>
  </si>
  <si>
    <t>C.H. MANTARO</t>
  </si>
  <si>
    <t>C.H. RESTITUCION</t>
  </si>
  <si>
    <t>C.T. TUMBES</t>
  </si>
  <si>
    <t>ELECTROPERU Total</t>
  </si>
  <si>
    <t>C.H. CHAGLLA</t>
  </si>
  <si>
    <t>P.C.H CHAGLLA</t>
  </si>
  <si>
    <t>EMGE HUALLAGA Total</t>
  </si>
  <si>
    <t>C.H. HUANZA</t>
  </si>
  <si>
    <t>EMGE HUANZA Total</t>
  </si>
  <si>
    <t>EMGE JUNÍN Total</t>
  </si>
  <si>
    <t>C.H. HUAMPANI</t>
  </si>
  <si>
    <t>C.H. HUINCO</t>
  </si>
  <si>
    <t>C.H. MATUCANA</t>
  </si>
  <si>
    <t>C.H. MOYOPAMPA</t>
  </si>
  <si>
    <t>C.T. SANTA ROSA</t>
  </si>
  <si>
    <t>C.T. SANTA ROSA II</t>
  </si>
  <si>
    <t>C.T. VENTANILLA</t>
  </si>
  <si>
    <t>ENEL GENERACION PERU Total</t>
  </si>
  <si>
    <t>C.T. MALACAS 1</t>
  </si>
  <si>
    <t>C.T. MALACAS 2</t>
  </si>
  <si>
    <t>C.T. R.F. DE GENERACION TALARA</t>
  </si>
  <si>
    <t>ENEL GENERACION PIURA Total</t>
  </si>
  <si>
    <t>ENEL GREEN POWER PERU Total</t>
  </si>
  <si>
    <t>ENERGÍA EÓLICA Total</t>
  </si>
  <si>
    <t>C.H. QUITARACSA</t>
  </si>
  <si>
    <t>C.H. YUNCAN</t>
  </si>
  <si>
    <t>C.T. CHILCA 1</t>
  </si>
  <si>
    <t>C.T. CHILCA 2</t>
  </si>
  <si>
    <t>C.T. ILO 2</t>
  </si>
  <si>
    <t>C.T. NEPI</t>
  </si>
  <si>
    <t>C.T. R.F. PLANTA ILO</t>
  </si>
  <si>
    <t>ENGIE Total</t>
  </si>
  <si>
    <t>C.T. FENIX</t>
  </si>
  <si>
    <t>FENIX POWER Total</t>
  </si>
  <si>
    <t>GEPSA Total</t>
  </si>
  <si>
    <t>GTS MAJES Total</t>
  </si>
  <si>
    <t>GTS REPARTICION Total</t>
  </si>
  <si>
    <t>HIDROCAÑETE Total</t>
  </si>
  <si>
    <t>C.H. HUANCHOR</t>
  </si>
  <si>
    <t>HIDROELECTRICA HUANCHOR Total</t>
  </si>
  <si>
    <t>C.H. MARAÑON</t>
  </si>
  <si>
    <t>HUAURA POWER Total</t>
  </si>
  <si>
    <t>C.T. R.F. PTO MALDONADO</t>
  </si>
  <si>
    <t>C.T. R.F. PUCALLPA</t>
  </si>
  <si>
    <t>IYEPSA Total</t>
  </si>
  <si>
    <t>C.H. CERRO DEL AGUILA</t>
  </si>
  <si>
    <t>C.T. KALLPA</t>
  </si>
  <si>
    <t>C.T. LAS FLORES</t>
  </si>
  <si>
    <t>M.C.H. CERRO DEL AGUILA</t>
  </si>
  <si>
    <t>KALLPA Total</t>
  </si>
  <si>
    <t>MAJA ENERGIA Total</t>
  </si>
  <si>
    <t>MOQUEGUA FV Total</t>
  </si>
  <si>
    <t>C.H. CAÑON DEL PATO</t>
  </si>
  <si>
    <t>C.H. CARHUAQUERO</t>
  </si>
  <si>
    <t>ORAZUL ENERGY PERÚ Total</t>
  </si>
  <si>
    <t>P.E. MARCONA Total</t>
  </si>
  <si>
    <t>P.E. TRES HERMANAS Total</t>
  </si>
  <si>
    <t>PANAMERICANA SOLAR Total</t>
  </si>
  <si>
    <t>PETRAMAS Total</t>
  </si>
  <si>
    <t>C.T. R. F. GENERACION ETEN</t>
  </si>
  <si>
    <t>PLANTA  ETEN Total</t>
  </si>
  <si>
    <t>RIO DOBLE Total</t>
  </si>
  <si>
    <t>C.T. PUERTO BRAVO</t>
  </si>
  <si>
    <t>SAMAY I Total</t>
  </si>
  <si>
    <t>C.H. SAN GABAN II</t>
  </si>
  <si>
    <t>SAN GABAN Total</t>
  </si>
  <si>
    <t>SANTA CRUZ Total</t>
  </si>
  <si>
    <t>C.T. OQUENDO</t>
  </si>
  <si>
    <t>SDF ENERGIA Total</t>
  </si>
  <si>
    <t>C.T. SAN NICOLAS</t>
  </si>
  <si>
    <t>SHOUGESA Total</t>
  </si>
  <si>
    <t>SINERSA Total</t>
  </si>
  <si>
    <t>C.H. CAHUA</t>
  </si>
  <si>
    <t>C.H. CHEVES</t>
  </si>
  <si>
    <t>C.H. GALLITO CIEGO</t>
  </si>
  <si>
    <t>C.H. HUAYLLACHO</t>
  </si>
  <si>
    <t>C.H. MALPASO</t>
  </si>
  <si>
    <t>C.H. MISAPUQUIO</t>
  </si>
  <si>
    <t>C.H. OROYA</t>
  </si>
  <si>
    <t>C.H. PACHACHACA</t>
  </si>
  <si>
    <t>C.H. PARIAC</t>
  </si>
  <si>
    <t>C.H. SAN ANTONIO</t>
  </si>
  <si>
    <t>C.H. SAN IGNACIO</t>
  </si>
  <si>
    <t>C.H. YAUPI</t>
  </si>
  <si>
    <t>STATKRAFT Total</t>
  </si>
  <si>
    <t>TACNA SOLAR Total</t>
  </si>
  <si>
    <t>TERMOCHILCA Total</t>
  </si>
  <si>
    <t>C.T. AGUAYTIA</t>
  </si>
  <si>
    <t>TERMOSELVA Total</t>
  </si>
  <si>
    <t xml:space="preserve">TOTAL GENERACIÓN </t>
  </si>
  <si>
    <t>IMPORTACIÓN</t>
  </si>
  <si>
    <t>EXPORTACIÓN</t>
  </si>
  <si>
    <t>(*) Se denomina RER a los Recursos Energéticos Renovables tales como biomasa, eólica, solar, geotérmica, mareomotriz e hidráulicas cuya capacidad instalada no sobrepasa de los 20 MW, según D.L. N° 1002</t>
  </si>
  <si>
    <t>Variación</t>
  </si>
  <si>
    <t>%</t>
  </si>
  <si>
    <t>CERRO DEL AGUILA Total</t>
  </si>
  <si>
    <t>ECELIM Total</t>
  </si>
  <si>
    <t>C.T. ILO 1</t>
  </si>
  <si>
    <t>C.H. RUCUY</t>
  </si>
  <si>
    <t>RIO BAÑOS Total</t>
  </si>
  <si>
    <t>C.T. TAPARACHI</t>
  </si>
  <si>
    <t>C.H. CHANCAY</t>
  </si>
  <si>
    <t>2018 / 2017</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</si>
  <si>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</si>
  <si>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</si>
  <si>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</si>
  <si>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</si>
  <si>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</si>
  <si>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</si>
  <si>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</si>
  <si>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</si>
  <si>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</si>
  <si>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</si>
  <si>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</si>
  <si>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</si>
  <si>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</si>
  <si>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</si>
  <si>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</si>
  <si>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</si>
  <si>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</si>
  <si>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ETENORTE</t>
  </si>
  <si>
    <t>ELECTRO PUNO</t>
  </si>
  <si>
    <t>L. AZÁNGARO - PUTINA - LINEA L-6024</t>
  </si>
  <si>
    <t>HIDRANDINA</t>
  </si>
  <si>
    <t>RED DE ENERGIA DEL PERU</t>
  </si>
  <si>
    <t>2. MODIFICACION DE LA OFERTA DE GENERACIÓN ELÉCTRICA DEL SEIN EN EL 2018</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</si>
  <si>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</si>
  <si>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</si>
  <si>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</si>
  <si>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</si>
  <si>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</si>
  <si>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</si>
  <si>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</si>
  <si>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</si>
  <si>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</si>
  <si>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</si>
  <si>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</si>
  <si>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</si>
  <si>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</si>
  <si>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</si>
  <si>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5.2. EVOLUCIÓN DE VOLUMENES DE LOS EMBALSES Y LAGUNAS</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</si>
  <si>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</si>
  <si>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</si>
  <si>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</si>
  <si>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</si>
  <si>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</si>
  <si>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</si>
  <si>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</si>
  <si>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</si>
  <si>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</si>
  <si>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7.1. HORAS DE CONGESTION POR ÁREA OPERATIVA</t>
  </si>
  <si>
    <t>4. MÁXIMA POTENCIA COINCIDENTE A NIVEL DE GENERACIÓN EN EL SEIN</t>
  </si>
  <si>
    <t>3. PRODUCCIÓN DE ENERGÍA ELÉCTRICA EN EL SEIN</t>
  </si>
  <si>
    <t>4.1 Máxima Potencia Coincidente Por tipo de generación</t>
  </si>
  <si>
    <t>4.2. Participación por Empresas Integrantes en la máxima potencia conincidente</t>
  </si>
  <si>
    <t>5.3. Promedio mensual de los caudales</t>
  </si>
  <si>
    <t xml:space="preserve">5.1. Volumen útil de los embalses y lagunas </t>
  </si>
  <si>
    <t>6.1. Costos Marginales Promedio Mensual del SEIN</t>
  </si>
  <si>
    <t>7.1. Horas de congestión por Área Operativa</t>
  </si>
  <si>
    <t>II. MÁXIMA POTENCIA COINCIDENTE MENSUAL</t>
  </si>
  <si>
    <t>LINEA DE TRANSMISION</t>
  </si>
  <si>
    <t>● Máxima Potencia calculado durante los periodos de hora punta acorde al PR-30 y PR-43, la misma que incluye la importación desde Ecuador.</t>
  </si>
  <si>
    <t>1. RESUMEN</t>
  </si>
  <si>
    <t>Var. (2018/2017)</t>
  </si>
  <si>
    <t>SANTA ANA</t>
  </si>
  <si>
    <t>BIOCOMBUSTIBLE</t>
  </si>
  <si>
    <t>SANTA ANA Total</t>
  </si>
  <si>
    <t>TOTAL MÁXIMA POTENCIA COINCIDENTE</t>
  </si>
  <si>
    <t>Cuadro N°7 : Máxima potencia coincidente (MW) por tipo de generación en el SEIN.</t>
  </si>
  <si>
    <t>LUZ DEL SUR / INLAND Total</t>
  </si>
  <si>
    <t>25.03.2018</t>
  </si>
  <si>
    <t>C.T. Sto Domingo de los Olleros</t>
  </si>
  <si>
    <t>19:30</t>
  </si>
  <si>
    <t>23:00</t>
  </si>
  <si>
    <t>19:45</t>
  </si>
  <si>
    <t>11:45</t>
  </si>
  <si>
    <t>19:00</t>
  </si>
  <si>
    <t>11:30</t>
  </si>
  <si>
    <t xml:space="preserve">SANTA ANA </t>
  </si>
  <si>
    <t>C.H. RENOVANDES H1</t>
  </si>
  <si>
    <t>C.S. INTIPAMPA</t>
  </si>
  <si>
    <t>C.H. Renovandes H1</t>
  </si>
  <si>
    <t>C.S. Intipampa</t>
  </si>
  <si>
    <t>138 120 
Módulos</t>
  </si>
  <si>
    <t>31.03.2018</t>
  </si>
  <si>
    <t>20.03.2018</t>
  </si>
  <si>
    <t>G1</t>
  </si>
  <si>
    <t>Turbina Pelton</t>
  </si>
  <si>
    <t>Central Hidroeléctrica</t>
  </si>
  <si>
    <t>CELEPSA RENOVABLES Total</t>
  </si>
  <si>
    <t>(2) Valor referido a la potencia instalada de la Turbina de vapor de la C.T. Sto. Domingo de los Olleros.</t>
  </si>
  <si>
    <t xml:space="preserve">(3) Valor de 103,95 MW corresponde al aumento de potencia efectiva de la central Sto. Domigo de los Olleros debido al ingreso de la Turbina de Vapor, el valor de la potencia efectiva del modo ciclo combinado (TG+TV) es de 305,32 MW. </t>
  </si>
  <si>
    <t>Gráfico N°13: Evolución semanal del volumen de las lagunas de ENEL durante los años 2016 - 2018</t>
  </si>
  <si>
    <t>Gráfico N°14: Evolución semanal del volumen del lago JUNÍN durante los años 2016 - 2018</t>
  </si>
  <si>
    <t>Gráfico N°15: Evolución semanal del volumen de los embalses de EGASA durante los años 2016 - 2018.</t>
  </si>
  <si>
    <t>Gráfico N°24: Porcentaje de participación por tipo de causa en el número de fallas.</t>
  </si>
  <si>
    <t>Gráfico N°25: Comparación en el número de fallas por tipo de equipo.</t>
  </si>
  <si>
    <t>TV</t>
  </si>
  <si>
    <t xml:space="preserve">(*) Valor de 103,95 MW corresponde al aumento de potencia efectiva de la central Sto. Domigo de los Olleros debido al ingreso de la Turbina de Vapor, el valor de la potencia efectiva del modo ciclo combinado (TG+TV) es de 305,32 MW. </t>
  </si>
  <si>
    <t>ETESELVA</t>
  </si>
  <si>
    <t>4 eventos corresponde a rechazo manual de carga en la S.S.E.E. Pucallpa por deficit de generación (74,15 MWh)</t>
  </si>
  <si>
    <t>20:00</t>
  </si>
  <si>
    <t>18:45</t>
  </si>
  <si>
    <t xml:space="preserve">Potencia Efectiva  (MW) </t>
  </si>
  <si>
    <t>C.E. WAYRA I</t>
  </si>
  <si>
    <t>(1)  A partir del 29.09.2017 la C.H. Cerro del Águila pasa a ser propiedad de la empresa Kallpa Generación S.A.</t>
  </si>
  <si>
    <t>17:45</t>
  </si>
  <si>
    <t>19:15</t>
  </si>
  <si>
    <t>(*) A partir del 29.09.2017 la C.H. Cerro del Águila pasa a ser propiedad de la empresa Kallpa Generación S.A.</t>
  </si>
  <si>
    <t>KALLPA (*)</t>
  </si>
  <si>
    <t>CERRO DEL AGUILA (*)</t>
  </si>
  <si>
    <t>SAN JUAN - SANTA ROSA N.</t>
  </si>
  <si>
    <t>ENLACE CENTRO - SUR</t>
  </si>
  <si>
    <t>L-2051 L-2052  L-5034  L-5036</t>
  </si>
  <si>
    <t>L-2011</t>
  </si>
  <si>
    <t>eólica</t>
  </si>
  <si>
    <t>aerogenerador</t>
  </si>
  <si>
    <t>C.E. Wayra I</t>
  </si>
  <si>
    <t>42 aerogeneradores</t>
  </si>
  <si>
    <t>19.05.2018</t>
  </si>
  <si>
    <t>(1) El valor de potencias efectivas de la C.S. Rubí, C.S. Intipampa y C.E. Wayra I corresponden a la potencia instalada nominal declarada en la fecha de ingreso de operación comercial.</t>
  </si>
  <si>
    <t>Central Eólica</t>
  </si>
  <si>
    <t>Gráfico N°19: Evolución del promedio semanal de caudales de las cuencas CHILI, ARICOTA, VILCANOTA Y SAN GABÁN en los años 2016 - 2018.</t>
  </si>
  <si>
    <t>Gráfico N°18: Evolución del promedio semanal de caudales de los ríos MANTARO, TULUMAYO y TARMA  en los años 2016 - 2018.</t>
  </si>
  <si>
    <t>Gráfico N°17: Evolución del promedio semanal de caudales de los ríos RÍMAC y SANTA EULALIA en los años 2016 - 2018.</t>
  </si>
  <si>
    <t>Gráfico N°16: Evolución del promedio semanal de caudales de los ríos SANTA, CHANCAY y PATIVILCA en los años 2016 - 2018.</t>
  </si>
  <si>
    <t>(***) La empresa LUZ DEL SUR S.A.A. Transfiere la titularidad de sus instalaciones de generación a la empresa INLAND ENERGYS.A.C.</t>
  </si>
  <si>
    <t>(****) La empresa HIDROELÉCTRICA MARAÑON S.R.L. cambia su denominación social a CELEPSA RENOVABLES S.R.L.</t>
  </si>
  <si>
    <t>CELEPSA RENOVABLES (****)</t>
  </si>
  <si>
    <t>LUZ DEL SUR / INLAND (***)</t>
  </si>
  <si>
    <t>ECELIM (**)</t>
  </si>
  <si>
    <t>PETRAMAS (**)</t>
  </si>
  <si>
    <t>ECELIM  (**)</t>
  </si>
  <si>
    <t>(**) A partir del 14.12.2017 la C.T. La Gringa (ECELIM) pasa a ser propiedad de la empresa PETRAMAS S.A.</t>
  </si>
  <si>
    <t>(2) A partir del 14.12.2017 la C.T. La Gringa (ECELIM) pasa a ser propiedad de la empresa PETRAMAS S.A.</t>
  </si>
  <si>
    <t>(3)  Ingreso a operación comercial de la C.S. RUBI propiedad de ENEL GREEN POWER PERU S.A. a partir del 30.01.2018</t>
  </si>
  <si>
    <t>(4) La empresa LUZ DEL SUR S.A.A. Transfiere la titularidad de sus instalaciones de generación a la empresa INLAND ENERGY S.A.C.</t>
  </si>
  <si>
    <t>(5) Ingreso a operación comercial de la C.H. Renovandes H1, propiedad de EMPRESA DE GENERACIÓN ELÉCTRICA SANTA ANA S.A. a partir del 20.03.2018</t>
  </si>
  <si>
    <t>(6) Ingreso a operación comercial de la TV de la C.T. Sto. Domingo de los Olleros propiedad de TERMOCHILCA a partir del 25.03.2018</t>
  </si>
  <si>
    <t>(7)  Ingreso a operación comercial de la de la C.S. Intipampa, propiedad de ENGIE ENERGÍA PERU S.A. a partir del 31.03.2018</t>
  </si>
  <si>
    <t>(8) La empresa HIDROELÉCTRICA MARAÑON S.R.L. cambia su denominación social a CELEPSA RENOVABLES S.R.L.</t>
  </si>
  <si>
    <t>(9) Ingreso a operación comercial de la C.E. Wayra I, propiedad de ENEL GREEN POWER PERU S.A.  A apartir del 19.05.2018</t>
  </si>
  <si>
    <t>CELEPSA RENOVABLES (8)</t>
  </si>
  <si>
    <t>Máxima Demanda:</t>
  </si>
  <si>
    <t>11:00</t>
  </si>
  <si>
    <t>L. MOROCOCHA - CARLOS FRANCISCO - LINEA L-6532</t>
  </si>
  <si>
    <t>L. CHIMBOTE SUR - NEPEÑA - LINEA L-1112</t>
  </si>
  <si>
    <t>SOUTHERN PERU CC</t>
  </si>
  <si>
    <t>SUBESTACION</t>
  </si>
  <si>
    <t>Potencia efectiva al 31/07/2018 (MW)</t>
  </si>
  <si>
    <t>KALLPA</t>
  </si>
  <si>
    <t>PETRAMAS</t>
  </si>
  <si>
    <t>20:30</t>
  </si>
  <si>
    <t>12:00</t>
  </si>
  <si>
    <t>ECELIM</t>
  </si>
  <si>
    <t>MARCONA</t>
  </si>
  <si>
    <t>1.1. Producción de energía eléctrica en agosto 2018 en comparación al mismo mes del año anterior</t>
  </si>
  <si>
    <t>agosto</t>
  </si>
  <si>
    <t>L. PACHACHACA - MOROCOCHA - LINEA L-6530</t>
  </si>
  <si>
    <t>Desconectaron las líneas L-6529 y L-6530 (Pachacaca – Nueva Morococha) de 50 kV, por falla monofásica a tierra en la fase “S”. De acuerdo con lo informado por STATKRAFT, titular de la línea, la falla se produjo por caída de conductor, debido a contacto de volquete en el conductor de la línea L-6530 entre las estructuras N° 82 y 83. El sistema de protección señalizó la activación de la protección de distancia (21). Como consecuencia, se interrumpió el suministro de las subestaciones Nueva Morococha, Carlos Francisco, Casapalca, Casapalca Norte, Antuquito, Bellavista y San Mateo con un total de 32,09 MW, asimismo desconectó la C.H. Huanchor cuando generaba 17,44 MW. A las 00:21 h del 03.08.2018 entró en servicio la línea L-6529 y se inició la normalización parcial del suministro interrumpido, asimismo sincronizo la C.H. Huanchor. A las 09:26 h del día 04.08.2018, el CC-STK conectó la línea L-6530 y coordinó normalizar la carga de Minera Casapalca.</t>
  </si>
  <si>
    <t>S.E. TOCACHE - BARRA BARRA22.9</t>
  </si>
  <si>
    <t>Desconectó la barra de 22,9 kV de la S.E. Tocache, como respaldo por una falla en el alimentador L-1046 de 22,9 kV que no fue despejada por su sistema de proteccion, de acuerdo a lo informado por REP, titular de la barra. Como consecuencia se interrumpió el suministro de la S.E. Tocache con 6,27 MW. A las 09:34 h, se energizó la barra y se inicio la normalización del suministro interrumpido.</t>
  </si>
  <si>
    <t>Desconectó la barra de 22,9 kV de la S.E. Tocache, como respaldo por una falla en el alimentador L-1046 de 22,9 kV que no fue despejada por su sistema de proteccion, de acuerdo a lo informado por REP, titular de la barra. Como consecuencia se interrumpió el suministro de la S.E. Tocache con 1,92 MW. A las 09:41 h, se energizó la barra y se inicio la normalización del suministro interrumpido.</t>
  </si>
  <si>
    <t>L. CARHUAMAYO - SHELBY - LINEA L-6515</t>
  </si>
  <si>
    <t>Desconectaron las líneas L-6515 (Carhuamayo – Shelby) de 50 kV y L-6517 (Shelby – Excelsior) de 50 kV, por falla monofasica a tierra en la fase “S”, cuya causa no fue informada por STATKRAFT, titular de las líneas. El sistema de protección señalizó la activación de la función de distancia (21). El sistema de protección detecto la falla a una distancia de 21,70 km de la S.E. Excelsior. Como consecuencia se interrumpió el suministro de las subestaciones Shelby, Fundición y San Juan con un total de 2,30 MW. A las 19:16 h, se conectaron las líneas y se inició la normalización del suministro interrumpido.</t>
  </si>
  <si>
    <t>ATN 2 S.A.</t>
  </si>
  <si>
    <t>L. COTARUSE - LAS BAMBAS - LINEA L-2055</t>
  </si>
  <si>
    <t>Desconectó la línea L-2055 (Cotaruse - Las Bambas) de 220 kV, por falla bifásica enre las fases "R" y "S". De acuerdo con lo informado por ATN2, titular de la línea, la falla se produjo por descargas atmosfericas. El sistema de protección señalizó la activación de la función diferencial de línea (87) y ubicó la falla a una distancia de 4,80 km de la S.E. Las Bambas. No se produjo interrupción de suministros en el SEIN. El usuario libre Minera Las Bambas redujo su carga en 109,15 MW. A las 01:05 h, el CCO-COES coordinó con el CC-BAM recuperar el total de su carga reducida. A la 01:32 h, se conectó la línea.</t>
  </si>
  <si>
    <t>Desconectó la línea L-2055 (Cotaruse - Las Bambas) de 220 kV, por falla bifásica enre las fases "R" y "T". De acuerdo con lo informado por ATN2, titular de la línea, la falla se produjo por descargas atmosfericas. El sistema de protección señalizó la activación de la función diferencial de línea (87) y ubicó la falla a 4,63 km de la S.E. Las Bambas. No se produjo interrupción de suministros en el SEIN. El usuario libre Minera Las Bambas redujo su carga en 109,15 MW Como consecuencia el usuario libre Minera Las Bambas redujo su carga en 157,81MW. A las 07:35 h, se conectó la línea y el CCO-COES coordinó con el CC-BAM recuperar el total de su carga reducida.</t>
  </si>
  <si>
    <t>MINERA HORIZONTE</t>
  </si>
  <si>
    <t>L. TAYABAMBA - LLACUABAMBA - LINEA L-1134</t>
  </si>
  <si>
    <t>Desconectó la linea L-1134 (Tayabamba – Llacuabamba) de 138 kV, cuya causa no fue informada por MINERA HORIZONTE, titular de la línea. Como consecuencia se interrumpio el suministro de la S.E. Llacuabmaba con 23,94 MW. Asimismo, desconectó la celda de la línea L-1133 (Sihuas - Tayabamba) de 138 kV en la S.E. Tayabamba y se interrumpió el suministro de la S.E. Tayabamba con 1,65 MW. A las 17:24 h y 17:28 h, se conectó la línea L-1133 y L-1134, respectivamente y se inició la normalización del suministro interrumpido.</t>
  </si>
  <si>
    <t>L. AZÁNGARO - ANTAUTA - LINEA L-6021</t>
  </si>
  <si>
    <t>Desconectó la línea L-6021 (Azángaro - Antauta) de 60 kV, por falla. De acuerdo con lo informado por ELECTRO PUNO, titular de la línea, la falla se produjo por fuertes vientos en la zona. El sistema de protección señalizó la activación de la función de sobre corriente de fase (50). Como consecuencia se interrumpió el suministro de la S.E. Antauta con un total de 0,88 MW. A las 15:54 h, se conectó la línea y se inició la normalización del suministro interrumpido.</t>
  </si>
  <si>
    <t>Desconectó la línea L-6021 (Azángaro - Antauta) de 60 kV, por falla. De acuerdo con lo informado por ELECTRO PUNO, titular de la línea, la falla se produjo por descargas atmosféricas. El sistema de protección señalizó la activación de la función de sobre corriente (50). Como consecuencia se interrumpió el suministro de la S.E. Antauta con un total de 1,00 MW. A las 17:52 h, se conectó la línea y se inició la normalización del suministro interrumpido.</t>
  </si>
  <si>
    <t>Desconectó la línea L-6024 (Azángaro - Putina) de 60 kV, por falla. De acuerdo con lo informado por ELECTRO PUNO, titular de la línea, la falla se produjo por descargas atmosfericas. El sistema de protección señalizó la activación de la función diferencial (87). Como consecuencia se interrumpió el suministro de la S.E. Ananea y Huancané con un total de 3,50 MW. A las 18:10 h, se conectó la línea y se inició la normalización del suministro interrumpido.</t>
  </si>
  <si>
    <t>Desconectó la línea L-1112 (Chimbote Sur - Nepeña) de 138 kV, por falla monofásica a tierra en la fase “T”. De acuerdo a lo informado por HIDRANDINA, titular de la línea, la falla se produjo por contacto de tolva de volquete con la linea entre las estructuras N° 42 a 43. El sistema de protección señalizó la activación de la función de distancia (21) y ubicó la falla a 16,4 km de la S.E. Chimbote Sur. Como consecuencia, se interrumpió el suministro de la S.E. Nepeña con un total de 10,90 MW y el usuario libre SIDER PERU redujo su carga en 6,00 MW. A las 11:20 h, se conectó la línea y se inició la normalización del suministro interrumpido.</t>
  </si>
  <si>
    <t>ELECTRO SUR ESTE</t>
  </si>
  <si>
    <t>L. COMBAPATA - SICUANI - LINEA L-6001</t>
  </si>
  <si>
    <t>Desconectó la línea L-6001 (Combapata - Sicuani) de 66 kV, por falla. De acuerdo con lo informado por ELECTRO SUR ESTE, titular de la línea, la falla se produjo por descargas atmosféricas. Como consecuencia se interrumpió el suministro de la S.E. Sicuani con un total de 1,79 MW. A las 06:02 h, se conectó la línea y se inició la normalización del suministro interrumpido.</t>
  </si>
  <si>
    <t>CONCESIONARIA LINEA DE TRANSMISION CCNCM S.A.C.</t>
  </si>
  <si>
    <t>L. CAJAMARCA NORTE - CACLIC - LINEA L-2192</t>
  </si>
  <si>
    <t>Desconectó la línea L-2192 (Cajamarca-Caclic) de 220 kV, cuya causa no fue informada por CONCESIONARIA LÍNEA DE TRANSMISIÓN CCNCM, titular de la línea. El sistema de protección señalizó la activación de la función diferencial de línea (87) y ubicó la falla a 156,6 km de la S.E. Cajamarca Norte. Como consecuencia se activó el Esquema de Rechazo Automático de Carga por Mínima Tensión de la S.E. Moyobamba y, como consecuencia de la activación de este, desconectó la línea L-6091 (Moyobamba – Rioja) de 60 kV. Asimismo, desconectó la línea L-2194 (Cáclic - Belaunde Terry) de 220 kV. Como consecuencia se interrumpió el suministro de las subestaciones Rioja, Nueva Cajamarca y Cementos Selva con 8,261 MW aproximadamente. A las 17:48 h, el CCO-COES coordinó con el CC-EOR normalizar el total de sus suministros interrumpidos. A las 17:55 h, se intento energizar la línea L-2192 desde la S.E. Cajamarca Norte, con resultado negativo. A las 18:43 h, se conectó la línea L-2092. A las 18:50 h, el CCO-COES coordinó con el CC-EOR rechazar 10,00 MW de su carga para conseguir condiciones para el cierre del anillo Cajamarca Norte – Cáclic – Belaunde Terry en 220 kV. Cabe resaltar que la empresa ELECTRO ORIENTE, optó por el arranque de sus centrales Wärtila 1 y 2 para evitar el corte de sus suministros. A las 19:17 h, se cerró el anillo y se inició la normalización del suministro interrumpido.</t>
  </si>
  <si>
    <t>L. ABANCAY NUEVA - ABANCAY - LINEA L-1039A</t>
  </si>
  <si>
    <t>Desconectó la línea L-1039 (Abancay Nueva – Abancay) de 138 kV, por falla monofásica a tierra en la fase "T". De acuerdo con lo informado por REP, titular de la línea, la falla se produjo por descargas atmosféricas. El sistema de protección señalizó la activación de la función diferencial de línea (87). El sistema de protección detecto la falla a una distancia de 3,10 km de la S.E. Abancay Nueva. Como consecuencia se interrumpió el suministro de la subestación Tamburco con un total de 15,96 MW. A las 17:04 h, se conectó la línea y se inició la normalización del suministro interrumpido.</t>
  </si>
  <si>
    <t>ISA PERU</t>
  </si>
  <si>
    <t>L. AGUAYTÍA - PUCALLPA - LINEA L-1125</t>
  </si>
  <si>
    <t>Desconectó la línea L-1125 (Aguaytía – Pucallpa) de 138 kV, por falla bifásica a tierra entre las fases “S” y “T”. De acuerdo con lo informado por ISA PERÚ, titular de la línea, la falla se produjo debido por caída de árbol, provocado por terceros sobre la línea. El sistema de protección señalizó la activación de la función de distancia (21) y ubicó la falla a 36,00 km de la S.E. Aguaytía. Como consecuencia se interrumpieron el suministro de las subestaciones Parque Industrial, Pucallpa EUC y Yarinacocha con un total de 44,63 MW. A las 10:49 h, el CC-ISA declaró al CCO-COES disponible la línea. A las 10:52 h, se realizó un intento de energización de la línea con resultado negativo. A las 10:53 h, el CCO-COES coordinó con el CC-IEP el arrancar la C.T.R.F. de Pucallpa para operar en sistema aislado con la carga de la S.E. Pucallpa. A las 11:09 h, se energizó la barra de 60 kV de la S.E. Pucallpa en sistema aislado con la C.T.R.F. de Pucallpa. A las 11:26 h, la tensión en la barra de 60 kV de la S.E. Pucallpa ISA se encontraba en 59,7 kV, con lo cual, el CCO-COES coordinó con el CC-EUC no tomar mas carga, correspondiente a sus suministros interrumpidos en la S.E. Pucallpa. A las 11:29 h, el CC-ISA conectó el SVC de la S.E. Pucallpa. A las 11:50 h y 11:53 h, el CCO-COES coordinó CC-EUC normalizar el total de suministros interrumpidos correspondiente a usuarios regulados y usuarios libres, respectivamente.</t>
  </si>
  <si>
    <t>L. CACLIC - BELAUNDE TERRY - LINEA L-2194</t>
  </si>
  <si>
    <t>Desconectó la línea L-2194 (Cáclic – Belaunde Terry) de 220 kV, por falla bifásica a tierra entre las fases “R” y “S”. De acuerdo con lo informado por CONCESIONARIA LÍNEA DE TRANSMISIÓN CCNCM, titular de la línea, la falla se produjo por descargas atmosféricas. El sistema de protección señalizó la activación de la función diferencial de línea (87) y ubicó la falla a 38,90 km de la S.E. Belaunde Terry. Como consecuencia se activó el Esquema de Rechazo Automático de Carga por Mínima Tensión de la S.E. Moyobamba, con lo cual se interrumpió un total de 9,43 MW de las subestaciones Rioja, Nueva Cajamarca y Cementos Selva. Asimismo, desconectó el reactor de barra RB-4201 de la S.E. Belaunde Terry por actuación de su protección de mínima tensión. A las 15:34 h, el CCO-COES coordinó con el CC-EOR normalizar el total de sus suministros interrumpidos. A las 15:37 h, se conectó la línea L-2194. A las 15:39 h, se cierra el anillo Cajamarca Norte – Cáclic – Belaunde Terry en 220 kV mediante el cierre del interruptor IN-4101 del autotransformador AT-4201 de la S.E. Belaunde Terry.</t>
  </si>
  <si>
    <t>S.E. QUEBRADA HONDA - TRAFO QHT1</t>
  </si>
  <si>
    <t>Desconectó el transformador QHT2 de la S.E. Quebrada Honda. De acuerdo a lo informado por SOUTHERN PERÚ titular del equipo, la desconexión se produjo por disparo de la protección que protegían al transformador GHT1. Como consecuencia se interrumpió el suministro de la S.E. Quebrada Honda con un total de 1,00 MW. A las 13:00 h, se conectó el transformador y se inició la normalización del suministro interrumpido.</t>
  </si>
  <si>
    <t xml:space="preserve">SINERSA </t>
  </si>
  <si>
    <t>L. POECHOS - SULLANA - LINEA L-6668</t>
  </si>
  <si>
    <t>Desconectó la línea L-6668 (Sullana - Poechos) de 60 kV, por falla a tierra en la fase “R”. De acuerdo a lo informado por SINERSA, titular de la línea, la falla se produjo por contacto de ave con la linea en la estructura N° 159. El sistema de protección señalizo la activación de la función de distancia (21). El sistema de protección detecto la falla a una distancia de 28,50 km de la S.E. Poechos. Como consecuencia se interrumpió el suministro de las subestaciones Poechos y Quiroz con un total de 4,53 MW, asimismo desconectaron las centrales hidroeléctricas Poechos I y II con una generación total de 9,20 MW. A las 08:02 se conectó la línea L-6668 y se inicio la normalización del suministro interrumpido. A las 08:08 h y 08:21 h, sincronizaron las centrales hidroeléctricas Poechos I y II con el SEIN, respectivamente.</t>
  </si>
  <si>
    <t>L. TRUJILLO NORTE - CHIMBOTE 1 - LINEA L-2233</t>
  </si>
  <si>
    <t>Desconectó la línea L-2233 (Trujillo Norte – Chimbote) de 220 kV, por falla bifásica a tierra entre las fases "R” y “S". De acuerdo con lo informado por REP, titular de la línea, la falla se produjo por quema de caña. El sistema de protección señalizó la activación de la función de distancia (21) y ubicó la falla a 2,00 km de la S.E. Trujillo Norte. No se produjo interrupción de suministros en el SEIN. El usuario libre SIDER PERÚ redujo su carga en 15,00 MW. A las 17:00 h, el CCO-COES coordinó CC-SID normalizar el total de sus suministros reducidos. A las 18:49 h, se conectó la línea.</t>
  </si>
  <si>
    <t>Desconectó la línea L-6532 (Morococha - Carlos Francisco) de 50 kV, por falla monofásica a tierra en la fase “S”, cuya causa no fue informada por STATKRAFT, titular de la línea. El sistema de protección señalizó la activación de la función de distancia (21). Como consecuencia se interrumpió el suministro de la S.E. Casapalca Norte con un total de 0,38 MW. A las 07:56 h, se conectó la línea y se inició la normalización del suministro interrumpido.</t>
  </si>
  <si>
    <t>L. MACHUPICCHU - QUENCORO - LINEA L-1002</t>
  </si>
  <si>
    <t>Desconectó la línea L-1002 (Machupicchu - Quencoro) de 138 kV, por falla bifásica a tierra entre las fases “S” y “T”. De acuerdo con lo informado por EGEMSA, titular de la línea, la falla se produjo por descargas atmosféricas. El sistema de protección señalizó la activación de la función de distancia (21) y ubicó la falla a 2,63 km de la S.E. Machupicchu. No se produjo interrupción de suministros en el SEIN. El usuario libre INDUSTRIAS CACHIMAYO reporto la reducción de su carga en 9,90 MW. A las 15:21 h, el CC-EGM coordinó con el CC-CAC recuperar el total de su carga reducida. A las 15:41 h, se conectó la línea.</t>
  </si>
  <si>
    <t>S.E. QUENCORO - BARRA BARRA-34.5kV</t>
  </si>
  <si>
    <t>Desconectó la barra de 34,5 kV de la S.E. Quencoro. De acuerdo, con lo informado por REP titular del equipo, la desconexión se produjo por la actuación de la protección de sobre corriente del transformador T47-131 en el lado de 34,5 kV, por sobrecarga. Cabe resaltar, que el transformador T80-131 se encontraba fuera de servicio por mantenimiento y su carga estaba siendo asumida por el transformador T47-131. Como consecuencia, se interrumpió el suministro de la S.E. Quencoro en 34,5 kV con un total de 0,97 MW. A las 12:30 h, se conectó la barra y se inició la normalización del suministro interrumpido.</t>
  </si>
  <si>
    <t>Desconectó la barra de 34,5 kV de la S.E. Quencoro. De acuerdo, con lo informado por REP titular del equipo, la desconexión se produjo por la actuación de la protección de sobre corriente del transformador T47-131 en el lado de 34,5 kV, por sobrecarga. Cabe resaltar, que el transformador T80-131 se encontraba fuera de servicio por mantenimiento y su carga estaba siendo asumida por el transformador T47-131. Como consecuencia, se interrumpió el suministro de la S.E. Quencoro en 34,5 kV con un total de 1,29 MW. A las 12:39 h, se conectó la barra y se inició la normalización del suministro interrumpido.</t>
  </si>
  <si>
    <t>Desconectó la barra de 34,5 kV de la S.E. Quencoro. De acuerdo, con lo informado por REP titular del equipo, la desconexión se produjo por la actuación de la protección de sobre corriente del transformador T47-131 en el lado de 34,5 kV, por sobrecarga. Cabe resaltar, que el transformador T80-131 se encontraba fuera de servicio por mantenimiento y su carga estaba siendo asumida por el transformador T47-131. Como consecuencia, se interrumpió el suministro de la S.E. Quencoro en 34,5 kV con un total de 1,25 MW. A las 13:51 h, se conectó la barra y se inició la normalización del suministro interrumpido.</t>
  </si>
  <si>
    <t>Desconectó la barra de 34,5 kV de la S.E. Quencoro. De acuerdo, con lo informado por REP titular del equipo, la desconexión se produjo por la actuación de la protección de sobre corriente del transformador T47-131 en el lado de 34,5 kV, por sobrecarga. Cabe resaltar, que el transformador T80-131 se encontraba fuera de servicio por mantenimiento y su carga estaba siendo asumida por el transformador T47-131. Como consecuencia, se interrumpió el suministro de la S.E. Quencoro en 34,5 kV con un total de 0,69 MW. A las 14:05 h, se conectó la barra y se inició la normalización del suministro interrumpido. La línea L-3302 (Quencoro – Huaro – Oropeza) de 34,5 kV quedó fuera de servicio a solicitud de Electro Sur Este.</t>
  </si>
  <si>
    <t>SEAL</t>
  </si>
  <si>
    <t>S.E. PQUE. INDUSTRIAL_AREQUIPA - TRAFO T4-103</t>
  </si>
  <si>
    <t>Desconectó el transformador T4-103 de 138/33 kV de la S.E. Parque Industrial, por falla monofásica a tierra en la fase “T”. De acuerdo a lo informado por SEAL titular del equipo, la falla se produjo en el cable subterráneo de 33 kV de salida de los bushing del transformador. El sistema de protección señalizo la activación de la función diferencial (87). Asimismo, se produjo la desconexión de los transformadores T41-31 y T42-32 de 33/10 kV, por activación de su protección de sobrecorriente a tierra (50N). Como consecuencia, se interrumpió el suministro de la S.E. Parque Industrial con un total de 13,52 MW. A las 01:30 h, se inicio la normalización del suministro interrumpido a través de las líneas L-3080 y L-3081 (Socabaya – Parque Industrial) de 33 kV. A las 05:42 h, se conectó el transformador T4-103.</t>
  </si>
  <si>
    <t>NEXA RESOURCES</t>
  </si>
  <si>
    <t>S.E. CAJAMARQUILLA - CELDA CL-2709_Proyect</t>
  </si>
  <si>
    <t>Desconectó la celda de la línea L-2709 (Carapongo - Cajamarquilla) de 220 kV en la S.E. Cajamarquilla. De acuerdo a lo informado por NEXA RESOURCES, titular de la celda, se produjo un disparo un disparo DTT por error humano, cunado se realizaban trabajos en la S.E. Cajamarquilla para el proyecto de Carapongo. No se produjo interrupción de suministros en el SEIN. El usuario libre Textil del Valle, reportó interrupción de suministros con un total de 0,26 MW por la activación de su protección de mínima frecuencia. A las 11:28 h, el CCO-COES coordinó con el CC-GCZ normalizar el total de suministros interrumpidos del usuario libre Textil del Valle. A las 11:50 h, se conectó la línea.</t>
  </si>
  <si>
    <t xml:space="preserve">COELVISAC </t>
  </si>
  <si>
    <t>S.E. FELAM - SSEE SE FELAM</t>
  </si>
  <si>
    <t>Desconectó la barra de 220 kV de la S.E. Felam de 220 kV, por falla monofásica en la fase “R”. De acuerdo con lo informado por COELVISAC, titular del equipo, la falla se produjo por contacto de ave en la celda de la linea CL2238. El sistema de protección señalizo la activación de la función de diferencial (86). Como consecuencia se interrumpió el suministro de la S.E. Tierras Nuevas con un total de 4,50 MW. A las 07:51 h, se conectó la barra y se inició la normalización del suministro interrumpido.</t>
  </si>
  <si>
    <t>L. MACHUPICCHU - CACHIMAYO - LINEA L-1001</t>
  </si>
  <si>
    <t>Desconectó la línea L-1001 (Machupichu – Quencoro) de 138 kV, por falla bifásica entre las fases “R” y “T”, cuya causa no fue informada por EGEMSA, titular de la línea. El sistema de protección señalizó la activación de la función de distancia (21) y ubicó la falla a 11,60 km de la S.E. Machupichu. No se produjo interrupción de suministros en el SEIN. El usuario libre INDUSTRIAS CACHIMAYO redujo su carga en 2,38 MW. A las 10:15 h, el CCO-COES coordinó con el CC-EGM recuperar el total de la carga reducida del usuario libre INDUSTRIAS CACHIMAYO. A las 10:43 h, se conectó la línea.</t>
  </si>
  <si>
    <t>S.E. INDEPENDENCIA - BARRA BARRA10</t>
  </si>
  <si>
    <t>Desconectó la barra de 10 kV de la S.E. Independencia, por falla en la red eléctrica de distribución de 10 kV de propiedad de Electro Dunas, de acuerdo con lo informado por REP, titular de la barra. El sistema de protección señalizo la activación de la función de sobretensión homopolar (59N). Cabe resaltar que la barra se encontraba alimentada por el transformador T3-261 de 220/60/10 kV. Como consecuencia se interrumpió el suministro de la S.E. Independencia 10 kV con un total de 0,79 MW. A las 07:15 h, se conectó la barra alimentada desde el transformador T4-261 de 220/60/10 kV y se inició la normalización del suministro interrumpido.</t>
  </si>
  <si>
    <t>L. AZÁNGARO - JULIACA - LINEA L-1011</t>
  </si>
  <si>
    <t>Desconectó la línea L-1011 (Azángaro – Juliaca) de 138 kV, por falla bifásica entre las fases “R” y “S”. De acuerdo a lo informado por REP, titular de la línea, la falla se produjo por contacto entre conductores entre las estructuras T-181 y T-182. El sistema de protección señalizó la activación de la función de distancia (21) y ubicó la falla a una distancia de 8,00 km de la S.E. Juliaca. No se produjo interrupción de suministros en el SEIN. El usuario libre Calcesur reporto la reducción su carga en 2,00 MW. A las 12:27 h, se el CCO-COES coordinó con CC-EGM recuperar el total de la carga reducida del usuario libre Calcesur. A las 17:53 h, se conectó la línea.</t>
  </si>
  <si>
    <t>Desconectó la barra de 10 kV de la S.E. Independencia, por falla en la red eléctrica de distribución de 10 kV de propiedad de Electro Dunas, de acuerdo con lo informado por REP, titular de la barra. El sistema de protección señalizo la activación de la función de sobretensión homopolar (59N). Cabe resaltar que la barra se encontraba alimentada por el transformador T4-261 de 220/60/10 kV. Como consecuencia se interrumpió el suministro de la S.E. Independencia 10 kV con un total de 1,20 MW. A las 15:52 h, se conectó la barra alimentada desde el transformador T4-261 de 220/60/10 kV y se inició la normalización del suministro interrumpido.</t>
  </si>
  <si>
    <t>01/08/2018</t>
  </si>
  <si>
    <t>02/08/2018</t>
  </si>
  <si>
    <t>03/08/2018</t>
  </si>
  <si>
    <t>04/08/2018</t>
  </si>
  <si>
    <t>05/08/2018</t>
  </si>
  <si>
    <t>20:15</t>
  </si>
  <si>
    <t>06/08/2018</t>
  </si>
  <si>
    <t>21:00</t>
  </si>
  <si>
    <t>07/08/2018</t>
  </si>
  <si>
    <t>08/08/2018</t>
  </si>
  <si>
    <t>09/08/2018</t>
  </si>
  <si>
    <t>10/08/2018</t>
  </si>
  <si>
    <t>11/08/2018</t>
  </si>
  <si>
    <t>12/08/2018</t>
  </si>
  <si>
    <t>13/08/2018</t>
  </si>
  <si>
    <t>17:30</t>
  </si>
  <si>
    <t>14/08/2018</t>
  </si>
  <si>
    <t>15/08/2018</t>
  </si>
  <si>
    <t>16:00</t>
  </si>
  <si>
    <t>21:15</t>
  </si>
  <si>
    <t>16/08/2018</t>
  </si>
  <si>
    <t>17/08/2018</t>
  </si>
  <si>
    <t>18/08/2018</t>
  </si>
  <si>
    <t>19/08/2018</t>
  </si>
  <si>
    <t>20/08/2018</t>
  </si>
  <si>
    <t>21/08/2018</t>
  </si>
  <si>
    <t>22/08/2018</t>
  </si>
  <si>
    <t>23/08/2018</t>
  </si>
  <si>
    <t>24/08/2018</t>
  </si>
  <si>
    <t>25/08/2018</t>
  </si>
  <si>
    <t>26/08/2018</t>
  </si>
  <si>
    <t>27/08/2018</t>
  </si>
  <si>
    <t>15:45</t>
  </si>
  <si>
    <t>28/08/2018</t>
  </si>
  <si>
    <t>29/08/2018</t>
  </si>
  <si>
    <t>30/08/2018</t>
  </si>
  <si>
    <t>31/08/2018</t>
  </si>
  <si>
    <t>6519,27 MW</t>
  </si>
  <si>
    <t>CELDA</t>
  </si>
  <si>
    <t>TRANSFORMADOR 2D</t>
  </si>
  <si>
    <t xml:space="preserve">El total de la producción de energía eléctrica de la empresas generadoras integrantes del COES en el mes de agosto 2018 fue de 4 221,87  GWh, lo que representa un incremento de 105,10 GWh (2,55%) en comparación con el año 2017.								
																								</t>
  </si>
  <si>
    <t xml:space="preserve">La producción de electricidad con centrales hidroeléctricas durante el mes de agosto 2018 fue de 1 974,10 GWh (12,28% mayor al registrado durante agosto del año 2017).								
								</t>
  </si>
  <si>
    <t xml:space="preserve">La producción de electricidad con centrales termoeléctricas durante el mes de agosto 2018 fue de 2 048,34 GWh, 8,05% menor al registrado durante agosto del año 2017. La participación del gas natural de Camisea fue de 44,31%, mientras que las del gas que proviene de los yacimientos de Aguaytía y Malacas fue del 3,19%, la producción con diesel, residual, carbón, biogás y bagazo tuvieron una intervención del 0,62%, 0,03%, 0,13%, 0,06%, 0,18% respectivamente.								
								</t>
  </si>
  <si>
    <t xml:space="preserve">La producción de energía eléctrica con centrales eólicas fue de 111,42 GWh y con centrales solares fue de 19,5 GWh, los cuales tuvieron una participación de 3,18% y 1,54% respectivamente.								
								</t>
  </si>
  <si>
    <t>HYDRO PATAPO</t>
  </si>
  <si>
    <t>C.H. ÁNGEL II</t>
  </si>
  <si>
    <t>C.H. ÁNGEL III</t>
  </si>
  <si>
    <t>C.H. ÁNGEL I</t>
  </si>
  <si>
    <t>C.H. HER 1</t>
  </si>
  <si>
    <t>C.T. DOÑA CATALINA</t>
  </si>
  <si>
    <t>C.H. SANTA TERESA</t>
  </si>
  <si>
    <t>C.H. PATAPO</t>
  </si>
  <si>
    <t>HYDRO PATAPO Total</t>
  </si>
  <si>
    <t>(10) Ingreso a operación comercial de la C.T. Doña. Catalina, propiedad de PETRAMAS S.A.  A apartir del 29.08.2018</t>
  </si>
  <si>
    <t>(11) Ingreso a operación comercial de la C.H. Her 1, propiedad de ENEL GENERACIÓN PERU S.A. A apartir del 30.08.2018</t>
  </si>
  <si>
    <t>(12) Ingreso a operación comercial de las C.C.H.H. Angel I, Angel II y Angel III; propiedad de GENERADORA DE ENERGÍA DEL PERU S.A. A apartir del 30.08.2019</t>
  </si>
  <si>
    <r>
      <t xml:space="preserve">C.H. CERRO DEL AGUILA </t>
    </r>
    <r>
      <rPr>
        <b/>
        <sz val="6"/>
        <color theme="1"/>
        <rFont val="Arial"/>
        <family val="2"/>
      </rPr>
      <t>(1)</t>
    </r>
  </si>
  <si>
    <r>
      <t xml:space="preserve">C.T. LA GRINGA  </t>
    </r>
    <r>
      <rPr>
        <b/>
        <sz val="6"/>
        <color theme="1"/>
        <rFont val="Arial"/>
        <family val="2"/>
      </rPr>
      <t>(2)</t>
    </r>
  </si>
  <si>
    <r>
      <t xml:space="preserve">C.S. RUBI  </t>
    </r>
    <r>
      <rPr>
        <b/>
        <sz val="6"/>
        <color theme="1"/>
        <rFont val="Arial"/>
        <family val="2"/>
      </rPr>
      <t>(3)</t>
    </r>
  </si>
  <si>
    <t>LUZ DEL SUR / INLAND  (4)</t>
  </si>
  <si>
    <r>
      <t xml:space="preserve">C.H. RENOVANDES H1  </t>
    </r>
    <r>
      <rPr>
        <b/>
        <sz val="6"/>
        <color theme="1"/>
        <rFont val="Arial"/>
        <family val="2"/>
      </rPr>
      <t>(5)</t>
    </r>
  </si>
  <si>
    <r>
      <t xml:space="preserve">C.T. OLLEROS  </t>
    </r>
    <r>
      <rPr>
        <b/>
        <sz val="6"/>
        <color theme="1"/>
        <rFont val="Arial"/>
        <family val="2"/>
      </rPr>
      <t>(6)</t>
    </r>
  </si>
  <si>
    <r>
      <t xml:space="preserve">C.S. INTIPAMPA  </t>
    </r>
    <r>
      <rPr>
        <b/>
        <sz val="6"/>
        <color theme="1"/>
        <rFont val="Arial"/>
        <family val="2"/>
      </rPr>
      <t>(7)</t>
    </r>
  </si>
  <si>
    <r>
      <t xml:space="preserve">C.E. WAYRA I  </t>
    </r>
    <r>
      <rPr>
        <b/>
        <sz val="6"/>
        <color theme="1"/>
        <rFont val="Arial"/>
        <family val="2"/>
      </rPr>
      <t>(9)</t>
    </r>
  </si>
  <si>
    <r>
      <t xml:space="preserve">C.T. DOÑA CATALINA </t>
    </r>
    <r>
      <rPr>
        <b/>
        <sz val="6"/>
        <color theme="1"/>
        <rFont val="Arial"/>
        <family val="2"/>
      </rPr>
      <t>(10)</t>
    </r>
  </si>
  <si>
    <r>
      <t xml:space="preserve">C.H. HER 1  </t>
    </r>
    <r>
      <rPr>
        <b/>
        <sz val="6"/>
        <color theme="1"/>
        <rFont val="Arial"/>
        <family val="2"/>
      </rPr>
      <t>(11)</t>
    </r>
  </si>
  <si>
    <r>
      <t xml:space="preserve">C.H. ÁNGEL I  </t>
    </r>
    <r>
      <rPr>
        <b/>
        <sz val="6"/>
        <color theme="1"/>
        <rFont val="Arial"/>
        <family val="2"/>
      </rPr>
      <t>(12)</t>
    </r>
  </si>
  <si>
    <r>
      <t xml:space="preserve">C.H. ÁNGEL II  </t>
    </r>
    <r>
      <rPr>
        <b/>
        <sz val="6"/>
        <color theme="1"/>
        <rFont val="Arial"/>
        <family val="2"/>
      </rPr>
      <t>(12)</t>
    </r>
  </si>
  <si>
    <r>
      <t xml:space="preserve">C.H. ÁNGEL III </t>
    </r>
    <r>
      <rPr>
        <b/>
        <sz val="6"/>
        <color theme="1"/>
        <rFont val="Arial"/>
        <family val="2"/>
      </rPr>
      <t xml:space="preserve"> (12)</t>
    </r>
  </si>
  <si>
    <r>
      <t xml:space="preserve">C.H. HER 1 </t>
    </r>
    <r>
      <rPr>
        <b/>
        <sz val="6"/>
        <color theme="1"/>
        <rFont val="Arial"/>
        <family val="2"/>
      </rPr>
      <t>(11)</t>
    </r>
  </si>
  <si>
    <r>
      <t xml:space="preserve">C.S. INTIPAMPA </t>
    </r>
    <r>
      <rPr>
        <b/>
        <sz val="6"/>
        <color theme="1"/>
        <rFont val="Arial"/>
        <family val="2"/>
      </rPr>
      <t>(7)</t>
    </r>
  </si>
  <si>
    <r>
      <t xml:space="preserve">C.H. ÁNGEL I </t>
    </r>
    <r>
      <rPr>
        <b/>
        <sz val="6"/>
        <color theme="1"/>
        <rFont val="Arial"/>
        <family val="2"/>
      </rPr>
      <t xml:space="preserve"> (12)</t>
    </r>
  </si>
  <si>
    <r>
      <t xml:space="preserve">C.H. ÁNGEL III  </t>
    </r>
    <r>
      <rPr>
        <b/>
        <sz val="6"/>
        <color theme="1"/>
        <rFont val="Arial"/>
        <family val="2"/>
      </rPr>
      <t>(12)</t>
    </r>
  </si>
  <si>
    <r>
      <t>C.H. CERRO DEL AGUILA</t>
    </r>
    <r>
      <rPr>
        <b/>
        <sz val="6"/>
        <color theme="1"/>
        <rFont val="Arial"/>
        <family val="2"/>
      </rPr>
      <t xml:space="preserve">  (1)</t>
    </r>
  </si>
  <si>
    <r>
      <t xml:space="preserve">C.T. DOÑA CATALINA </t>
    </r>
    <r>
      <rPr>
        <b/>
        <sz val="6"/>
        <color theme="1"/>
        <rFont val="Arial"/>
        <family val="2"/>
      </rPr>
      <t xml:space="preserve"> (10)</t>
    </r>
  </si>
  <si>
    <t>LUZ DEL SUR / INLAND  Total</t>
  </si>
  <si>
    <t>VOLUMEN  UTIL
31-08-2018</t>
  </si>
  <si>
    <t>VOLUMEN UTIL
31-08-2017</t>
  </si>
  <si>
    <t>Lagunas Rajucolta (ORAZUL)</t>
  </si>
  <si>
    <t>L-2205  L-2206</t>
  </si>
  <si>
    <t>L-2232</t>
  </si>
  <si>
    <t>L-2244  L-2245</t>
  </si>
  <si>
    <t>T62-161  T6-261</t>
  </si>
  <si>
    <t>POMACOCHA - SAN JUAN</t>
  </si>
  <si>
    <t>TRUJILLO NORTE - CHIMBOTE 1</t>
  </si>
  <si>
    <t>CHAVARRÍA - VENTANILLA</t>
  </si>
  <si>
    <r>
      <t>144,48</t>
    </r>
    <r>
      <rPr>
        <vertAlign val="superscript"/>
        <sz val="6"/>
        <rFont val="Arial"/>
        <family val="2"/>
      </rPr>
      <t>(1)</t>
    </r>
  </si>
  <si>
    <r>
      <t>123,61</t>
    </r>
    <r>
      <rPr>
        <vertAlign val="superscript"/>
        <sz val="6"/>
        <rFont val="Arial"/>
        <family val="2"/>
      </rPr>
      <t>(2)</t>
    </r>
  </si>
  <si>
    <r>
      <t>103,95</t>
    </r>
    <r>
      <rPr>
        <vertAlign val="superscript"/>
        <sz val="6"/>
        <rFont val="Arial"/>
        <family val="2"/>
      </rPr>
      <t>(3)</t>
    </r>
  </si>
  <si>
    <r>
      <t>44,54</t>
    </r>
    <r>
      <rPr>
        <vertAlign val="superscript"/>
        <sz val="6"/>
        <color theme="1"/>
        <rFont val="Arial"/>
        <family val="2"/>
      </rPr>
      <t>(1)</t>
    </r>
  </si>
  <si>
    <r>
      <t>132,30</t>
    </r>
    <r>
      <rPr>
        <vertAlign val="superscript"/>
        <sz val="6"/>
        <rFont val="Arial"/>
        <family val="2"/>
      </rPr>
      <t>(1)</t>
    </r>
  </si>
  <si>
    <t>ENEL GENERACIÓN PERU</t>
  </si>
  <si>
    <t>Viento</t>
  </si>
  <si>
    <t>M.C.I.</t>
  </si>
  <si>
    <t>C.T. Doña Catalina</t>
  </si>
  <si>
    <t>C.H. Her I</t>
  </si>
  <si>
    <t>C.H. Angel I</t>
  </si>
  <si>
    <t>C.H. Angel II</t>
  </si>
  <si>
    <t>C.H. Angel III</t>
  </si>
  <si>
    <t>G3 ; G4</t>
  </si>
  <si>
    <t>G1 ; G2</t>
  </si>
  <si>
    <t>29.08.2018</t>
  </si>
  <si>
    <t>30.08.2018</t>
  </si>
  <si>
    <t>Central a Biogás</t>
  </si>
  <si>
    <t>Turbina de Vapor (*)</t>
  </si>
  <si>
    <t>Turbina StreamDiver</t>
  </si>
  <si>
    <t xml:space="preserve">● Los valores de Potencia Efectiva de las centrales corresponden a la declaración de sus propietarios en los ingresos de operación comercial.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</si>
</sst>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s>
  <fonts count="82">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sz val="7"/>
      <color theme="0"/>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theme="0"/>
      <name val="Arial"/>
      <family val="2"/>
    </font>
    <font>
      <sz val="5"/>
      <color rgb="FFA3A3A3"/>
      <name val="Arial"/>
      <family val="2"/>
    </font>
    <font>
      <sz val="8"/>
      <color rgb="FFA3A3A3"/>
      <name val="Arial"/>
      <family val="2"/>
    </font>
    <font>
      <b/>
      <sz val="5"/>
      <color rgb="FFA3A3A3"/>
      <name val="Arial"/>
      <family val="2"/>
    </font>
    <font>
      <sz val="5"/>
      <color theme="1"/>
      <name val="Arial"/>
      <family val="2"/>
    </font>
    <font>
      <b/>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sz val="5"/>
      <color theme="1" tint="0.249977111117893"/>
      <name val="Arial"/>
      <family val="2"/>
    </font>
    <font>
      <vertAlign val="superscript"/>
      <sz val="6"/>
      <name val="Arial"/>
      <family val="2"/>
    </font>
    <font>
      <vertAlign val="superscript"/>
      <sz val="6"/>
      <color theme="1"/>
      <name val="Arial"/>
      <family val="2"/>
    </font>
    <font>
      <b/>
      <sz val="12"/>
      <color rgb="FF1F2532"/>
      <name val="Calibri"/>
      <family val="2"/>
    </font>
  </fonts>
  <fills count="13">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indexed="13"/>
        <bgColor indexed="64"/>
      </patternFill>
    </fill>
    <fill>
      <patternFill patternType="solid">
        <fgColor theme="4" tint="-0.24997711111789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s>
  <borders count="144">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top/>
      <bottom style="hair">
        <color theme="3" tint="0.39991454817346722"/>
      </bottom>
      <diagonal/>
    </border>
    <border>
      <left style="hair">
        <color theme="3" tint="0.39988402966399123"/>
      </left>
      <right style="hair">
        <color theme="3" tint="0.39988402966399123"/>
      </right>
      <top/>
      <bottom style="hair">
        <color theme="3" tint="0.39988402966399123"/>
      </bottom>
      <diagonal/>
    </border>
    <border>
      <left/>
      <right style="thin">
        <color theme="3" tint="0.39991454817346722"/>
      </right>
      <top/>
      <bottom style="hair">
        <color theme="3" tint="0.39991454817346722"/>
      </bottom>
      <diagonal/>
    </border>
    <border>
      <left style="thin">
        <color theme="3" tint="0.39994506668294322"/>
      </left>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88402966399123"/>
      </top>
      <bottom style="hair">
        <color theme="3" tint="0.39988402966399123"/>
      </bottom>
      <diagonal/>
    </border>
    <border>
      <left/>
      <right style="thin">
        <color theme="3" tint="0.39991454817346722"/>
      </right>
      <top style="hair">
        <color theme="3" tint="0.39991454817346722"/>
      </top>
      <bottom style="hair">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4506668294322"/>
      </left>
      <right/>
      <top style="hair">
        <color theme="3" tint="0.39991454817346722"/>
      </top>
      <bottom style="thin">
        <color theme="3" tint="0.39991454817346722"/>
      </bottom>
      <diagonal/>
    </border>
    <border>
      <left style="hair">
        <color theme="3" tint="0.39988402966399123"/>
      </left>
      <right style="hair">
        <color theme="3" tint="0.39988402966399123"/>
      </right>
      <top style="hair">
        <color theme="3" tint="0.39988402966399123"/>
      </top>
      <bottom style="thin">
        <color theme="3" tint="0.39991454817346722"/>
      </bottom>
      <diagonal/>
    </border>
    <border>
      <left/>
      <right style="thin">
        <color theme="3" tint="0.39991454817346722"/>
      </right>
      <top style="hair">
        <color theme="3" tint="0.399914548173467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style="hair">
        <color theme="3" tint="0.3999145481734672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hair">
        <color theme="3" tint="0.39991454817346722"/>
      </left>
      <right style="hair">
        <color theme="3" tint="0.39991454817346722"/>
      </right>
      <top style="hair">
        <color theme="3" tint="0.39991454817346722"/>
      </top>
      <bottom/>
      <diagonal/>
    </border>
    <border>
      <left style="hair">
        <color theme="3" tint="0.39991454817346722"/>
      </left>
      <right style="hair">
        <color theme="3" tint="0.39991454817346722"/>
      </right>
      <top/>
      <bottom style="hair">
        <color theme="3" tint="0.39991454817346722"/>
      </bottom>
      <diagonal/>
    </border>
    <border>
      <left/>
      <right/>
      <top/>
      <bottom style="hair">
        <color theme="3" tint="0.39991454817346722"/>
      </bottom>
      <diagonal/>
    </border>
    <border>
      <left/>
      <right/>
      <top style="hair">
        <color theme="3" tint="0.39991454817346722"/>
      </top>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right/>
      <top style="thin">
        <color theme="4"/>
      </top>
      <bottom/>
      <diagonal/>
    </border>
    <border>
      <left/>
      <right style="thin">
        <color theme="4"/>
      </right>
      <top style="thin">
        <color theme="4"/>
      </top>
      <bottom/>
      <diagonal/>
    </border>
    <border>
      <left style="thin">
        <color theme="4"/>
      </left>
      <right/>
      <top/>
      <bottom style="thin">
        <color theme="4" tint="0.39997558519241921"/>
      </bottom>
      <diagonal/>
    </border>
    <border>
      <left/>
      <right style="thin">
        <color theme="4"/>
      </right>
      <top/>
      <bottom/>
      <diagonal/>
    </border>
    <border>
      <left style="thin">
        <color theme="4"/>
      </left>
      <right/>
      <top/>
      <bottom/>
      <diagonal/>
    </border>
    <border>
      <left style="thin">
        <color theme="4"/>
      </left>
      <right/>
      <top style="thin">
        <color theme="4"/>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4"/>
      </left>
      <right style="thin">
        <color theme="0"/>
      </right>
      <top style="thin">
        <color theme="4"/>
      </top>
      <bottom style="thin">
        <color theme="0"/>
      </bottom>
      <diagonal/>
    </border>
    <border>
      <left style="thin">
        <color theme="0"/>
      </left>
      <right style="thin">
        <color theme="0"/>
      </right>
      <top style="thin">
        <color theme="4"/>
      </top>
      <bottom style="thin">
        <color theme="0"/>
      </bottom>
      <diagonal/>
    </border>
    <border>
      <left style="thin">
        <color theme="0"/>
      </left>
      <right style="thin">
        <color theme="4"/>
      </right>
      <top style="thin">
        <color theme="4"/>
      </top>
      <bottom style="thin">
        <color theme="0"/>
      </bottom>
      <diagonal/>
    </border>
    <border>
      <left style="thin">
        <color theme="4"/>
      </left>
      <right style="thin">
        <color theme="0"/>
      </right>
      <top style="thin">
        <color theme="0"/>
      </top>
      <bottom style="thin">
        <color theme="0"/>
      </bottom>
      <diagonal/>
    </border>
    <border>
      <left style="thin">
        <color theme="0"/>
      </left>
      <right style="thin">
        <color theme="4"/>
      </right>
      <top style="thin">
        <color theme="0"/>
      </top>
      <bottom style="thin">
        <color theme="0"/>
      </bottom>
      <diagonal/>
    </border>
    <border>
      <left style="thin">
        <color theme="4"/>
      </left>
      <right style="thin">
        <color theme="0"/>
      </right>
      <top style="thin">
        <color theme="0"/>
      </top>
      <bottom style="thin">
        <color theme="4"/>
      </bottom>
      <diagonal/>
    </border>
    <border>
      <left style="thin">
        <color theme="0"/>
      </left>
      <right style="thin">
        <color theme="0"/>
      </right>
      <top style="thin">
        <color theme="0"/>
      </top>
      <bottom style="thin">
        <color theme="4"/>
      </bottom>
      <diagonal/>
    </border>
    <border>
      <left style="thin">
        <color theme="0"/>
      </left>
      <right style="thin">
        <color theme="4"/>
      </right>
      <top style="thin">
        <color theme="0"/>
      </top>
      <bottom style="thin">
        <color theme="4"/>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4"/>
      </right>
      <top style="thin">
        <color theme="0" tint="-0.14996795556505021"/>
      </top>
      <bottom style="thin">
        <color theme="0" tint="-0.14996795556505021"/>
      </bottom>
      <diagonal/>
    </border>
    <border>
      <left style="thin">
        <color theme="4"/>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4"/>
      </right>
      <top style="thin">
        <color theme="0" tint="-0.14996795556505021"/>
      </top>
      <bottom/>
      <diagonal/>
    </border>
    <border>
      <left style="thin">
        <color theme="4"/>
      </left>
      <right style="thin">
        <color theme="0" tint="-0.14996795556505021"/>
      </right>
      <top style="thin">
        <color theme="4"/>
      </top>
      <bottom style="thin">
        <color theme="0" tint="-0.14996795556505021"/>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theme="0" tint="-0.14996795556505021"/>
      </left>
      <right style="thin">
        <color theme="4"/>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right/>
      <top style="thin">
        <color theme="0" tint="-0.14996795556505021"/>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170" fontId="5" fillId="0" borderId="0"/>
    <xf numFmtId="172" fontId="35" fillId="0" borderId="0"/>
    <xf numFmtId="0" fontId="39" fillId="0" borderId="0"/>
    <xf numFmtId="0" fontId="39" fillId="0" borderId="0"/>
  </cellStyleXfs>
  <cellXfs count="995">
    <xf numFmtId="0" fontId="0" fillId="0" borderId="0" xfId="0"/>
    <xf numFmtId="0" fontId="0" fillId="0" borderId="0" xfId="0" applyBorder="1"/>
    <xf numFmtId="0" fontId="5" fillId="0" borderId="0" xfId="0" quotePrefix="1" applyNumberFormat="1" applyFont="1" applyFill="1" applyBorder="1" applyAlignment="1">
      <alignment horizontal="left" vertical="center"/>
    </xf>
    <xf numFmtId="0" fontId="0" fillId="0" borderId="0" xfId="0" applyFont="1"/>
    <xf numFmtId="1" fontId="7" fillId="0" borderId="0" xfId="0" applyNumberFormat="1" applyFont="1" applyFill="1" applyBorder="1" applyAlignment="1">
      <alignment horizontal="centerContinuous"/>
    </xf>
    <xf numFmtId="0" fontId="7" fillId="0" borderId="0" xfId="0" applyFont="1" applyBorder="1"/>
    <xf numFmtId="1" fontId="7" fillId="0" borderId="0" xfId="0" applyNumberFormat="1" applyFont="1" applyFill="1" applyBorder="1"/>
    <xf numFmtId="1" fontId="7" fillId="0" borderId="0" xfId="0" applyNumberFormat="1" applyFont="1" applyFill="1" applyBorder="1" applyAlignment="1">
      <alignment horizontal="right"/>
    </xf>
    <xf numFmtId="164" fontId="7" fillId="0" borderId="0" xfId="0" applyNumberFormat="1" applyFont="1" applyFill="1" applyBorder="1" applyAlignment="1">
      <alignment horizontal="right"/>
    </xf>
    <xf numFmtId="166" fontId="7" fillId="0" borderId="0" xfId="2" applyNumberFormat="1" applyFont="1" applyFill="1" applyBorder="1" applyAlignment="1">
      <alignment horizontal="right"/>
    </xf>
    <xf numFmtId="49" fontId="7" fillId="0" borderId="0" xfId="0" applyNumberFormat="1" applyFont="1" applyBorder="1" applyAlignment="1">
      <alignment horizontal="right"/>
    </xf>
    <xf numFmtId="0" fontId="7" fillId="0" borderId="0" xfId="0" quotePrefix="1" applyFont="1" applyFill="1" applyBorder="1" applyAlignment="1">
      <alignment horizontal="left" vertical="center"/>
    </xf>
    <xf numFmtId="49" fontId="7"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8" fillId="0" borderId="0" xfId="0" applyFont="1"/>
    <xf numFmtId="0" fontId="8" fillId="0" borderId="0" xfId="0" applyFont="1" applyBorder="1"/>
    <xf numFmtId="1" fontId="7" fillId="0" borderId="0" xfId="0" applyNumberFormat="1" applyFont="1" applyFill="1" applyBorder="1" applyAlignment="1">
      <alignment horizontal="center"/>
    </xf>
    <xf numFmtId="1" fontId="7" fillId="0" borderId="0" xfId="0" applyNumberFormat="1" applyFont="1" applyFill="1" applyBorder="1" applyAlignment="1">
      <alignment horizontal="left"/>
    </xf>
    <xf numFmtId="49" fontId="7" fillId="0" borderId="0" xfId="0" applyNumberFormat="1" applyFont="1" applyFill="1" applyBorder="1" applyAlignment="1">
      <alignment horizontal="left"/>
    </xf>
    <xf numFmtId="49" fontId="7" fillId="0" borderId="0" xfId="0" applyNumberFormat="1" applyFont="1" applyBorder="1" applyAlignment="1">
      <alignment horizontal="left"/>
    </xf>
    <xf numFmtId="49" fontId="7" fillId="0" borderId="0" xfId="0" applyNumberFormat="1" applyFont="1" applyFill="1" applyBorder="1" applyAlignment="1">
      <alignment horizontal="center"/>
    </xf>
    <xf numFmtId="49" fontId="7" fillId="0" borderId="0" xfId="0" applyNumberFormat="1" applyFont="1" applyBorder="1" applyAlignment="1">
      <alignment horizontal="center"/>
    </xf>
    <xf numFmtId="164" fontId="7" fillId="0" borderId="0" xfId="0" applyNumberFormat="1" applyFont="1" applyFill="1" applyBorder="1" applyAlignment="1">
      <alignment horizontal="center"/>
    </xf>
    <xf numFmtId="0" fontId="5" fillId="2" borderId="0" xfId="0" applyFont="1" applyFill="1" applyBorder="1"/>
    <xf numFmtId="0" fontId="4" fillId="2" borderId="0" xfId="0" applyNumberFormat="1" applyFont="1" applyFill="1" applyBorder="1" applyAlignment="1">
      <alignment horizontal="center"/>
    </xf>
    <xf numFmtId="0" fontId="5" fillId="2" borderId="0" xfId="0" applyNumberFormat="1" applyFont="1" applyFill="1" applyBorder="1"/>
    <xf numFmtId="1" fontId="13" fillId="0" borderId="0" xfId="0" applyNumberFormat="1" applyFont="1" applyFill="1" applyBorder="1" applyAlignment="1">
      <alignment horizontal="right"/>
    </xf>
    <xf numFmtId="0" fontId="13" fillId="0" borderId="0" xfId="0" quotePrefix="1" applyFont="1" applyFill="1" applyBorder="1" applyAlignment="1">
      <alignment horizontal="left"/>
    </xf>
    <xf numFmtId="0" fontId="13" fillId="0" borderId="1" xfId="0" applyFont="1" applyBorder="1"/>
    <xf numFmtId="49" fontId="13" fillId="0" borderId="0" xfId="0" applyNumberFormat="1" applyFont="1" applyFill="1" applyBorder="1" applyAlignment="1">
      <alignment horizontal="center"/>
    </xf>
    <xf numFmtId="1" fontId="13" fillId="0" borderId="0" xfId="0" applyNumberFormat="1" applyFont="1" applyFill="1" applyBorder="1"/>
    <xf numFmtId="1" fontId="13" fillId="0" borderId="0" xfId="0" applyNumberFormat="1" applyFont="1" applyFill="1" applyBorder="1" applyAlignment="1">
      <alignment horizontal="center"/>
    </xf>
    <xf numFmtId="0" fontId="13" fillId="0" borderId="0" xfId="0" applyFont="1" applyBorder="1"/>
    <xf numFmtId="164" fontId="13" fillId="0" borderId="0" xfId="0" applyNumberFormat="1" applyFont="1" applyFill="1" applyBorder="1" applyAlignment="1">
      <alignment horizontal="right"/>
    </xf>
    <xf numFmtId="49" fontId="13" fillId="0" borderId="0" xfId="0" applyNumberFormat="1" applyFont="1" applyBorder="1" applyAlignment="1">
      <alignment horizontal="center"/>
    </xf>
    <xf numFmtId="0" fontId="14" fillId="0" borderId="0" xfId="0" quotePrefix="1" applyFont="1" applyFill="1" applyBorder="1" applyAlignment="1">
      <alignment horizontal="right"/>
    </xf>
    <xf numFmtId="164" fontId="13" fillId="0" borderId="1" xfId="0" applyNumberFormat="1" applyFont="1" applyFill="1" applyBorder="1" applyAlignment="1">
      <alignment horizontal="right"/>
    </xf>
    <xf numFmtId="0" fontId="13" fillId="0" borderId="0" xfId="0" applyFont="1" applyBorder="1" applyAlignment="1"/>
    <xf numFmtId="166" fontId="13" fillId="0" borderId="0" xfId="2" applyNumberFormat="1" applyFont="1" applyFill="1" applyBorder="1" applyAlignment="1">
      <alignment horizontal="right"/>
    </xf>
    <xf numFmtId="164" fontId="13" fillId="0" borderId="0" xfId="0" applyNumberFormat="1" applyFont="1" applyFill="1" applyBorder="1" applyAlignment="1">
      <alignment horizontal="center"/>
    </xf>
    <xf numFmtId="0" fontId="13" fillId="0" borderId="0" xfId="0" quotePrefix="1" applyFont="1" applyFill="1" applyBorder="1" applyAlignment="1">
      <alignment horizontal="left" vertical="center"/>
    </xf>
    <xf numFmtId="164" fontId="13" fillId="0" borderId="0" xfId="0" applyNumberFormat="1" applyFont="1" applyFill="1" applyBorder="1" applyAlignment="1">
      <alignment horizontal="left"/>
    </xf>
    <xf numFmtId="1" fontId="13" fillId="0" borderId="1" xfId="0" applyNumberFormat="1" applyFont="1" applyFill="1" applyBorder="1"/>
    <xf numFmtId="165" fontId="13" fillId="0" borderId="0" xfId="0" applyNumberFormat="1" applyFont="1" applyFill="1" applyBorder="1" applyAlignment="1">
      <alignment horizontal="right"/>
    </xf>
    <xf numFmtId="1" fontId="13" fillId="0" borderId="0" xfId="0" applyNumberFormat="1" applyFont="1" applyFill="1" applyBorder="1" applyAlignment="1">
      <alignment horizontal="left"/>
    </xf>
    <xf numFmtId="0" fontId="11" fillId="0" borderId="0" xfId="0" applyFont="1" applyBorder="1" applyAlignment="1">
      <alignment vertical="center"/>
    </xf>
    <xf numFmtId="0" fontId="7" fillId="0" borderId="0" xfId="0" applyFont="1" applyFill="1" applyBorder="1"/>
    <xf numFmtId="0" fontId="7" fillId="0" borderId="0" xfId="0" applyFont="1" applyFill="1" applyBorder="1" applyAlignment="1">
      <alignment horizontal="left"/>
    </xf>
    <xf numFmtId="0" fontId="0" fillId="0" borderId="0" xfId="0" applyFont="1" applyBorder="1" applyAlignment="1">
      <alignment horizontal="center"/>
    </xf>
    <xf numFmtId="0" fontId="9" fillId="2" borderId="0" xfId="0" applyFont="1" applyFill="1" applyBorder="1"/>
    <xf numFmtId="0" fontId="0" fillId="0" borderId="0" xfId="0" applyFont="1" applyFill="1"/>
    <xf numFmtId="0" fontId="15" fillId="0" borderId="0" xfId="0" applyFont="1" applyFill="1" applyBorder="1" applyAlignment="1">
      <alignment vertical="center"/>
    </xf>
    <xf numFmtId="17"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43" fontId="15" fillId="0" borderId="0" xfId="1" applyFont="1" applyFill="1" applyBorder="1" applyAlignment="1">
      <alignment vertical="center"/>
    </xf>
    <xf numFmtId="0" fontId="15" fillId="0" borderId="0" xfId="0" applyFont="1" applyFill="1" applyBorder="1" applyAlignment="1">
      <alignment horizontal="center" vertical="center"/>
    </xf>
    <xf numFmtId="0" fontId="9" fillId="0" borderId="0" xfId="0" applyFont="1" applyFill="1" applyBorder="1" applyAlignment="1">
      <alignment vertical="center"/>
    </xf>
    <xf numFmtId="0" fontId="5" fillId="0" borderId="0" xfId="0" applyFont="1" applyFill="1" applyBorder="1" applyAlignment="1">
      <alignment horizontal="center" vertical="center"/>
    </xf>
    <xf numFmtId="0" fontId="8" fillId="0" borderId="0" xfId="0" applyFont="1" applyFill="1" applyBorder="1"/>
    <xf numFmtId="0" fontId="8" fillId="0" borderId="0" xfId="0" applyFont="1" applyFill="1"/>
    <xf numFmtId="0" fontId="15" fillId="0" borderId="0" xfId="0" applyNumberFormat="1" applyFont="1" applyFill="1" applyBorder="1" applyAlignment="1">
      <alignment horizontal="center" vertical="center"/>
    </xf>
    <xf numFmtId="0" fontId="0" fillId="0" borderId="0" xfId="0" applyFont="1" applyFill="1" applyAlignment="1">
      <alignment vertical="center"/>
    </xf>
    <xf numFmtId="0" fontId="9" fillId="0" borderId="0" xfId="0" applyFont="1" applyFill="1" applyBorder="1" applyAlignment="1">
      <alignment vertical="center" wrapText="1"/>
    </xf>
    <xf numFmtId="43" fontId="9" fillId="0" borderId="0" xfId="1" applyFont="1" applyFill="1" applyBorder="1" applyAlignment="1">
      <alignment vertical="center" wrapText="1"/>
    </xf>
    <xf numFmtId="0" fontId="15" fillId="0" borderId="0" xfId="0" applyFont="1" applyFill="1" applyBorder="1" applyAlignment="1">
      <alignment vertical="center" wrapText="1"/>
    </xf>
    <xf numFmtId="0" fontId="9" fillId="0" borderId="0" xfId="0" applyFont="1" applyFill="1" applyBorder="1" applyAlignment="1">
      <alignment horizontal="justify" vertical="center"/>
    </xf>
    <xf numFmtId="0" fontId="9" fillId="0" borderId="0" xfId="0" quotePrefix="1" applyFont="1" applyFill="1" applyBorder="1" applyAlignment="1">
      <alignment horizontal="left" vertical="center"/>
    </xf>
    <xf numFmtId="0" fontId="9" fillId="0" borderId="0" xfId="0" quotePrefix="1" applyNumberFormat="1" applyFont="1" applyFill="1" applyBorder="1" applyAlignment="1">
      <alignment vertical="center" wrapText="1"/>
    </xf>
    <xf numFmtId="0" fontId="9"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5" fillId="0" borderId="0" xfId="0" applyFont="1" applyFill="1" applyBorder="1" applyAlignment="1">
      <alignment vertical="center"/>
    </xf>
    <xf numFmtId="0" fontId="10" fillId="0" borderId="0" xfId="0" applyFont="1" applyFill="1" applyBorder="1" applyAlignment="1">
      <alignment horizontal="left" vertical="center" wrapText="1"/>
    </xf>
    <xf numFmtId="0" fontId="7" fillId="0" borderId="0" xfId="0" applyFont="1" applyFill="1" applyBorder="1" applyAlignment="1">
      <alignment vertical="center"/>
    </xf>
    <xf numFmtId="165"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center" vertical="center"/>
    </xf>
    <xf numFmtId="0" fontId="8" fillId="0" borderId="0" xfId="0" applyFont="1" applyFill="1" applyBorder="1" applyAlignment="1">
      <alignment vertical="center"/>
    </xf>
    <xf numFmtId="0" fontId="8" fillId="0" borderId="0" xfId="0" applyFont="1" applyFill="1" applyAlignment="1">
      <alignment vertical="center"/>
    </xf>
    <xf numFmtId="0" fontId="17" fillId="0" borderId="0" xfId="0" applyFont="1" applyFill="1" applyBorder="1" applyAlignment="1">
      <alignment vertical="center"/>
    </xf>
    <xf numFmtId="0" fontId="9" fillId="0" borderId="0" xfId="0" quotePrefix="1" applyFont="1" applyFill="1" applyBorder="1" applyAlignment="1">
      <alignment horizontal="right" vertical="top"/>
    </xf>
    <xf numFmtId="0" fontId="15" fillId="0" borderId="0" xfId="0" quotePrefix="1" applyFont="1" applyFill="1" applyBorder="1" applyAlignment="1">
      <alignment horizontal="right" vertical="top"/>
    </xf>
    <xf numFmtId="0" fontId="15" fillId="0" borderId="0" xfId="0" applyFont="1" applyFill="1" applyBorder="1" applyAlignment="1">
      <alignment vertical="top"/>
    </xf>
    <xf numFmtId="0" fontId="8" fillId="0" borderId="0" xfId="0" applyFont="1" applyFill="1" applyBorder="1" applyAlignment="1">
      <alignment horizontal="left" vertical="center" wrapText="1"/>
    </xf>
    <xf numFmtId="0" fontId="18" fillId="0" borderId="0" xfId="0" applyNumberFormat="1" applyFont="1" applyFill="1" applyBorder="1" applyAlignment="1">
      <alignment vertical="center"/>
    </xf>
    <xf numFmtId="0" fontId="5" fillId="2" borderId="0" xfId="0" applyNumberFormat="1" applyFont="1" applyFill="1" applyAlignment="1">
      <alignment horizontal="left"/>
    </xf>
    <xf numFmtId="0" fontId="5" fillId="2" borderId="0" xfId="0" applyNumberFormat="1" applyFont="1" applyFill="1"/>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NumberFormat="1" applyFont="1" applyFill="1" applyAlignment="1">
      <alignment horizontal="centerContinuous"/>
    </xf>
    <xf numFmtId="0" fontId="5" fillId="2" borderId="0" xfId="0" applyNumberFormat="1" applyFont="1" applyFill="1" applyAlignment="1">
      <alignment horizontal="centerContinuous"/>
    </xf>
    <xf numFmtId="0" fontId="10" fillId="2" borderId="0" xfId="0" applyNumberFormat="1" applyFont="1" applyFill="1" applyBorder="1" applyAlignment="1">
      <alignment horizontal="right"/>
    </xf>
    <xf numFmtId="167" fontId="5" fillId="0" borderId="0" xfId="0" applyNumberFormat="1" applyFont="1" applyFill="1" applyBorder="1" applyAlignment="1">
      <alignment horizontal="right" vertical="center"/>
    </xf>
    <xf numFmtId="0" fontId="5" fillId="2" borderId="0" xfId="0" applyNumberFormat="1" applyFont="1" applyFill="1" applyBorder="1" applyAlignment="1">
      <alignment horizontal="right"/>
    </xf>
    <xf numFmtId="0" fontId="5" fillId="2" borderId="0" xfId="0" quotePrefix="1" applyNumberFormat="1" applyFont="1" applyFill="1" applyBorder="1" applyAlignment="1">
      <alignment horizontal="left" vertical="top"/>
    </xf>
    <xf numFmtId="0" fontId="5" fillId="0" borderId="0" xfId="0" applyNumberFormat="1" applyFont="1" applyFill="1" applyAlignment="1">
      <alignment vertical="center"/>
    </xf>
    <xf numFmtId="0" fontId="5" fillId="2" borderId="0" xfId="0" quotePrefix="1" applyNumberFormat="1" applyFont="1" applyFill="1" applyBorder="1" applyAlignment="1">
      <alignment horizontal="left" vertical="center"/>
    </xf>
    <xf numFmtId="0" fontId="0" fillId="0" borderId="0" xfId="0" applyFont="1" applyAlignment="1">
      <alignment vertical="center"/>
    </xf>
    <xf numFmtId="0" fontId="5" fillId="2" borderId="0" xfId="0" applyNumberFormat="1" applyFont="1" applyFill="1" applyAlignment="1">
      <alignment horizontal="left" vertical="center"/>
    </xf>
    <xf numFmtId="0" fontId="5" fillId="2" borderId="0" xfId="0" applyNumberFormat="1" applyFont="1" applyFill="1" applyAlignment="1">
      <alignment vertical="center"/>
    </xf>
    <xf numFmtId="17" fontId="5" fillId="2" borderId="0" xfId="0" applyNumberFormat="1" applyFont="1" applyFill="1" applyAlignment="1">
      <alignment horizontal="centerContinuous" vertical="center"/>
    </xf>
    <xf numFmtId="0" fontId="4" fillId="2" borderId="0" xfId="0" applyNumberFormat="1" applyFont="1" applyFill="1" applyAlignment="1">
      <alignment horizontal="centerContinuous" vertical="center"/>
    </xf>
    <xf numFmtId="0" fontId="5" fillId="2" borderId="0" xfId="0" applyNumberFormat="1" applyFont="1" applyFill="1" applyAlignment="1">
      <alignment horizontal="centerContinuous" vertical="center"/>
    </xf>
    <xf numFmtId="0" fontId="10" fillId="2" borderId="0" xfId="0" applyNumberFormat="1" applyFont="1" applyFill="1" applyBorder="1" applyAlignment="1">
      <alignment horizontal="right" vertical="center"/>
    </xf>
    <xf numFmtId="0" fontId="5" fillId="2" borderId="0" xfId="0" applyNumberFormat="1" applyFont="1" applyFill="1" applyBorder="1" applyAlignment="1">
      <alignment horizontal="right" vertical="center"/>
    </xf>
    <xf numFmtId="0" fontId="5" fillId="0" borderId="0" xfId="0" applyNumberFormat="1" applyFont="1" applyFill="1" applyAlignment="1">
      <alignment horizontal="left" vertical="center"/>
    </xf>
    <xf numFmtId="17" fontId="4" fillId="0" borderId="0" xfId="0" quotePrefix="1" applyNumberFormat="1" applyFont="1" applyFill="1" applyAlignment="1">
      <alignment horizontal="left" vertical="center"/>
    </xf>
    <xf numFmtId="17" fontId="5" fillId="0" borderId="0" xfId="0" applyNumberFormat="1" applyFont="1" applyFill="1" applyAlignment="1">
      <alignment horizontal="left" vertical="center"/>
    </xf>
    <xf numFmtId="0" fontId="4" fillId="0" borderId="0" xfId="0" applyNumberFormat="1" applyFont="1" applyFill="1" applyAlignment="1">
      <alignment horizontal="left" vertical="center"/>
    </xf>
    <xf numFmtId="0" fontId="10" fillId="0" borderId="0" xfId="0" applyNumberFormat="1" applyFont="1" applyFill="1" applyBorder="1" applyAlignment="1">
      <alignment horizontal="left" vertical="center"/>
    </xf>
    <xf numFmtId="43" fontId="4" fillId="0" borderId="0" xfId="1" quotePrefix="1" applyFont="1" applyFill="1" applyAlignment="1">
      <alignment horizontal="center" vertical="center"/>
    </xf>
    <xf numFmtId="17" fontId="5" fillId="0" borderId="0" xfId="0" applyNumberFormat="1" applyFont="1" applyFill="1" applyAlignment="1">
      <alignment horizontal="centerContinuous" vertical="center"/>
    </xf>
    <xf numFmtId="0" fontId="4" fillId="0" borderId="0" xfId="0" applyNumberFormat="1" applyFont="1" applyFill="1" applyAlignment="1">
      <alignment horizontal="centerContinuous" vertical="center"/>
    </xf>
    <xf numFmtId="0" fontId="5" fillId="0" borderId="0" xfId="0" applyNumberFormat="1" applyFont="1" applyFill="1" applyAlignment="1">
      <alignment horizontal="centerContinuous" vertical="center"/>
    </xf>
    <xf numFmtId="0" fontId="10" fillId="0" borderId="0" xfId="0" applyNumberFormat="1" applyFont="1" applyFill="1" applyBorder="1" applyAlignment="1">
      <alignment horizontal="right" vertical="center"/>
    </xf>
    <xf numFmtId="17" fontId="20"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xf>
    <xf numFmtId="0" fontId="5" fillId="0" borderId="0" xfId="0" applyNumberFormat="1" applyFont="1" applyFill="1" applyBorder="1" applyAlignment="1">
      <alignment horizontal="right" vertical="center"/>
    </xf>
    <xf numFmtId="0" fontId="20" fillId="0" borderId="0" xfId="0" quotePrefix="1" applyNumberFormat="1" applyFont="1" applyFill="1" applyBorder="1" applyAlignment="1">
      <alignment horizontal="left" vertical="center"/>
    </xf>
    <xf numFmtId="0" fontId="19" fillId="0" borderId="0" xfId="0" quotePrefix="1" applyNumberFormat="1" applyFont="1" applyFill="1" applyBorder="1" applyAlignment="1">
      <alignment horizontal="left" vertical="center"/>
    </xf>
    <xf numFmtId="17" fontId="19" fillId="0" borderId="0" xfId="0" applyNumberFormat="1" applyFont="1" applyFill="1" applyBorder="1" applyAlignment="1">
      <alignment horizontal="center" vertical="center"/>
    </xf>
    <xf numFmtId="0" fontId="19" fillId="0" borderId="0" xfId="0" applyNumberFormat="1" applyFont="1" applyFill="1" applyBorder="1" applyAlignment="1">
      <alignment horizontal="center" vertical="center" wrapText="1"/>
    </xf>
    <xf numFmtId="168" fontId="19" fillId="0" borderId="0" xfId="0" applyNumberFormat="1" applyFont="1" applyFill="1" applyBorder="1" applyAlignment="1">
      <alignment horizontal="center" vertical="center"/>
    </xf>
    <xf numFmtId="0" fontId="19" fillId="0" borderId="0" xfId="0" quotePrefix="1" applyNumberFormat="1" applyFont="1" applyFill="1" applyBorder="1" applyAlignment="1">
      <alignment horizontal="center" vertical="center"/>
    </xf>
    <xf numFmtId="166" fontId="4" fillId="0" borderId="0" xfId="2" applyNumberFormat="1" applyFont="1" applyFill="1" applyBorder="1" applyAlignment="1">
      <alignment horizontal="right" vertical="center"/>
    </xf>
    <xf numFmtId="166" fontId="4" fillId="0" borderId="0" xfId="0" applyNumberFormat="1" applyFont="1" applyFill="1" applyBorder="1" applyAlignment="1">
      <alignment horizontal="right" vertical="center"/>
    </xf>
    <xf numFmtId="0" fontId="4" fillId="0" borderId="0" xfId="0" quotePrefix="1" applyNumberFormat="1" applyFont="1" applyFill="1" applyBorder="1" applyAlignment="1">
      <alignment horizontal="left" vertical="center"/>
    </xf>
    <xf numFmtId="167" fontId="4" fillId="0" borderId="0" xfId="0" applyNumberFormat="1" applyFont="1" applyFill="1" applyBorder="1" applyAlignment="1">
      <alignment horizontal="right" vertical="center"/>
    </xf>
    <xf numFmtId="166" fontId="5" fillId="0" borderId="0" xfId="0" applyNumberFormat="1" applyFont="1" applyFill="1" applyBorder="1" applyAlignment="1">
      <alignment horizontal="right" vertical="center"/>
    </xf>
    <xf numFmtId="9" fontId="4" fillId="0" borderId="0" xfId="2" applyFont="1" applyFill="1" applyBorder="1" applyAlignment="1">
      <alignment horizontal="right" vertical="center"/>
    </xf>
    <xf numFmtId="166" fontId="5" fillId="0" borderId="0" xfId="2" applyNumberFormat="1" applyFont="1" applyFill="1" applyBorder="1" applyAlignment="1">
      <alignment horizontal="right" vertical="center"/>
    </xf>
    <xf numFmtId="169" fontId="4" fillId="0" borderId="0" xfId="2" applyNumberFormat="1" applyFont="1" applyFill="1" applyBorder="1" applyAlignment="1">
      <alignment horizontal="right" vertical="center"/>
    </xf>
    <xf numFmtId="0" fontId="13" fillId="0" borderId="0" xfId="0" applyNumberFormat="1" applyFont="1" applyFill="1" applyBorder="1" applyAlignment="1">
      <alignment horizontal="right" vertical="center"/>
    </xf>
    <xf numFmtId="0" fontId="13" fillId="0" borderId="0" xfId="0" quotePrefix="1" applyNumberFormat="1" applyFont="1" applyFill="1" applyBorder="1" applyAlignment="1">
      <alignment horizontal="left" vertical="center"/>
    </xf>
    <xf numFmtId="0" fontId="13" fillId="0" borderId="0" xfId="0" applyNumberFormat="1" applyFont="1" applyFill="1" applyAlignment="1">
      <alignment vertical="center"/>
    </xf>
    <xf numFmtId="0" fontId="21" fillId="0" borderId="0" xfId="0" quotePrefix="1" applyNumberFormat="1" applyFont="1" applyFill="1" applyBorder="1" applyAlignment="1">
      <alignment horizontal="left" vertical="center"/>
    </xf>
    <xf numFmtId="167" fontId="21" fillId="0" borderId="0" xfId="0" applyNumberFormat="1" applyFont="1" applyFill="1" applyBorder="1" applyAlignment="1">
      <alignment horizontal="right" vertical="center"/>
    </xf>
    <xf numFmtId="166" fontId="21" fillId="0" borderId="0" xfId="2" quotePrefix="1" applyNumberFormat="1" applyFont="1" applyFill="1" applyBorder="1" applyAlignment="1">
      <alignment horizontal="left" vertical="center"/>
    </xf>
    <xf numFmtId="166" fontId="13" fillId="0" borderId="0" xfId="2" applyNumberFormat="1" applyFont="1" applyFill="1" applyBorder="1" applyAlignment="1">
      <alignment horizontal="right" vertical="center"/>
    </xf>
    <xf numFmtId="0" fontId="13" fillId="0" borderId="6" xfId="0" quotePrefix="1" applyNumberFormat="1" applyFont="1" applyFill="1" applyBorder="1" applyAlignment="1">
      <alignment horizontal="left" vertical="center"/>
    </xf>
    <xf numFmtId="0" fontId="13" fillId="4" borderId="7" xfId="0" quotePrefix="1" applyNumberFormat="1" applyFont="1" applyFill="1" applyBorder="1" applyAlignment="1">
      <alignment horizontal="left" vertical="center"/>
    </xf>
    <xf numFmtId="0" fontId="13" fillId="0" borderId="7" xfId="0" quotePrefix="1" applyNumberFormat="1" applyFont="1" applyFill="1" applyBorder="1" applyAlignment="1">
      <alignment horizontal="left" vertical="center"/>
    </xf>
    <xf numFmtId="0" fontId="13" fillId="4" borderId="6" xfId="0" quotePrefix="1" applyNumberFormat="1" applyFont="1" applyFill="1" applyBorder="1" applyAlignment="1">
      <alignment horizontal="left" vertical="center"/>
    </xf>
    <xf numFmtId="166" fontId="13" fillId="4" borderId="11" xfId="2" applyNumberFormat="1" applyFont="1" applyFill="1" applyBorder="1" applyAlignment="1">
      <alignment horizontal="right" vertical="center"/>
    </xf>
    <xf numFmtId="166" fontId="13" fillId="0" borderId="13" xfId="2" applyNumberFormat="1" applyFont="1" applyFill="1" applyBorder="1" applyAlignment="1">
      <alignment horizontal="right" vertical="center"/>
    </xf>
    <xf numFmtId="166" fontId="21" fillId="4" borderId="16" xfId="2" applyNumberFormat="1" applyFont="1" applyFill="1" applyBorder="1" applyAlignment="1">
      <alignment horizontal="right" vertical="center"/>
    </xf>
    <xf numFmtId="166" fontId="13" fillId="4" borderId="10" xfId="2" applyNumberFormat="1" applyFont="1" applyFill="1" applyBorder="1" applyAlignment="1">
      <alignment horizontal="right" vertical="center"/>
    </xf>
    <xf numFmtId="166" fontId="21" fillId="4" borderId="15" xfId="2" applyNumberFormat="1" applyFont="1" applyFill="1" applyBorder="1" applyAlignment="1">
      <alignment horizontal="right" vertical="center"/>
    </xf>
    <xf numFmtId="0" fontId="21" fillId="4" borderId="8" xfId="0" quotePrefix="1" applyNumberFormat="1" applyFont="1" applyFill="1" applyBorder="1" applyAlignment="1">
      <alignment horizontal="left" vertical="center" wrapText="1"/>
    </xf>
    <xf numFmtId="0" fontId="19" fillId="2" borderId="0" xfId="0" applyNumberFormat="1" applyFont="1" applyFill="1" applyBorder="1"/>
    <xf numFmtId="0" fontId="20" fillId="2" borderId="0" xfId="0" quotePrefix="1" applyNumberFormat="1" applyFont="1" applyFill="1" applyBorder="1" applyAlignment="1">
      <alignment horizontal="centerContinuous"/>
    </xf>
    <xf numFmtId="0" fontId="19" fillId="2" borderId="0" xfId="0" applyNumberFormat="1" applyFont="1" applyFill="1" applyBorder="1" applyAlignment="1">
      <alignment horizontal="centerContinuous"/>
    </xf>
    <xf numFmtId="0" fontId="20" fillId="2" borderId="0" xfId="0" applyNumberFormat="1" applyFont="1" applyFill="1" applyBorder="1" applyAlignment="1">
      <alignment horizontal="centerContinuous"/>
    </xf>
    <xf numFmtId="0" fontId="19" fillId="2" borderId="0" xfId="0" applyNumberFormat="1" applyFont="1" applyFill="1" applyBorder="1" applyAlignment="1">
      <alignment horizontal="right"/>
    </xf>
    <xf numFmtId="49" fontId="13" fillId="0" borderId="0" xfId="0" applyNumberFormat="1" applyFont="1" applyBorder="1" applyAlignment="1">
      <alignment horizontal="right"/>
    </xf>
    <xf numFmtId="0" fontId="13" fillId="2" borderId="0" xfId="0" applyNumberFormat="1" applyFont="1" applyFill="1"/>
    <xf numFmtId="167" fontId="21" fillId="2" borderId="0" xfId="0" applyNumberFormat="1" applyFont="1" applyFill="1" applyBorder="1" applyAlignment="1">
      <alignment horizontal="right" vertical="center"/>
    </xf>
    <xf numFmtId="166" fontId="21" fillId="2" borderId="0" xfId="2" applyNumberFormat="1" applyFont="1" applyFill="1" applyBorder="1" applyAlignment="1">
      <alignment horizontal="right" vertical="center"/>
    </xf>
    <xf numFmtId="166" fontId="21" fillId="2" borderId="0" xfId="0" applyNumberFormat="1" applyFont="1" applyFill="1" applyBorder="1" applyAlignment="1">
      <alignment horizontal="right" vertical="center"/>
    </xf>
    <xf numFmtId="0" fontId="13" fillId="2" borderId="0" xfId="0" quotePrefix="1" applyNumberFormat="1" applyFont="1" applyFill="1" applyBorder="1" applyAlignment="1">
      <alignment horizontal="left" vertical="top"/>
    </xf>
    <xf numFmtId="0" fontId="13" fillId="2" borderId="0" xfId="0" applyNumberFormat="1" applyFont="1" applyFill="1" applyAlignment="1">
      <alignment vertical="center"/>
    </xf>
    <xf numFmtId="0" fontId="13" fillId="2" borderId="0" xfId="0" applyNumberFormat="1" applyFont="1" applyFill="1" applyBorder="1" applyAlignment="1">
      <alignment horizontal="right"/>
    </xf>
    <xf numFmtId="0" fontId="0" fillId="0" borderId="0" xfId="0" applyFont="1" applyBorder="1"/>
    <xf numFmtId="167" fontId="13" fillId="0" borderId="24" xfId="0" applyNumberFormat="1" applyFont="1" applyFill="1" applyBorder="1" applyAlignment="1">
      <alignment horizontal="left"/>
    </xf>
    <xf numFmtId="167" fontId="13" fillId="4" borderId="25" xfId="0" applyNumberFormat="1" applyFont="1" applyFill="1" applyBorder="1" applyAlignment="1">
      <alignment horizontal="left" vertical="center"/>
    </xf>
    <xf numFmtId="167" fontId="13" fillId="0" borderId="25" xfId="0" applyNumberFormat="1" applyFont="1" applyFill="1" applyBorder="1" applyAlignment="1">
      <alignment horizontal="left" vertical="center"/>
    </xf>
    <xf numFmtId="166" fontId="21" fillId="0" borderId="31" xfId="2" applyNumberFormat="1" applyFont="1" applyFill="1" applyBorder="1" applyAlignment="1">
      <alignment horizontal="right" vertical="center"/>
    </xf>
    <xf numFmtId="0" fontId="13" fillId="4" borderId="24" xfId="0" quotePrefix="1" applyNumberFormat="1" applyFont="1" applyFill="1" applyBorder="1" applyAlignment="1">
      <alignment horizontal="left" vertical="center"/>
    </xf>
    <xf numFmtId="0" fontId="13" fillId="0" borderId="25" xfId="0" quotePrefix="1" applyNumberFormat="1" applyFont="1" applyFill="1" applyBorder="1" applyAlignment="1">
      <alignment horizontal="left" vertical="center"/>
    </xf>
    <xf numFmtId="0" fontId="21" fillId="4" borderId="26" xfId="0" quotePrefix="1" applyNumberFormat="1" applyFont="1" applyFill="1" applyBorder="1" applyAlignment="1">
      <alignment horizontal="left" vertical="center" wrapText="1"/>
    </xf>
    <xf numFmtId="0" fontId="21" fillId="0" borderId="5" xfId="0" quotePrefix="1" applyNumberFormat="1" applyFont="1" applyFill="1" applyBorder="1" applyAlignment="1">
      <alignment horizontal="left" vertical="center"/>
    </xf>
    <xf numFmtId="167" fontId="21" fillId="4" borderId="23" xfId="0" applyNumberFormat="1" applyFont="1" applyFill="1" applyBorder="1" applyAlignment="1">
      <alignment horizontal="left" vertical="center"/>
    </xf>
    <xf numFmtId="0" fontId="13" fillId="2" borderId="0" xfId="0" quotePrefix="1" applyNumberFormat="1" applyFont="1" applyFill="1" applyBorder="1" applyAlignment="1">
      <alignment horizontal="left" vertical="top" wrapText="1"/>
    </xf>
    <xf numFmtId="0" fontId="21" fillId="0" borderId="0" xfId="0" applyFont="1" applyBorder="1" applyAlignment="1">
      <alignment vertical="center"/>
    </xf>
    <xf numFmtId="0" fontId="22" fillId="2" borderId="0" xfId="0" quotePrefix="1" applyNumberFormat="1" applyFont="1" applyFill="1" applyBorder="1" applyAlignment="1">
      <alignment horizontal="left" vertical="top"/>
    </xf>
    <xf numFmtId="0" fontId="13" fillId="2" borderId="0" xfId="0" applyFont="1" applyFill="1" applyBorder="1"/>
    <xf numFmtId="0" fontId="13" fillId="2" borderId="0" xfId="0" applyNumberFormat="1" applyFont="1" applyFill="1" applyBorder="1" applyAlignment="1">
      <alignment vertical="center" wrapText="1"/>
    </xf>
    <xf numFmtId="4" fontId="5" fillId="2" borderId="0" xfId="0" applyNumberFormat="1" applyFont="1" applyFill="1" applyBorder="1"/>
    <xf numFmtId="166" fontId="4" fillId="2" borderId="0" xfId="2" applyNumberFormat="1" applyFont="1" applyFill="1" applyBorder="1"/>
    <xf numFmtId="166" fontId="21" fillId="4" borderId="4" xfId="2" applyNumberFormat="1" applyFont="1" applyFill="1" applyBorder="1" applyAlignment="1">
      <alignment horizontal="right" vertical="center"/>
    </xf>
    <xf numFmtId="166" fontId="21" fillId="0" borderId="4" xfId="2" applyNumberFormat="1" applyFont="1" applyFill="1" applyBorder="1" applyAlignment="1">
      <alignment horizontal="right" vertical="center"/>
    </xf>
    <xf numFmtId="166" fontId="21" fillId="4" borderId="43" xfId="2" applyNumberFormat="1" applyFont="1" applyFill="1" applyBorder="1" applyAlignment="1">
      <alignment horizontal="right" vertical="center"/>
    </xf>
    <xf numFmtId="166" fontId="21" fillId="0" borderId="57" xfId="2" applyNumberFormat="1" applyFont="1" applyFill="1" applyBorder="1" applyAlignment="1">
      <alignment horizontal="right" vertical="center"/>
    </xf>
    <xf numFmtId="0" fontId="13" fillId="2" borderId="0" xfId="0" quotePrefix="1" applyNumberFormat="1" applyFont="1" applyFill="1" applyAlignment="1">
      <alignment vertical="center" wrapText="1"/>
    </xf>
    <xf numFmtId="0" fontId="13" fillId="2" borderId="0" xfId="0" quotePrefix="1" applyNumberFormat="1" applyFont="1" applyFill="1" applyBorder="1" applyAlignment="1">
      <alignment vertical="top" wrapText="1"/>
    </xf>
    <xf numFmtId="0" fontId="0" fillId="2" borderId="0" xfId="0" quotePrefix="1" applyNumberFormat="1" applyFont="1" applyFill="1" applyBorder="1" applyAlignment="1">
      <alignment horizontal="left" vertical="top"/>
    </xf>
    <xf numFmtId="0" fontId="2" fillId="2" borderId="0" xfId="0" applyFont="1" applyFill="1" applyBorder="1" applyAlignment="1">
      <alignment horizontal="center"/>
    </xf>
    <xf numFmtId="4" fontId="13" fillId="2" borderId="0" xfId="0" applyNumberFormat="1" applyFont="1" applyFill="1" applyBorder="1"/>
    <xf numFmtId="166" fontId="21" fillId="2" borderId="0" xfId="2" applyNumberFormat="1" applyFont="1" applyFill="1" applyBorder="1"/>
    <xf numFmtId="169" fontId="13" fillId="4" borderId="3" xfId="0" applyNumberFormat="1" applyFont="1" applyFill="1" applyBorder="1" applyAlignment="1">
      <alignment horizontal="left" vertical="center"/>
    </xf>
    <xf numFmtId="169" fontId="13" fillId="0" borderId="3" xfId="0" applyNumberFormat="1" applyFont="1" applyFill="1" applyBorder="1" applyAlignment="1">
      <alignment horizontal="left" vertical="center"/>
    </xf>
    <xf numFmtId="169" fontId="13" fillId="4" borderId="41" xfId="0" applyNumberFormat="1" applyFont="1" applyFill="1" applyBorder="1" applyAlignment="1">
      <alignment horizontal="left" vertical="center"/>
    </xf>
    <xf numFmtId="169" fontId="21" fillId="0" borderId="55" xfId="0" applyNumberFormat="1" applyFont="1" applyFill="1" applyBorder="1" applyAlignment="1">
      <alignment horizontal="left" vertical="center"/>
    </xf>
    <xf numFmtId="0" fontId="13" fillId="2" borderId="0" xfId="0" applyNumberFormat="1" applyFont="1" applyFill="1" applyBorder="1"/>
    <xf numFmtId="0" fontId="21" fillId="2" borderId="0" xfId="0" applyNumberFormat="1" applyFont="1" applyFill="1" applyBorder="1" applyAlignment="1">
      <alignment horizontal="right"/>
    </xf>
    <xf numFmtId="17" fontId="4" fillId="2" borderId="0" xfId="0" quotePrefix="1" applyNumberFormat="1" applyFont="1" applyFill="1" applyAlignment="1">
      <alignment horizontal="center"/>
    </xf>
    <xf numFmtId="0" fontId="20" fillId="2" borderId="0" xfId="0" applyFont="1" applyFill="1" applyBorder="1" applyAlignment="1">
      <alignment horizontal="center" vertical="center" wrapText="1"/>
    </xf>
    <xf numFmtId="43" fontId="9" fillId="2" borderId="0" xfId="1" applyFont="1" applyFill="1" applyBorder="1"/>
    <xf numFmtId="4" fontId="9" fillId="2" borderId="0" xfId="0" applyNumberFormat="1" applyFont="1" applyFill="1" applyBorder="1"/>
    <xf numFmtId="0" fontId="5" fillId="0" borderId="0" xfId="0" applyNumberFormat="1" applyFont="1" applyFill="1"/>
    <xf numFmtId="0" fontId="5" fillId="2" borderId="0" xfId="0" applyNumberFormat="1" applyFont="1" applyFill="1" applyBorder="1" applyAlignment="1">
      <alignment vertical="center"/>
    </xf>
    <xf numFmtId="17" fontId="4" fillId="2" borderId="0" xfId="0" quotePrefix="1" applyNumberFormat="1" applyFont="1" applyFill="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horizontal="right" vertical="center"/>
    </xf>
    <xf numFmtId="0" fontId="7" fillId="0" borderId="0" xfId="0" applyFont="1" applyBorder="1" applyAlignment="1">
      <alignment vertical="center"/>
    </xf>
    <xf numFmtId="1"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8" fillId="0" borderId="0" xfId="0" applyFont="1" applyBorder="1" applyAlignment="1">
      <alignment vertical="center"/>
    </xf>
    <xf numFmtId="0" fontId="8" fillId="0" borderId="0" xfId="0" applyFont="1" applyAlignment="1">
      <alignment vertical="center"/>
    </xf>
    <xf numFmtId="0" fontId="13" fillId="2" borderId="0" xfId="0" applyNumberFormat="1" applyFont="1" applyFill="1" applyAlignment="1">
      <alignment horizontal="left" vertical="center"/>
    </xf>
    <xf numFmtId="0" fontId="23" fillId="2" borderId="0" xfId="0" applyNumberFormat="1" applyFont="1" applyFill="1" applyBorder="1" applyAlignment="1">
      <alignment horizontal="right" vertical="center"/>
    </xf>
    <xf numFmtId="4" fontId="0" fillId="0" borderId="69" xfId="0" applyNumberFormat="1" applyFont="1" applyBorder="1" applyAlignment="1">
      <alignment vertical="center"/>
    </xf>
    <xf numFmtId="4" fontId="0" fillId="0" borderId="70" xfId="0" applyNumberFormat="1" applyFont="1" applyBorder="1" applyAlignment="1">
      <alignment vertical="center"/>
    </xf>
    <xf numFmtId="166" fontId="0" fillId="0" borderId="71" xfId="2" applyNumberFormat="1" applyFont="1" applyBorder="1" applyAlignment="1">
      <alignment vertical="center"/>
    </xf>
    <xf numFmtId="4" fontId="0" fillId="4" borderId="72" xfId="0" applyNumberFormat="1" applyFont="1" applyFill="1" applyBorder="1" applyAlignment="1">
      <alignment vertical="center"/>
    </xf>
    <xf numFmtId="4" fontId="0" fillId="4" borderId="73" xfId="0" applyNumberFormat="1" applyFont="1" applyFill="1" applyBorder="1" applyAlignment="1">
      <alignment vertical="center"/>
    </xf>
    <xf numFmtId="166" fontId="0" fillId="4" borderId="74" xfId="2" applyNumberFormat="1" applyFont="1" applyFill="1" applyBorder="1" applyAlignment="1">
      <alignment vertical="center"/>
    </xf>
    <xf numFmtId="0" fontId="13" fillId="2" borderId="0" xfId="0" applyNumberFormat="1" applyFont="1" applyFill="1" applyBorder="1" applyAlignment="1">
      <alignment horizontal="right" vertical="center"/>
    </xf>
    <xf numFmtId="0" fontId="24" fillId="2" borderId="0" xfId="0" applyNumberFormat="1" applyFont="1" applyFill="1" applyBorder="1" applyAlignment="1">
      <alignment horizontal="right" vertical="center"/>
    </xf>
    <xf numFmtId="0" fontId="0" fillId="0" borderId="0" xfId="0" applyNumberFormat="1" applyFont="1" applyFill="1" applyBorder="1" applyAlignment="1">
      <alignment horizontal="left" vertical="center" wrapText="1"/>
    </xf>
    <xf numFmtId="0" fontId="13" fillId="2" borderId="0" xfId="0" quotePrefix="1" applyNumberFormat="1" applyFont="1" applyFill="1" applyBorder="1" applyAlignment="1">
      <alignment horizontal="right" vertical="top"/>
    </xf>
    <xf numFmtId="4" fontId="0" fillId="0" borderId="70" xfId="0" applyNumberFormat="1" applyFont="1" applyBorder="1" applyAlignment="1">
      <alignment horizontal="right"/>
    </xf>
    <xf numFmtId="166" fontId="0" fillId="0" borderId="71" xfId="2" applyNumberFormat="1" applyFont="1" applyBorder="1"/>
    <xf numFmtId="4" fontId="0" fillId="4" borderId="73" xfId="0" applyNumberFormat="1" applyFont="1" applyFill="1" applyBorder="1" applyAlignment="1">
      <alignment horizontal="right"/>
    </xf>
    <xf numFmtId="166" fontId="0" fillId="4" borderId="74" xfId="2" applyNumberFormat="1" applyFont="1" applyFill="1" applyBorder="1"/>
    <xf numFmtId="4" fontId="0" fillId="4" borderId="72" xfId="0" applyNumberFormat="1" applyFont="1" applyFill="1" applyBorder="1"/>
    <xf numFmtId="4" fontId="0" fillId="0" borderId="69" xfId="0" applyNumberFormat="1" applyFont="1" applyBorder="1"/>
    <xf numFmtId="0" fontId="13" fillId="2" borderId="0" xfId="0" applyFont="1" applyFill="1" applyBorder="1" applyAlignment="1">
      <alignment horizontal="right"/>
    </xf>
    <xf numFmtId="0" fontId="13" fillId="2" borderId="0" xfId="0" quotePrefix="1" applyNumberFormat="1" applyFont="1" applyFill="1" applyBorder="1" applyAlignment="1">
      <alignment horizontal="right"/>
    </xf>
    <xf numFmtId="0" fontId="21" fillId="2" borderId="0" xfId="0" applyNumberFormat="1" applyFont="1" applyFill="1" applyBorder="1"/>
    <xf numFmtId="4" fontId="0" fillId="4" borderId="76" xfId="0" applyNumberFormat="1" applyFont="1" applyFill="1" applyBorder="1"/>
    <xf numFmtId="4" fontId="0" fillId="4" borderId="77" xfId="0" applyNumberFormat="1" applyFont="1" applyFill="1" applyBorder="1" applyAlignment="1">
      <alignment horizontal="right"/>
    </xf>
    <xf numFmtId="166" fontId="0" fillId="4" borderId="78" xfId="2" applyNumberFormat="1" applyFont="1" applyFill="1" applyBorder="1"/>
    <xf numFmtId="0" fontId="13" fillId="2" borderId="0" xfId="0" applyNumberFormat="1" applyFont="1" applyFill="1" applyAlignment="1">
      <alignment horizontal="centerContinuous"/>
    </xf>
    <xf numFmtId="0" fontId="13" fillId="2" borderId="0" xfId="0" applyNumberFormat="1" applyFont="1" applyFill="1" applyAlignment="1">
      <alignment horizontal="left"/>
    </xf>
    <xf numFmtId="0" fontId="23" fillId="2" borderId="0" xfId="0" applyNumberFormat="1" applyFont="1" applyFill="1" applyBorder="1" applyAlignment="1">
      <alignment horizontal="right"/>
    </xf>
    <xf numFmtId="0" fontId="21" fillId="2" borderId="0" xfId="0" applyFont="1" applyFill="1" applyBorder="1" applyAlignment="1">
      <alignment vertical="center" wrapText="1"/>
    </xf>
    <xf numFmtId="0" fontId="21" fillId="2" borderId="0" xfId="0" applyFont="1" applyFill="1" applyBorder="1" applyAlignment="1">
      <alignment horizontal="center" vertical="center" wrapText="1"/>
    </xf>
    <xf numFmtId="43" fontId="13" fillId="2" borderId="0" xfId="1" applyFont="1" applyFill="1" applyBorder="1"/>
    <xf numFmtId="0" fontId="13" fillId="0" borderId="0" xfId="0" applyNumberFormat="1" applyFont="1" applyFill="1"/>
    <xf numFmtId="0" fontId="4" fillId="2" borderId="0" xfId="0" applyNumberFormat="1" applyFont="1" applyFill="1" applyAlignment="1">
      <alignment horizontal="center"/>
    </xf>
    <xf numFmtId="0" fontId="4" fillId="2" borderId="0" xfId="0" applyNumberFormat="1" applyFont="1" applyFill="1" applyAlignment="1">
      <alignment horizontal="left" vertical="center" wrapText="1"/>
    </xf>
    <xf numFmtId="0" fontId="4" fillId="2" borderId="0" xfId="0" applyNumberFormat="1"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NumberFormat="1" applyFont="1" applyFill="1" applyAlignment="1">
      <alignment vertical="center"/>
    </xf>
    <xf numFmtId="43" fontId="6" fillId="2" borderId="0" xfId="1" applyFont="1" applyFill="1" applyAlignment="1">
      <alignment vertical="center"/>
    </xf>
    <xf numFmtId="0" fontId="6" fillId="2" borderId="0" xfId="0" applyNumberFormat="1" applyFont="1" applyFill="1" applyAlignment="1">
      <alignment vertical="center"/>
    </xf>
    <xf numFmtId="0" fontId="21" fillId="2" borderId="0" xfId="0" applyNumberFormat="1" applyFont="1" applyFill="1" applyBorder="1" applyAlignment="1">
      <alignment horizontal="center" vertical="center" wrapText="1"/>
    </xf>
    <xf numFmtId="2" fontId="21" fillId="2" borderId="0" xfId="0" applyNumberFormat="1" applyFont="1" applyFill="1" applyAlignment="1">
      <alignment vertical="center" wrapText="1"/>
    </xf>
    <xf numFmtId="2" fontId="13" fillId="2" borderId="0" xfId="0" applyNumberFormat="1" applyFont="1" applyFill="1" applyBorder="1" applyAlignment="1">
      <alignment horizontal="center" vertical="center" wrapText="1"/>
    </xf>
    <xf numFmtId="0" fontId="21" fillId="2" borderId="0" xfId="0" applyNumberFormat="1" applyFont="1" applyFill="1" applyAlignment="1">
      <alignment vertical="center" wrapText="1"/>
    </xf>
    <xf numFmtId="2" fontId="21" fillId="2" borderId="0" xfId="0" applyNumberFormat="1" applyFont="1" applyFill="1" applyAlignment="1"/>
    <xf numFmtId="0" fontId="5" fillId="2" borderId="0" xfId="0" applyNumberFormat="1" applyFont="1" applyFill="1" applyAlignment="1">
      <alignment horizontal="center"/>
    </xf>
    <xf numFmtId="0" fontId="5" fillId="2" borderId="0" xfId="0" applyNumberFormat="1" applyFont="1" applyFill="1" applyAlignment="1">
      <alignment vertical="center" wrapText="1"/>
    </xf>
    <xf numFmtId="0" fontId="4" fillId="0" borderId="0" xfId="0" applyNumberFormat="1" applyFont="1" applyFill="1" applyAlignment="1">
      <alignment horizontal="center"/>
    </xf>
    <xf numFmtId="0" fontId="11" fillId="0" borderId="0" xfId="0" applyFont="1" applyFill="1" applyBorder="1" applyAlignment="1">
      <alignment vertical="center"/>
    </xf>
    <xf numFmtId="0" fontId="4" fillId="0" borderId="0" xfId="0" applyNumberFormat="1" applyFont="1" applyFill="1" applyAlignment="1">
      <alignment horizontal="left" vertical="center" wrapText="1"/>
    </xf>
    <xf numFmtId="0" fontId="4" fillId="0" borderId="0" xfId="0" applyNumberFormat="1" applyFont="1" applyFill="1" applyAlignment="1">
      <alignment vertical="center" wrapText="1"/>
    </xf>
    <xf numFmtId="0" fontId="21" fillId="0" borderId="0" xfId="0" applyNumberFormat="1" applyFont="1" applyFill="1" applyAlignment="1">
      <alignment vertical="center" wrapText="1"/>
    </xf>
    <xf numFmtId="2" fontId="21" fillId="0" borderId="0" xfId="0" applyNumberFormat="1" applyFont="1" applyFill="1" applyAlignment="1">
      <alignment vertical="center" wrapText="1"/>
    </xf>
    <xf numFmtId="0" fontId="0" fillId="0" borderId="0" xfId="0" applyFont="1" applyFill="1" applyBorder="1" applyAlignment="1">
      <alignment horizontal="center"/>
    </xf>
    <xf numFmtId="2" fontId="4" fillId="0" borderId="0" xfId="0" applyNumberFormat="1" applyFont="1" applyFill="1" applyAlignment="1">
      <alignment vertical="center" wrapText="1"/>
    </xf>
    <xf numFmtId="2" fontId="13" fillId="0" borderId="0" xfId="0" applyNumberFormat="1" applyFont="1" applyFill="1" applyAlignment="1"/>
    <xf numFmtId="0" fontId="5" fillId="0" borderId="0" xfId="0" quotePrefix="1" applyNumberFormat="1" applyFont="1" applyFill="1" applyBorder="1" applyAlignment="1">
      <alignment horizontal="left" vertical="top"/>
    </xf>
    <xf numFmtId="0" fontId="13" fillId="0" borderId="0" xfId="0" quotePrefix="1" applyNumberFormat="1" applyFont="1" applyFill="1" applyBorder="1" applyAlignment="1">
      <alignment horizontal="left" vertical="top"/>
    </xf>
    <xf numFmtId="0" fontId="12" fillId="0" borderId="0" xfId="0" applyNumberFormat="1" applyFont="1" applyFill="1" applyAlignment="1">
      <alignment vertical="center"/>
    </xf>
    <xf numFmtId="0" fontId="4" fillId="0" borderId="0" xfId="0" applyNumberFormat="1" applyFont="1" applyFill="1" applyAlignment="1">
      <alignment horizontal="center" vertical="center"/>
    </xf>
    <xf numFmtId="49" fontId="7" fillId="0" borderId="0" xfId="0" applyNumberFormat="1" applyFont="1" applyFill="1" applyBorder="1" applyAlignment="1">
      <alignment horizontal="right" vertical="center"/>
    </xf>
    <xf numFmtId="49" fontId="13"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2" fontId="13" fillId="0" borderId="0" xfId="0" applyNumberFormat="1" applyFont="1" applyFill="1" applyAlignment="1">
      <alignment vertical="center"/>
    </xf>
    <xf numFmtId="4" fontId="13" fillId="0" borderId="88" xfId="0" applyNumberFormat="1" applyFont="1" applyFill="1" applyBorder="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NumberFormat="1" applyFont="1" applyFill="1" applyAlignment="1">
      <alignment horizontal="centerContinuous" vertical="center"/>
    </xf>
    <xf numFmtId="0" fontId="13" fillId="2" borderId="0" xfId="0" applyNumberFormat="1" applyFont="1" applyFill="1" applyAlignment="1">
      <alignment horizontal="centerContinuous" vertical="center"/>
    </xf>
    <xf numFmtId="17" fontId="4" fillId="2" borderId="0" xfId="0" quotePrefix="1" applyNumberFormat="1" applyFont="1" applyFill="1" applyBorder="1" applyAlignment="1">
      <alignment horizontal="center"/>
    </xf>
    <xf numFmtId="17" fontId="5" fillId="2" borderId="0" xfId="0" applyNumberFormat="1" applyFont="1" applyFill="1" applyBorder="1" applyAlignment="1">
      <alignment horizontal="center"/>
    </xf>
    <xf numFmtId="0" fontId="5" fillId="2" borderId="0" xfId="0" applyNumberFormat="1" applyFont="1" applyFill="1" applyBorder="1" applyAlignment="1">
      <alignment horizontal="center"/>
    </xf>
    <xf numFmtId="49" fontId="13" fillId="0" borderId="0" xfId="0" applyNumberFormat="1" applyFont="1" applyFill="1" applyBorder="1" applyAlignment="1">
      <alignment horizontal="right"/>
    </xf>
    <xf numFmtId="0" fontId="13" fillId="2" borderId="0" xfId="0" quotePrefix="1" applyNumberFormat="1" applyFont="1" applyFill="1" applyBorder="1" applyAlignment="1">
      <alignment horizontal="left"/>
    </xf>
    <xf numFmtId="0" fontId="13" fillId="2" borderId="0" xfId="0" applyNumberFormat="1" applyFont="1" applyFill="1" applyBorder="1" applyAlignment="1">
      <alignment horizontal="center"/>
    </xf>
    <xf numFmtId="0" fontId="13" fillId="2" borderId="0" xfId="0" quotePrefix="1" applyNumberFormat="1" applyFont="1" applyFill="1" applyBorder="1" applyAlignment="1">
      <alignment horizontal="center"/>
    </xf>
    <xf numFmtId="0" fontId="13" fillId="0" borderId="0" xfId="0" applyNumberFormat="1" applyFont="1"/>
    <xf numFmtId="0" fontId="1" fillId="0" borderId="0" xfId="0" applyFont="1" applyFill="1" applyBorder="1"/>
    <xf numFmtId="0" fontId="1" fillId="0" borderId="0" xfId="0" applyFont="1" applyFill="1"/>
    <xf numFmtId="1" fontId="7" fillId="0" borderId="0" xfId="0" quotePrefix="1" applyNumberFormat="1" applyFont="1" applyFill="1" applyBorder="1" applyAlignment="1">
      <alignment horizontal="centerContinuous"/>
    </xf>
    <xf numFmtId="43" fontId="13" fillId="0" borderId="0" xfId="1" applyFont="1" applyBorder="1"/>
    <xf numFmtId="0" fontId="13" fillId="0" borderId="0" xfId="0" applyFont="1" applyFill="1" applyBorder="1"/>
    <xf numFmtId="43" fontId="13" fillId="0" borderId="0" xfId="1" applyFont="1" applyBorder="1" applyAlignment="1"/>
    <xf numFmtId="0" fontId="13" fillId="0" borderId="0" xfId="0" applyFont="1" applyFill="1" applyBorder="1" applyAlignment="1"/>
    <xf numFmtId="17" fontId="26" fillId="2" borderId="0" xfId="0" applyNumberFormat="1" applyFont="1" applyFill="1" applyAlignment="1">
      <alignment horizontal="centerContinuous" vertical="center"/>
    </xf>
    <xf numFmtId="0" fontId="11" fillId="2" borderId="0" xfId="0" applyNumberFormat="1" applyFont="1" applyFill="1" applyAlignment="1">
      <alignment horizontal="centerContinuous" vertical="center"/>
    </xf>
    <xf numFmtId="0" fontId="26" fillId="2" borderId="0" xfId="0" applyNumberFormat="1" applyFont="1" applyFill="1" applyAlignment="1">
      <alignment horizontal="centerContinuous" vertical="center"/>
    </xf>
    <xf numFmtId="0" fontId="26" fillId="2" borderId="0" xfId="0" applyNumberFormat="1" applyFont="1" applyFill="1" applyAlignment="1">
      <alignment horizontal="left" vertical="center"/>
    </xf>
    <xf numFmtId="0" fontId="0" fillId="0" borderId="0" xfId="0" applyFont="1" applyAlignment="1">
      <alignment vertical="center" wrapText="1"/>
    </xf>
    <xf numFmtId="49" fontId="13" fillId="0" borderId="0" xfId="0" applyNumberFormat="1" applyFont="1" applyBorder="1" applyAlignment="1">
      <alignment horizontal="right" vertical="center"/>
    </xf>
    <xf numFmtId="0" fontId="13" fillId="2" borderId="0" xfId="0" quotePrefix="1" applyNumberFormat="1" applyFont="1" applyFill="1" applyBorder="1" applyAlignment="1">
      <alignment horizontal="left" vertical="center"/>
    </xf>
    <xf numFmtId="0" fontId="13" fillId="2" borderId="0" xfId="0" quotePrefix="1" applyNumberFormat="1" applyFont="1" applyFill="1" applyAlignment="1">
      <alignment horizontal="left" vertical="center"/>
    </xf>
    <xf numFmtId="0" fontId="21" fillId="2" borderId="0" xfId="0" quotePrefix="1" applyNumberFormat="1" applyFont="1" applyFill="1" applyBorder="1" applyAlignment="1">
      <alignment horizontal="left" vertical="center"/>
    </xf>
    <xf numFmtId="0" fontId="21" fillId="2" borderId="0" xfId="0" applyNumberFormat="1" applyFont="1" applyFill="1"/>
    <xf numFmtId="169" fontId="13" fillId="2" borderId="0" xfId="0" applyNumberFormat="1" applyFont="1" applyFill="1"/>
    <xf numFmtId="0" fontId="13" fillId="2" borderId="0" xfId="0" applyNumberFormat="1" applyFont="1" applyFill="1" applyAlignment="1">
      <alignment horizontal="right"/>
    </xf>
    <xf numFmtId="1" fontId="13" fillId="0" borderId="0" xfId="0" applyNumberFormat="1" applyFont="1" applyFill="1" applyBorder="1" applyAlignment="1">
      <alignment horizontal="right" vertical="center" wrapText="1"/>
    </xf>
    <xf numFmtId="0" fontId="12" fillId="2" borderId="0" xfId="0" applyNumberFormat="1" applyFont="1" applyFill="1" applyAlignment="1">
      <alignment vertical="center" wrapText="1"/>
    </xf>
    <xf numFmtId="0" fontId="13" fillId="2" borderId="0" xfId="2" applyNumberFormat="1" applyFont="1" applyFill="1" applyBorder="1" applyAlignment="1">
      <alignment horizontal="right"/>
    </xf>
    <xf numFmtId="0" fontId="13" fillId="2" borderId="0" xfId="0" quotePrefix="1" applyNumberFormat="1" applyFont="1" applyFill="1" applyBorder="1" applyAlignment="1">
      <alignment horizontal="left" vertical="center" indent="3"/>
    </xf>
    <xf numFmtId="0" fontId="21" fillId="2" borderId="0" xfId="2" applyNumberFormat="1" applyFont="1" applyFill="1" applyBorder="1" applyAlignment="1">
      <alignment horizontal="right"/>
    </xf>
    <xf numFmtId="0" fontId="0" fillId="2" borderId="0" xfId="0" quotePrefix="1" applyNumberFormat="1" applyFont="1" applyFill="1" applyBorder="1" applyAlignment="1">
      <alignment horizontal="left" vertical="center" indent="3"/>
    </xf>
    <xf numFmtId="0" fontId="13" fillId="2" borderId="0" xfId="0" quotePrefix="1" applyNumberFormat="1" applyFont="1" applyFill="1" applyBorder="1" applyAlignment="1">
      <alignment vertical="center" wrapText="1"/>
    </xf>
    <xf numFmtId="0" fontId="29" fillId="2" borderId="0" xfId="0" applyNumberFormat="1" applyFont="1" applyFill="1" applyBorder="1" applyAlignment="1">
      <alignment horizontal="right"/>
    </xf>
    <xf numFmtId="0" fontId="21" fillId="2" borderId="0" xfId="0" quotePrefix="1" applyNumberFormat="1" applyFont="1" applyFill="1" applyBorder="1" applyAlignment="1">
      <alignment horizontal="left"/>
    </xf>
    <xf numFmtId="0" fontId="13" fillId="2" borderId="0" xfId="0" quotePrefix="1" applyNumberFormat="1" applyFont="1" applyFill="1" applyAlignment="1">
      <alignment vertical="top" wrapText="1"/>
    </xf>
    <xf numFmtId="0" fontId="13" fillId="2" borderId="0" xfId="0" applyNumberFormat="1" applyFont="1" applyFill="1" applyAlignment="1">
      <alignment horizontal="center" vertical="center"/>
    </xf>
    <xf numFmtId="0" fontId="13" fillId="2" borderId="0" xfId="0" applyNumberFormat="1" applyFont="1" applyFill="1" applyBorder="1" applyAlignment="1">
      <alignment horizontal="center" vertical="center"/>
    </xf>
    <xf numFmtId="0" fontId="0" fillId="0" borderId="0" xfId="0" applyFont="1" applyAlignment="1">
      <alignment horizontal="center" vertical="center"/>
    </xf>
    <xf numFmtId="0" fontId="23" fillId="2" borderId="0" xfId="0" applyNumberFormat="1" applyFont="1" applyFill="1"/>
    <xf numFmtId="0" fontId="23" fillId="0" borderId="0" xfId="0" applyFont="1" applyFill="1" applyBorder="1" applyAlignment="1">
      <alignment vertical="center"/>
    </xf>
    <xf numFmtId="2" fontId="13" fillId="0" borderId="12" xfId="0" applyNumberFormat="1" applyFont="1" applyFill="1" applyBorder="1" applyAlignment="1">
      <alignment horizontal="right" vertical="center"/>
    </xf>
    <xf numFmtId="2" fontId="13" fillId="0" borderId="0" xfId="0" applyNumberFormat="1" applyFont="1" applyFill="1" applyBorder="1" applyAlignment="1">
      <alignment horizontal="right" vertical="center"/>
    </xf>
    <xf numFmtId="2" fontId="13" fillId="0" borderId="13"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Fill="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Fill="1" applyBorder="1" applyAlignment="1">
      <alignment horizontal="right" vertical="center"/>
    </xf>
    <xf numFmtId="10" fontId="21" fillId="0" borderId="37" xfId="2" applyNumberFormat="1" applyFont="1" applyFill="1" applyBorder="1" applyAlignment="1">
      <alignment horizontal="right" vertical="center"/>
    </xf>
    <xf numFmtId="10" fontId="21" fillId="0" borderId="10" xfId="2" applyNumberFormat="1" applyFont="1" applyFill="1" applyBorder="1" applyAlignment="1">
      <alignment horizontal="right" vertical="center"/>
    </xf>
    <xf numFmtId="10" fontId="21" fillId="4" borderId="0" xfId="2" applyNumberFormat="1" applyFont="1" applyFill="1" applyBorder="1" applyAlignment="1">
      <alignment horizontal="right" vertical="center"/>
    </xf>
    <xf numFmtId="10" fontId="21" fillId="0" borderId="0" xfId="2" applyNumberFormat="1" applyFont="1" applyFill="1" applyBorder="1" applyAlignment="1">
      <alignment horizontal="right" vertical="center"/>
    </xf>
    <xf numFmtId="10" fontId="21" fillId="0" borderId="36" xfId="2"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3" fillId="0" borderId="0" xfId="0" applyNumberFormat="1" applyFont="1" applyFill="1" applyBorder="1" applyAlignment="1">
      <alignment vertical="center"/>
    </xf>
    <xf numFmtId="0" fontId="23" fillId="0" borderId="0" xfId="0" applyNumberFormat="1" applyFont="1" applyFill="1" applyAlignment="1">
      <alignment vertical="center"/>
    </xf>
    <xf numFmtId="43" fontId="13" fillId="4" borderId="0" xfId="1" applyFont="1" applyFill="1" applyBorder="1" applyAlignment="1">
      <alignment horizontal="right" vertical="center"/>
    </xf>
    <xf numFmtId="43" fontId="13" fillId="0" borderId="0" xfId="1" applyFont="1" applyFill="1" applyBorder="1" applyAlignment="1">
      <alignment horizontal="right" vertical="center"/>
    </xf>
    <xf numFmtId="2" fontId="13" fillId="0" borderId="30" xfId="0" applyNumberFormat="1" applyFont="1" applyFill="1" applyBorder="1" applyAlignment="1">
      <alignment horizontal="right" vertical="center"/>
    </xf>
    <xf numFmtId="2" fontId="13" fillId="0" borderId="31" xfId="0" applyNumberFormat="1" applyFont="1" applyFill="1" applyBorder="1" applyAlignment="1">
      <alignment horizontal="right" vertical="center"/>
    </xf>
    <xf numFmtId="49" fontId="13" fillId="0" borderId="0" xfId="0" applyNumberFormat="1" applyFont="1" applyFill="1" applyBorder="1" applyAlignment="1">
      <alignment horizontal="left"/>
    </xf>
    <xf numFmtId="49" fontId="13" fillId="0" borderId="0" xfId="0" applyNumberFormat="1" applyFont="1" applyBorder="1" applyAlignment="1">
      <alignment horizontal="left"/>
    </xf>
    <xf numFmtId="0" fontId="13" fillId="0" borderId="0" xfId="0" applyNumberFormat="1" applyFont="1" applyFill="1" applyBorder="1" applyAlignment="1">
      <alignment horizontal="right"/>
    </xf>
    <xf numFmtId="10" fontId="21" fillId="0" borderId="0" xfId="2" applyNumberFormat="1" applyFont="1" applyFill="1" applyBorder="1" applyAlignment="1">
      <alignment horizontal="right"/>
    </xf>
    <xf numFmtId="167" fontId="13" fillId="0" borderId="25" xfId="0" applyNumberFormat="1" applyFont="1" applyFill="1" applyBorder="1" applyAlignment="1">
      <alignment horizontal="left"/>
    </xf>
    <xf numFmtId="167" fontId="13" fillId="0" borderId="26" xfId="0" applyNumberFormat="1" applyFont="1" applyFill="1" applyBorder="1" applyAlignment="1">
      <alignment horizontal="left"/>
    </xf>
    <xf numFmtId="10" fontId="21" fillId="0" borderId="29" xfId="2" applyNumberFormat="1" applyFont="1" applyFill="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Fill="1" applyBorder="1" applyAlignment="1">
      <alignment horizontal="right"/>
    </xf>
    <xf numFmtId="10" fontId="21" fillId="0" borderId="34" xfId="2" applyNumberFormat="1" applyFont="1" applyFill="1" applyBorder="1" applyAlignment="1">
      <alignment horizontal="right"/>
    </xf>
    <xf numFmtId="10" fontId="21" fillId="0" borderId="28" xfId="2" applyNumberFormat="1" applyFont="1" applyFill="1" applyBorder="1" applyAlignment="1">
      <alignment horizontal="right"/>
    </xf>
    <xf numFmtId="10" fontId="21" fillId="0" borderId="33" xfId="2" applyNumberFormat="1" applyFont="1" applyFill="1" applyBorder="1" applyAlignment="1">
      <alignment horizontal="right"/>
    </xf>
    <xf numFmtId="0" fontId="21" fillId="0" borderId="23" xfId="0" quotePrefix="1" applyNumberFormat="1" applyFont="1" applyFill="1" applyBorder="1" applyAlignment="1">
      <alignment horizontal="left" vertical="center"/>
    </xf>
    <xf numFmtId="10" fontId="21" fillId="0" borderId="40" xfId="2" applyNumberFormat="1" applyFont="1" applyFill="1" applyBorder="1" applyAlignment="1">
      <alignment horizontal="right" vertical="center"/>
    </xf>
    <xf numFmtId="10" fontId="21" fillId="0" borderId="39" xfId="2" applyNumberFormat="1" applyFont="1" applyFill="1" applyBorder="1" applyAlignment="1">
      <alignment horizontal="right" vertical="center"/>
    </xf>
    <xf numFmtId="0" fontId="21" fillId="0" borderId="23" xfId="0" quotePrefix="1" applyNumberFormat="1" applyFont="1" applyFill="1" applyBorder="1" applyAlignment="1">
      <alignment horizontal="left" vertical="center" wrapText="1"/>
    </xf>
    <xf numFmtId="10" fontId="21" fillId="0" borderId="38" xfId="2" applyNumberFormat="1" applyFont="1" applyFill="1" applyBorder="1" applyAlignment="1">
      <alignment horizontal="right" vertical="center"/>
    </xf>
    <xf numFmtId="166" fontId="21" fillId="0" borderId="40" xfId="2" applyNumberFormat="1" applyFont="1" applyFill="1" applyBorder="1" applyAlignment="1">
      <alignment horizontal="right" vertical="center"/>
    </xf>
    <xf numFmtId="0" fontId="23" fillId="2" borderId="0" xfId="0" applyNumberFormat="1" applyFont="1" applyFill="1" applyAlignment="1">
      <alignment vertical="top"/>
    </xf>
    <xf numFmtId="0" fontId="21" fillId="2" borderId="0" xfId="0" applyNumberFormat="1" applyFont="1" applyFill="1" applyBorder="1" applyAlignment="1">
      <alignment horizontal="left"/>
    </xf>
    <xf numFmtId="2" fontId="0" fillId="0" borderId="0" xfId="0" applyNumberFormat="1" applyFont="1"/>
    <xf numFmtId="169" fontId="13" fillId="0" borderId="3" xfId="0" applyNumberFormat="1" applyFont="1" applyFill="1" applyBorder="1" applyAlignment="1">
      <alignment horizontal="left"/>
    </xf>
    <xf numFmtId="166" fontId="21" fillId="0" borderId="4" xfId="2" applyNumberFormat="1" applyFont="1" applyFill="1" applyBorder="1" applyAlignment="1">
      <alignment horizontal="right"/>
    </xf>
    <xf numFmtId="165" fontId="13" fillId="4" borderId="24" xfId="0" applyNumberFormat="1" applyFont="1" applyFill="1" applyBorder="1" applyAlignment="1">
      <alignment horizontal="left" vertical="center"/>
    </xf>
    <xf numFmtId="2" fontId="13" fillId="4" borderId="27" xfId="0" applyNumberFormat="1" applyFont="1" applyFill="1" applyBorder="1" applyAlignment="1">
      <alignment horizontal="right" vertical="center"/>
    </xf>
    <xf numFmtId="2" fontId="13" fillId="4" borderId="28" xfId="0" applyNumberFormat="1" applyFont="1" applyFill="1" applyBorder="1" applyAlignment="1">
      <alignment horizontal="right" vertical="center"/>
    </xf>
    <xf numFmtId="2" fontId="13" fillId="4" borderId="29" xfId="0" applyNumberFormat="1" applyFont="1" applyFill="1" applyBorder="1" applyAlignment="1">
      <alignment horizontal="right" vertical="center"/>
    </xf>
    <xf numFmtId="166" fontId="21" fillId="4" borderId="29" xfId="2" applyNumberFormat="1" applyFont="1" applyFill="1" applyBorder="1" applyAlignment="1">
      <alignment horizontal="right" vertical="center"/>
    </xf>
    <xf numFmtId="165" fontId="13" fillId="0" borderId="25" xfId="0" applyNumberFormat="1" applyFont="1" applyFill="1" applyBorder="1" applyAlignment="1">
      <alignment horizontal="left" vertical="center"/>
    </xf>
    <xf numFmtId="165" fontId="21" fillId="4" borderId="26" xfId="0" applyNumberFormat="1" applyFont="1" applyFill="1" applyBorder="1" applyAlignment="1">
      <alignment horizontal="left" vertical="center" wrapText="1"/>
    </xf>
    <xf numFmtId="2" fontId="21" fillId="4" borderId="32" xfId="0" applyNumberFormat="1" applyFont="1" applyFill="1" applyBorder="1" applyAlignment="1">
      <alignment horizontal="right" vertical="center"/>
    </xf>
    <xf numFmtId="2" fontId="21" fillId="4" borderId="33" xfId="0" applyNumberFormat="1" applyFont="1" applyFill="1" applyBorder="1" applyAlignment="1">
      <alignment horizontal="right" vertical="center"/>
    </xf>
    <xf numFmtId="2" fontId="21" fillId="4" borderId="34" xfId="0" applyNumberFormat="1" applyFont="1" applyFill="1" applyBorder="1" applyAlignment="1">
      <alignment horizontal="right" vertical="center"/>
    </xf>
    <xf numFmtId="166" fontId="21" fillId="4" borderId="34" xfId="2" applyNumberFormat="1" applyFont="1" applyFill="1" applyBorder="1" applyAlignment="1">
      <alignment horizontal="right" vertical="center"/>
    </xf>
    <xf numFmtId="0" fontId="21" fillId="4" borderId="54" xfId="0" quotePrefix="1" applyNumberFormat="1" applyFont="1" applyFill="1" applyBorder="1" applyAlignment="1">
      <alignment horizontal="left" vertical="center" wrapText="1"/>
    </xf>
    <xf numFmtId="166" fontId="21" fillId="4" borderId="57" xfId="2" applyNumberFormat="1" applyFont="1" applyFill="1" applyBorder="1" applyAlignment="1">
      <alignment horizontal="right" vertical="center"/>
    </xf>
    <xf numFmtId="0" fontId="0" fillId="0" borderId="0" xfId="0" applyNumberFormat="1" applyFont="1"/>
    <xf numFmtId="0" fontId="0" fillId="0" borderId="0" xfId="0" applyNumberFormat="1" applyFont="1" applyAlignment="1">
      <alignment horizontal="right"/>
    </xf>
    <xf numFmtId="0" fontId="13" fillId="0" borderId="0" xfId="0" applyNumberFormat="1" applyFont="1" applyBorder="1" applyAlignment="1">
      <alignment horizontal="right"/>
    </xf>
    <xf numFmtId="0"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Alignment="1">
      <alignment horizontal="right"/>
    </xf>
    <xf numFmtId="0" fontId="10" fillId="2" borderId="0" xfId="0" quotePrefix="1" applyNumberFormat="1" applyFont="1" applyFill="1" applyBorder="1" applyAlignment="1">
      <alignment horizontal="left" vertical="center"/>
    </xf>
    <xf numFmtId="0" fontId="23" fillId="2" borderId="0" xfId="0" quotePrefix="1" applyNumberFormat="1" applyFont="1" applyFill="1" applyBorder="1" applyAlignment="1">
      <alignment horizontal="left" vertical="top"/>
    </xf>
    <xf numFmtId="0" fontId="23" fillId="2" borderId="0" xfId="0" applyNumberFormat="1" applyFont="1" applyFill="1" applyAlignment="1">
      <alignment vertical="center"/>
    </xf>
    <xf numFmtId="0" fontId="1" fillId="0" borderId="0" xfId="0" applyNumberFormat="1" applyFont="1" applyFill="1"/>
    <xf numFmtId="0" fontId="1" fillId="0" borderId="0" xfId="0" applyNumberFormat="1" applyFont="1" applyFill="1" applyAlignment="1">
      <alignment vertical="center"/>
    </xf>
    <xf numFmtId="2" fontId="27" fillId="2" borderId="82" xfId="0" applyNumberFormat="1" applyFont="1" applyFill="1" applyBorder="1" applyAlignment="1">
      <alignment horizontal="center" vertical="center" wrapText="1"/>
    </xf>
    <xf numFmtId="166" fontId="13" fillId="0" borderId="88" xfId="2" applyNumberFormat="1" applyFont="1" applyBorder="1" applyAlignment="1">
      <alignment horizontal="center" vertical="center"/>
    </xf>
    <xf numFmtId="0" fontId="37" fillId="2" borderId="0" xfId="0" applyNumberFormat="1" applyFont="1" applyFill="1" applyBorder="1" applyAlignment="1"/>
    <xf numFmtId="0" fontId="37" fillId="2" borderId="0" xfId="0" applyNumberFormat="1" applyFont="1" applyFill="1" applyBorder="1"/>
    <xf numFmtId="4" fontId="0" fillId="0" borderId="70" xfId="0" applyNumberFormat="1" applyFont="1" applyBorder="1" applyAlignment="1">
      <alignment horizontal="right" vertical="center"/>
    </xf>
    <xf numFmtId="0" fontId="33" fillId="2" borderId="0" xfId="0" applyNumberFormat="1" applyFont="1" applyFill="1" applyAlignment="1"/>
    <xf numFmtId="0" fontId="21" fillId="2" borderId="0" xfId="0" quotePrefix="1" applyNumberFormat="1" applyFont="1" applyFill="1" applyAlignment="1">
      <alignment vertical="center"/>
    </xf>
    <xf numFmtId="0" fontId="30" fillId="0" borderId="0" xfId="0" applyFont="1" applyFill="1"/>
    <xf numFmtId="0" fontId="30" fillId="0" borderId="0" xfId="0" applyFont="1"/>
    <xf numFmtId="0" fontId="33" fillId="0" borderId="0" xfId="0" applyFont="1" applyFill="1" applyBorder="1" applyAlignment="1">
      <alignment vertical="center"/>
    </xf>
    <xf numFmtId="0" fontId="33" fillId="0" borderId="0" xfId="0" applyNumberFormat="1" applyFont="1" applyFill="1" applyAlignment="1">
      <alignment vertical="center" wrapText="1"/>
    </xf>
    <xf numFmtId="0" fontId="33" fillId="0" borderId="0" xfId="0" applyNumberFormat="1" applyFont="1" applyFill="1" applyAlignment="1">
      <alignment horizontal="left" vertical="center" wrapText="1"/>
    </xf>
    <xf numFmtId="2" fontId="33" fillId="0" borderId="0" xfId="0" applyNumberFormat="1" applyFont="1" applyFill="1" applyAlignment="1">
      <alignment vertical="center" wrapText="1"/>
    </xf>
    <xf numFmtId="0" fontId="27" fillId="0" borderId="0" xfId="0" applyNumberFormat="1" applyFont="1" applyFill="1" applyAlignment="1">
      <alignment vertical="center"/>
    </xf>
    <xf numFmtId="4" fontId="27" fillId="0" borderId="137" xfId="0" applyNumberFormat="1" applyFont="1" applyBorder="1" applyAlignment="1">
      <alignment vertical="center"/>
    </xf>
    <xf numFmtId="4" fontId="27" fillId="0" borderId="137" xfId="0" applyNumberFormat="1" applyFont="1" applyBorder="1"/>
    <xf numFmtId="4" fontId="27" fillId="6" borderId="137" xfId="0" applyNumberFormat="1" applyFont="1" applyFill="1" applyBorder="1"/>
    <xf numFmtId="173" fontId="0" fillId="0" borderId="0" xfId="0" applyNumberFormat="1" applyFont="1"/>
    <xf numFmtId="0" fontId="3" fillId="0" borderId="0" xfId="0" applyNumberFormat="1" applyFont="1"/>
    <xf numFmtId="0" fontId="4" fillId="0" borderId="0" xfId="0" applyNumberFormat="1" applyFont="1"/>
    <xf numFmtId="0" fontId="33" fillId="2" borderId="0" xfId="0" applyNumberFormat="1" applyFont="1" applyFill="1" applyAlignment="1">
      <alignment horizontal="left" vertical="center"/>
    </xf>
    <xf numFmtId="0" fontId="33" fillId="2" borderId="0" xfId="0" applyNumberFormat="1" applyFont="1" applyFill="1" applyAlignment="1">
      <alignment vertical="center"/>
    </xf>
    <xf numFmtId="0" fontId="30" fillId="0" borderId="0" xfId="0" applyFont="1" applyFill="1" applyAlignment="1">
      <alignment vertical="center"/>
    </xf>
    <xf numFmtId="0" fontId="33" fillId="0" borderId="0" xfId="0" applyNumberFormat="1" applyFont="1" applyFill="1" applyAlignment="1">
      <alignment horizontal="center" vertical="center"/>
    </xf>
    <xf numFmtId="49" fontId="27" fillId="0" borderId="0" xfId="0" applyNumberFormat="1" applyFont="1" applyFill="1" applyBorder="1" applyAlignment="1">
      <alignment horizontal="right" vertical="center"/>
    </xf>
    <xf numFmtId="1" fontId="27" fillId="0" borderId="0" xfId="0" applyNumberFormat="1" applyFont="1" applyFill="1" applyBorder="1" applyAlignment="1">
      <alignment horizontal="right" vertical="center"/>
    </xf>
    <xf numFmtId="49"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64" fontId="27"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vertical="center"/>
    </xf>
    <xf numFmtId="0" fontId="30" fillId="0" borderId="0" xfId="0" applyFont="1" applyAlignment="1">
      <alignment vertical="center"/>
    </xf>
    <xf numFmtId="0" fontId="30" fillId="0" borderId="0" xfId="0" applyFont="1" applyFill="1" applyAlignment="1">
      <alignment horizontal="center" vertical="center"/>
    </xf>
    <xf numFmtId="0" fontId="36" fillId="8" borderId="82" xfId="0" applyFont="1" applyFill="1" applyBorder="1" applyAlignment="1">
      <alignment horizontal="center" vertical="center"/>
    </xf>
    <xf numFmtId="43" fontId="36" fillId="8" borderId="82" xfId="1" applyFont="1" applyFill="1" applyBorder="1" applyAlignment="1">
      <alignment horizontal="center" vertical="center"/>
    </xf>
    <xf numFmtId="4" fontId="36" fillId="8" borderId="82" xfId="0" applyNumberFormat="1" applyFont="1" applyFill="1" applyBorder="1" applyAlignment="1">
      <alignment horizontal="center" vertical="center"/>
    </xf>
    <xf numFmtId="0" fontId="36" fillId="8" borderId="82" xfId="0" applyNumberFormat="1" applyFont="1" applyFill="1" applyBorder="1" applyAlignment="1">
      <alignment horizontal="center" vertical="center" wrapText="1"/>
    </xf>
    <xf numFmtId="0" fontId="31" fillId="0" borderId="82" xfId="0" applyNumberFormat="1" applyFont="1" applyFill="1" applyBorder="1" applyAlignment="1">
      <alignment vertical="center" wrapText="1"/>
    </xf>
    <xf numFmtId="22" fontId="31" fillId="0" borderId="82" xfId="0" applyNumberFormat="1" applyFont="1" applyFill="1" applyBorder="1" applyAlignment="1">
      <alignment horizontal="center" vertical="center" wrapText="1"/>
    </xf>
    <xf numFmtId="0" fontId="31" fillId="0" borderId="82" xfId="0" applyNumberFormat="1" applyFont="1" applyFill="1" applyBorder="1" applyAlignment="1">
      <alignment horizontal="center" vertical="center" wrapText="1"/>
    </xf>
    <xf numFmtId="0" fontId="13" fillId="0" borderId="0" xfId="0" applyFont="1" applyFill="1" applyAlignment="1"/>
    <xf numFmtId="43" fontId="13" fillId="0" borderId="0" xfId="1" applyFont="1" applyFill="1" applyAlignment="1"/>
    <xf numFmtId="0" fontId="43" fillId="0" borderId="0" xfId="0" applyFont="1" applyFill="1" applyAlignment="1"/>
    <xf numFmtId="0" fontId="44" fillId="0" borderId="0" xfId="0" applyFont="1" applyFill="1" applyBorder="1" applyAlignment="1">
      <alignment vertical="center"/>
    </xf>
    <xf numFmtId="0" fontId="45" fillId="0" borderId="0" xfId="0" applyFont="1" applyFill="1" applyAlignment="1">
      <alignment vertical="center"/>
    </xf>
    <xf numFmtId="0" fontId="44" fillId="0" borderId="0" xfId="0" applyNumberFormat="1" applyFont="1" applyFill="1" applyBorder="1" applyAlignment="1">
      <alignment vertical="center"/>
    </xf>
    <xf numFmtId="0" fontId="46" fillId="0" borderId="0" xfId="0" applyFont="1" applyFill="1" applyBorder="1" applyAlignment="1">
      <alignment vertical="center"/>
    </xf>
    <xf numFmtId="0" fontId="44" fillId="0" borderId="0" xfId="0" applyFont="1" applyFill="1" applyBorder="1" applyAlignment="1">
      <alignment horizontal="center" vertical="center"/>
    </xf>
    <xf numFmtId="0" fontId="46" fillId="0" borderId="0" xfId="0" applyFont="1" applyFill="1" applyBorder="1" applyAlignment="1">
      <alignment horizontal="justify" vertical="center"/>
    </xf>
    <xf numFmtId="0" fontId="47" fillId="0" borderId="0" xfId="0" applyFont="1" applyFill="1" applyBorder="1" applyAlignment="1">
      <alignment vertical="center"/>
    </xf>
    <xf numFmtId="0" fontId="45" fillId="0" borderId="0" xfId="0" applyFont="1"/>
    <xf numFmtId="43" fontId="13" fillId="0" borderId="27" xfId="1" applyFont="1" applyFill="1" applyBorder="1" applyAlignment="1">
      <alignment horizontal="right"/>
    </xf>
    <xf numFmtId="43" fontId="13" fillId="0" borderId="28" xfId="1" applyFont="1" applyFill="1" applyBorder="1" applyAlignment="1">
      <alignment horizontal="right"/>
    </xf>
    <xf numFmtId="43" fontId="13" fillId="0" borderId="29" xfId="1" applyFont="1" applyFill="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Fill="1" applyBorder="1" applyAlignment="1">
      <alignment horizontal="right" vertical="center"/>
    </xf>
    <xf numFmtId="43" fontId="13" fillId="0" borderId="31" xfId="1" applyFont="1" applyFill="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21" fillId="4" borderId="40" xfId="1" applyFont="1" applyFill="1" applyBorder="1" applyAlignment="1">
      <alignment horizontal="right" vertical="center"/>
    </xf>
    <xf numFmtId="43" fontId="13" fillId="0" borderId="3" xfId="1" applyFont="1" applyFill="1" applyBorder="1" applyAlignment="1">
      <alignment horizontal="right"/>
    </xf>
    <xf numFmtId="43" fontId="13" fillId="0" borderId="0" xfId="1" applyFont="1" applyFill="1" applyBorder="1" applyAlignment="1">
      <alignment horizontal="right"/>
    </xf>
    <xf numFmtId="43" fontId="13" fillId="0" borderId="4" xfId="1" applyFont="1" applyFill="1" applyBorder="1" applyAlignment="1">
      <alignment horizontal="right"/>
    </xf>
    <xf numFmtId="43" fontId="13" fillId="4" borderId="3" xfId="1" applyFont="1" applyFill="1" applyBorder="1" applyAlignment="1">
      <alignment horizontal="right" vertical="center"/>
    </xf>
    <xf numFmtId="43" fontId="13" fillId="4" borderId="4" xfId="1" applyFont="1" applyFill="1" applyBorder="1" applyAlignment="1">
      <alignment horizontal="right" vertical="center"/>
    </xf>
    <xf numFmtId="43" fontId="13" fillId="0" borderId="3" xfId="1" applyFont="1" applyFill="1" applyBorder="1" applyAlignment="1">
      <alignment horizontal="right" vertical="center"/>
    </xf>
    <xf numFmtId="43" fontId="13" fillId="0" borderId="4" xfId="1" applyFont="1" applyFill="1" applyBorder="1" applyAlignment="1">
      <alignment horizontal="right" vertical="center"/>
    </xf>
    <xf numFmtId="43" fontId="13" fillId="4" borderId="41" xfId="1" applyFont="1" applyFill="1" applyBorder="1" applyAlignment="1">
      <alignment horizontal="right" vertical="center"/>
    </xf>
    <xf numFmtId="43" fontId="13" fillId="4" borderId="42" xfId="1" applyFont="1" applyFill="1" applyBorder="1" applyAlignment="1">
      <alignment horizontal="right" vertical="center"/>
    </xf>
    <xf numFmtId="43" fontId="13" fillId="4" borderId="43" xfId="1" applyFont="1" applyFill="1" applyBorder="1" applyAlignment="1">
      <alignment horizontal="right" vertical="center"/>
    </xf>
    <xf numFmtId="43" fontId="21" fillId="0" borderId="55" xfId="1" applyFont="1" applyFill="1" applyBorder="1" applyAlignment="1">
      <alignment horizontal="right" vertical="center"/>
    </xf>
    <xf numFmtId="43" fontId="21" fillId="0" borderId="56" xfId="1" applyFont="1" applyFill="1" applyBorder="1" applyAlignment="1">
      <alignment horizontal="right" vertical="center"/>
    </xf>
    <xf numFmtId="43" fontId="21" fillId="0" borderId="57" xfId="1" applyFont="1" applyFill="1" applyBorder="1" applyAlignment="1">
      <alignment horizontal="right" vertical="center"/>
    </xf>
    <xf numFmtId="43" fontId="21" fillId="4" borderId="55" xfId="1" applyFont="1" applyFill="1" applyBorder="1" applyAlignment="1">
      <alignment horizontal="right" vertical="center"/>
    </xf>
    <xf numFmtId="43" fontId="21" fillId="4" borderId="56" xfId="1" applyFont="1" applyFill="1" applyBorder="1" applyAlignment="1">
      <alignment horizontal="right" vertical="center"/>
    </xf>
    <xf numFmtId="43" fontId="21" fillId="4" borderId="57" xfId="1" applyFont="1" applyFill="1" applyBorder="1" applyAlignment="1">
      <alignment horizontal="right" vertical="center"/>
    </xf>
    <xf numFmtId="0" fontId="4" fillId="2" borderId="0" xfId="0" quotePrefix="1" applyNumberFormat="1" applyFont="1" applyFill="1" applyBorder="1" applyAlignment="1">
      <alignment horizontal="left" vertical="top"/>
    </xf>
    <xf numFmtId="0" fontId="48" fillId="0" borderId="0" xfId="0" applyFont="1"/>
    <xf numFmtId="0" fontId="21" fillId="2" borderId="0" xfId="0" quotePrefix="1" applyNumberFormat="1" applyFont="1" applyFill="1" applyBorder="1" applyAlignment="1">
      <alignment horizontal="left" vertical="top"/>
    </xf>
    <xf numFmtId="0" fontId="13" fillId="2" borderId="0" xfId="0" applyNumberFormat="1" applyFont="1" applyFill="1" applyBorder="1" applyAlignment="1">
      <alignment vertical="top"/>
    </xf>
    <xf numFmtId="0" fontId="21" fillId="2" borderId="0" xfId="0" applyNumberFormat="1" applyFont="1" applyFill="1" applyBorder="1" applyAlignment="1"/>
    <xf numFmtId="17" fontId="21" fillId="2" borderId="0" xfId="0" quotePrefix="1" applyNumberFormat="1" applyFont="1" applyFill="1" applyBorder="1" applyAlignment="1">
      <alignment horizontal="center"/>
    </xf>
    <xf numFmtId="17" fontId="13" fillId="2" borderId="0" xfId="0" applyNumberFormat="1" applyFont="1" applyFill="1" applyBorder="1" applyAlignment="1">
      <alignment horizontal="centerContinuous"/>
    </xf>
    <xf numFmtId="0" fontId="21" fillId="2" borderId="0" xfId="0" applyNumberFormat="1" applyFont="1" applyFill="1" applyBorder="1" applyAlignment="1">
      <alignment horizontal="centerContinuous"/>
    </xf>
    <xf numFmtId="0" fontId="13" fillId="2" borderId="0" xfId="0" applyNumberFormat="1" applyFont="1" applyFill="1" applyBorder="1" applyAlignment="1">
      <alignment horizontal="centerContinuous"/>
    </xf>
    <xf numFmtId="0" fontId="13" fillId="2" borderId="0" xfId="0" applyNumberFormat="1" applyFont="1" applyFill="1" applyBorder="1" applyAlignment="1">
      <alignment horizontal="left"/>
    </xf>
    <xf numFmtId="0" fontId="5" fillId="2" borderId="0" xfId="0" applyNumberFormat="1" applyFont="1" applyFill="1" applyBorder="1" applyAlignment="1">
      <alignment vertical="top"/>
    </xf>
    <xf numFmtId="0" fontId="5" fillId="2" borderId="0" xfId="0" quotePrefix="1" applyNumberFormat="1" applyFont="1" applyFill="1" applyBorder="1" applyAlignment="1">
      <alignment horizontal="right" vertical="top"/>
    </xf>
    <xf numFmtId="0" fontId="50" fillId="0" borderId="0" xfId="0" applyFont="1" applyFill="1" applyBorder="1" applyAlignment="1">
      <alignment vertical="center"/>
    </xf>
    <xf numFmtId="0" fontId="51" fillId="0" borderId="0" xfId="0" applyFont="1" applyFill="1" applyAlignment="1">
      <alignment vertical="center"/>
    </xf>
    <xf numFmtId="0" fontId="50" fillId="0" borderId="0" xfId="0" applyNumberFormat="1" applyFont="1" applyFill="1" applyBorder="1" applyAlignment="1">
      <alignment vertical="center"/>
    </xf>
    <xf numFmtId="0" fontId="51" fillId="0" borderId="0" xfId="0" applyFont="1" applyFill="1" applyBorder="1" applyAlignment="1">
      <alignment vertical="center"/>
    </xf>
    <xf numFmtId="0" fontId="52" fillId="0" borderId="0" xfId="0" applyFont="1" applyFill="1" applyBorder="1" applyAlignment="1">
      <alignment vertical="center"/>
    </xf>
    <xf numFmtId="0" fontId="52" fillId="0" borderId="0" xfId="0" applyFont="1" applyFill="1" applyBorder="1" applyAlignment="1">
      <alignment horizontal="right" vertical="center"/>
    </xf>
    <xf numFmtId="0" fontId="50" fillId="0" borderId="0" xfId="0" applyFont="1" applyFill="1" applyBorder="1" applyAlignment="1">
      <alignment horizontal="center" vertical="center"/>
    </xf>
    <xf numFmtId="0" fontId="52" fillId="0" borderId="0" xfId="0" applyFont="1" applyFill="1" applyBorder="1" applyAlignment="1">
      <alignment horizontal="justify" vertical="center"/>
    </xf>
    <xf numFmtId="17" fontId="53" fillId="0" borderId="0" xfId="0" applyNumberFormat="1" applyFont="1" applyFill="1" applyBorder="1" applyAlignment="1">
      <alignment vertical="center"/>
    </xf>
    <xf numFmtId="2" fontId="53" fillId="0" borderId="0" xfId="0" applyNumberFormat="1" applyFont="1" applyFill="1" applyBorder="1" applyAlignment="1">
      <alignment vertical="center"/>
    </xf>
    <xf numFmtId="0" fontId="53" fillId="0" borderId="0" xfId="0" quotePrefix="1" applyNumberFormat="1" applyFont="1" applyFill="1" applyBorder="1" applyAlignment="1">
      <alignment vertical="center" wrapText="1"/>
    </xf>
    <xf numFmtId="2" fontId="53" fillId="0" borderId="0" xfId="0" quotePrefix="1" applyNumberFormat="1" applyFont="1" applyFill="1" applyBorder="1" applyAlignment="1">
      <alignment vertical="center" wrapText="1"/>
    </xf>
    <xf numFmtId="0" fontId="53" fillId="0" borderId="0" xfId="0" applyFont="1" applyFill="1" applyBorder="1" applyAlignment="1">
      <alignment vertical="center"/>
    </xf>
    <xf numFmtId="0" fontId="53" fillId="0" borderId="0" xfId="0" applyFont="1" applyFill="1" applyAlignment="1">
      <alignment vertical="center"/>
    </xf>
    <xf numFmtId="14" fontId="50" fillId="0" borderId="0" xfId="0" applyNumberFormat="1" applyFont="1" applyFill="1" applyBorder="1" applyAlignment="1">
      <alignment vertical="center"/>
    </xf>
    <xf numFmtId="0" fontId="51" fillId="0" borderId="0" xfId="0" applyFont="1" applyAlignment="1">
      <alignment vertical="center"/>
    </xf>
    <xf numFmtId="0" fontId="49" fillId="0" borderId="0" xfId="0" applyFont="1" applyBorder="1" applyAlignment="1">
      <alignment vertical="center"/>
    </xf>
    <xf numFmtId="1" fontId="54" fillId="0" borderId="0" xfId="0" applyNumberFormat="1" applyFont="1" applyFill="1" applyBorder="1" applyAlignment="1">
      <alignment horizontal="center" vertical="center"/>
    </xf>
    <xf numFmtId="170" fontId="55" fillId="7" borderId="0" xfId="3" applyFont="1" applyFill="1" applyBorder="1"/>
    <xf numFmtId="0" fontId="51" fillId="0" borderId="0" xfId="0" applyNumberFormat="1" applyFont="1" applyFill="1"/>
    <xf numFmtId="1" fontId="56" fillId="0" borderId="0" xfId="3" applyNumberFormat="1" applyFont="1" applyFill="1" applyBorder="1" applyAlignment="1">
      <alignment horizontal="center"/>
    </xf>
    <xf numFmtId="171" fontId="56" fillId="0" borderId="0" xfId="3" applyNumberFormat="1" applyFont="1" applyBorder="1" applyAlignment="1">
      <alignment horizontal="center"/>
    </xf>
    <xf numFmtId="2" fontId="57" fillId="0" borderId="0" xfId="3" applyNumberFormat="1" applyFont="1" applyFill="1"/>
    <xf numFmtId="0" fontId="51" fillId="0" borderId="0" xfId="0" applyNumberFormat="1" applyFont="1" applyFill="1" applyAlignment="1">
      <alignment vertical="center"/>
    </xf>
    <xf numFmtId="164" fontId="54" fillId="0" borderId="0" xfId="0" applyNumberFormat="1" applyFont="1" applyFill="1" applyBorder="1" applyAlignment="1">
      <alignment horizontal="right" vertical="center"/>
    </xf>
    <xf numFmtId="165" fontId="54" fillId="0" borderId="0" xfId="0" applyNumberFormat="1" applyFont="1" applyFill="1" applyBorder="1" applyAlignment="1">
      <alignment horizontal="right" vertical="center"/>
    </xf>
    <xf numFmtId="166" fontId="54" fillId="0" borderId="0" xfId="2" applyNumberFormat="1" applyFont="1" applyFill="1" applyBorder="1" applyAlignment="1">
      <alignment horizontal="right" vertical="center"/>
    </xf>
    <xf numFmtId="2" fontId="57" fillId="2" borderId="0" xfId="3" applyNumberFormat="1" applyFont="1" applyFill="1"/>
    <xf numFmtId="0" fontId="54" fillId="0" borderId="0" xfId="0" applyFont="1" applyBorder="1" applyAlignment="1">
      <alignment vertical="center"/>
    </xf>
    <xf numFmtId="0" fontId="54" fillId="0" borderId="0" xfId="0" applyFont="1" applyAlignment="1">
      <alignment vertical="center"/>
    </xf>
    <xf numFmtId="2" fontId="58" fillId="0" borderId="0" xfId="0" applyNumberFormat="1" applyFont="1"/>
    <xf numFmtId="2" fontId="57" fillId="0" borderId="0" xfId="3" applyNumberFormat="1" applyFont="1" applyFill="1" applyAlignment="1">
      <alignment horizontal="center"/>
    </xf>
    <xf numFmtId="0" fontId="59" fillId="0" borderId="0" xfId="0" applyFont="1" applyBorder="1" applyAlignment="1">
      <alignment vertical="center"/>
    </xf>
    <xf numFmtId="49" fontId="31" fillId="0" borderId="0" xfId="0" applyNumberFormat="1" applyFont="1" applyFill="1" applyBorder="1" applyAlignment="1">
      <alignment horizontal="center"/>
    </xf>
    <xf numFmtId="0" fontId="31" fillId="0" borderId="0" xfId="0" applyFont="1"/>
    <xf numFmtId="1" fontId="0" fillId="0" borderId="0" xfId="0" applyNumberFormat="1" applyFont="1" applyFill="1" applyBorder="1"/>
    <xf numFmtId="1" fontId="31" fillId="0" borderId="0" xfId="0" applyNumberFormat="1" applyFont="1" applyFill="1" applyBorder="1" applyAlignment="1">
      <alignment horizontal="right"/>
    </xf>
    <xf numFmtId="0" fontId="31" fillId="0" borderId="0" xfId="0" applyFont="1" applyAlignment="1">
      <alignment horizontal="right"/>
    </xf>
    <xf numFmtId="164" fontId="0" fillId="0" borderId="0" xfId="0" applyNumberFormat="1" applyFont="1" applyFill="1" applyBorder="1" applyAlignment="1">
      <alignment horizontal="right"/>
    </xf>
    <xf numFmtId="49" fontId="31" fillId="0" borderId="0" xfId="0" applyNumberFormat="1" applyFont="1" applyBorder="1" applyAlignment="1">
      <alignment horizontal="right"/>
    </xf>
    <xf numFmtId="49" fontId="31" fillId="0" borderId="0" xfId="0" applyNumberFormat="1" applyFont="1" applyFill="1" applyBorder="1" applyAlignment="1">
      <alignment horizontal="right"/>
    </xf>
    <xf numFmtId="164" fontId="31" fillId="0" borderId="0" xfId="0" applyNumberFormat="1" applyFont="1" applyFill="1" applyBorder="1" applyAlignment="1">
      <alignment horizontal="right"/>
    </xf>
    <xf numFmtId="166" fontId="0" fillId="0" borderId="0" xfId="2" applyNumberFormat="1" applyFont="1" applyFill="1" applyBorder="1" applyAlignment="1">
      <alignment horizontal="right"/>
    </xf>
    <xf numFmtId="0" fontId="31" fillId="0" borderId="0" xfId="0" applyFont="1" applyBorder="1" applyAlignment="1">
      <alignment horizontal="right"/>
    </xf>
    <xf numFmtId="165" fontId="0" fillId="0" borderId="0" xfId="0" applyNumberFormat="1" applyFont="1" applyFill="1" applyBorder="1" applyAlignment="1">
      <alignment horizontal="right"/>
    </xf>
    <xf numFmtId="14" fontId="27" fillId="0" borderId="137" xfId="0" applyNumberFormat="1" applyFont="1" applyBorder="1"/>
    <xf numFmtId="20" fontId="27" fillId="0" borderId="137" xfId="0" applyNumberFormat="1" applyFont="1" applyBorder="1" applyAlignment="1">
      <alignment horizontal="center" vertical="center"/>
    </xf>
    <xf numFmtId="20" fontId="27" fillId="0" borderId="137" xfId="0" applyNumberFormat="1" applyFont="1" applyBorder="1" applyAlignment="1">
      <alignment horizontal="center"/>
    </xf>
    <xf numFmtId="0" fontId="60" fillId="0" borderId="0" xfId="0" applyFont="1" applyFill="1" applyBorder="1" applyAlignment="1">
      <alignment vertical="center"/>
    </xf>
    <xf numFmtId="0" fontId="60" fillId="0" borderId="0" xfId="0" quotePrefix="1" applyNumberFormat="1" applyFont="1" applyFill="1" applyBorder="1" applyAlignment="1">
      <alignment vertical="center" wrapText="1"/>
    </xf>
    <xf numFmtId="0" fontId="60" fillId="0" borderId="0" xfId="0" applyNumberFormat="1" applyFont="1" applyFill="1" applyBorder="1" applyAlignment="1">
      <alignment vertical="center"/>
    </xf>
    <xf numFmtId="0" fontId="60" fillId="0" borderId="0" xfId="0" applyFont="1" applyFill="1" applyAlignment="1">
      <alignment vertical="center"/>
    </xf>
    <xf numFmtId="43" fontId="13" fillId="0" borderId="10" xfId="1" applyNumberFormat="1" applyFont="1" applyFill="1" applyBorder="1" applyAlignment="1">
      <alignment horizontal="right" vertical="center"/>
    </xf>
    <xf numFmtId="43" fontId="13" fillId="4" borderId="0" xfId="1" applyNumberFormat="1" applyFont="1" applyFill="1" applyBorder="1" applyAlignment="1">
      <alignment horizontal="right" vertical="center"/>
    </xf>
    <xf numFmtId="43" fontId="13" fillId="0" borderId="0" xfId="1" applyNumberFormat="1" applyFont="1" applyFill="1" applyBorder="1" applyAlignment="1">
      <alignment horizontal="right" vertical="center"/>
    </xf>
    <xf numFmtId="43" fontId="21" fillId="0" borderId="36" xfId="0" applyNumberFormat="1" applyFont="1" applyFill="1" applyBorder="1" applyAlignment="1">
      <alignment horizontal="right" vertical="center"/>
    </xf>
    <xf numFmtId="2" fontId="0" fillId="4" borderId="10" xfId="0" applyNumberFormat="1" applyFon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NumberFormat="1" applyFont="1" applyFill="1" applyBorder="1" applyAlignment="1">
      <alignment horizontal="right" vertical="center"/>
    </xf>
    <xf numFmtId="43" fontId="13" fillId="0" borderId="11" xfId="1" applyNumberFormat="1" applyFont="1" applyFill="1" applyBorder="1" applyAlignment="1">
      <alignment horizontal="right" vertical="center"/>
    </xf>
    <xf numFmtId="43" fontId="13" fillId="4" borderId="12" xfId="1" applyNumberFormat="1" applyFont="1" applyFill="1" applyBorder="1" applyAlignment="1">
      <alignment horizontal="right" vertical="center"/>
    </xf>
    <xf numFmtId="43" fontId="13" fillId="4" borderId="13" xfId="1" applyNumberFormat="1" applyFont="1" applyFill="1" applyBorder="1" applyAlignment="1">
      <alignment horizontal="right" vertical="center"/>
    </xf>
    <xf numFmtId="43" fontId="13" fillId="0" borderId="12" xfId="1" applyNumberFormat="1" applyFont="1" applyFill="1" applyBorder="1" applyAlignment="1">
      <alignment horizontal="right" vertical="center"/>
    </xf>
    <xf numFmtId="43" fontId="13" fillId="0" borderId="13" xfId="1" applyNumberFormat="1" applyFont="1" applyFill="1" applyBorder="1" applyAlignment="1">
      <alignment horizontal="right" vertical="center"/>
    </xf>
    <xf numFmtId="43" fontId="21" fillId="0" borderId="35" xfId="0" applyNumberFormat="1" applyFont="1" applyFill="1" applyBorder="1" applyAlignment="1">
      <alignment horizontal="right" vertical="center"/>
    </xf>
    <xf numFmtId="43" fontId="21" fillId="0" borderId="37" xfId="0" applyNumberFormat="1" applyFont="1" applyFill="1" applyBorder="1" applyAlignment="1">
      <alignment horizontal="right" vertical="center"/>
    </xf>
    <xf numFmtId="43" fontId="0" fillId="0" borderId="9" xfId="1" applyNumberFormat="1" applyFont="1" applyFill="1" applyBorder="1" applyAlignment="1">
      <alignment horizontal="right" vertical="center"/>
    </xf>
    <xf numFmtId="43" fontId="0" fillId="4" borderId="12" xfId="1" applyNumberFormat="1" applyFont="1" applyFill="1" applyBorder="1" applyAlignment="1">
      <alignment horizontal="right" vertical="center"/>
    </xf>
    <xf numFmtId="43" fontId="0" fillId="0" borderId="12" xfId="1" applyNumberFormat="1" applyFont="1" applyFill="1" applyBorder="1" applyAlignment="1">
      <alignment horizontal="right" vertical="center"/>
    </xf>
    <xf numFmtId="2" fontId="21" fillId="0" borderId="38" xfId="0" applyNumberFormat="1" applyFont="1" applyFill="1" applyBorder="1" applyAlignment="1">
      <alignment horizontal="right" vertical="center"/>
    </xf>
    <xf numFmtId="2" fontId="21" fillId="0" borderId="39" xfId="0" applyNumberFormat="1" applyFont="1" applyFill="1" applyBorder="1" applyAlignment="1">
      <alignment horizontal="right" vertical="center"/>
    </xf>
    <xf numFmtId="2" fontId="3" fillId="0" borderId="40" xfId="0" applyNumberFormat="1" applyFont="1" applyFill="1" applyBorder="1" applyAlignment="1">
      <alignment horizontal="right" vertical="center"/>
    </xf>
    <xf numFmtId="2" fontId="3" fillId="0" borderId="38" xfId="0" applyNumberFormat="1" applyFont="1" applyFill="1" applyBorder="1" applyAlignment="1">
      <alignment horizontal="right" vertical="center"/>
    </xf>
    <xf numFmtId="10" fontId="0" fillId="0" borderId="0" xfId="2" applyNumberFormat="1" applyFont="1"/>
    <xf numFmtId="0" fontId="4" fillId="2" borderId="0" xfId="0" applyNumberFormat="1" applyFont="1" applyFill="1" applyAlignment="1">
      <alignment horizontal="center"/>
    </xf>
    <xf numFmtId="43" fontId="0" fillId="0" borderId="0" xfId="0" applyNumberFormat="1" applyFont="1" applyFill="1"/>
    <xf numFmtId="2" fontId="51" fillId="0" borderId="0" xfId="0" applyNumberFormat="1" applyFont="1" applyFill="1" applyAlignment="1">
      <alignment vertical="center"/>
    </xf>
    <xf numFmtId="2" fontId="52" fillId="0" borderId="0" xfId="0" applyNumberFormat="1" applyFont="1" applyFill="1" applyBorder="1" applyAlignment="1">
      <alignment vertical="center"/>
    </xf>
    <xf numFmtId="0" fontId="61" fillId="0" borderId="82" xfId="0" applyFont="1" applyFill="1" applyBorder="1" applyAlignment="1">
      <alignment vertical="center" wrapText="1"/>
    </xf>
    <xf numFmtId="22" fontId="61" fillId="0" borderId="82" xfId="0" applyNumberFormat="1" applyFont="1" applyFill="1" applyBorder="1" applyAlignment="1">
      <alignment horizontal="center" vertical="center"/>
    </xf>
    <xf numFmtId="0" fontId="61" fillId="0" borderId="82" xfId="0" applyFont="1" applyFill="1" applyBorder="1" applyAlignment="1">
      <alignment horizontal="justify" vertical="center"/>
    </xf>
    <xf numFmtId="0" fontId="61" fillId="0" borderId="82" xfId="0" applyFont="1" applyFill="1" applyBorder="1" applyAlignment="1">
      <alignment horizontal="center" vertical="center"/>
    </xf>
    <xf numFmtId="0" fontId="61" fillId="0" borderId="82" xfId="0" applyNumberFormat="1" applyFont="1" applyFill="1" applyBorder="1" applyAlignment="1">
      <alignment vertical="center" wrapText="1"/>
    </xf>
    <xf numFmtId="22" fontId="61" fillId="0" borderId="82" xfId="0" applyNumberFormat="1" applyFont="1" applyFill="1" applyBorder="1" applyAlignment="1">
      <alignment horizontal="center" vertical="center" wrapText="1"/>
    </xf>
    <xf numFmtId="0" fontId="61" fillId="0" borderId="82" xfId="0" applyNumberFormat="1" applyFont="1" applyFill="1" applyBorder="1" applyAlignment="1">
      <alignment horizontal="justify" vertical="center" wrapText="1"/>
    </xf>
    <xf numFmtId="0" fontId="61" fillId="0" borderId="82" xfId="0" applyNumberFormat="1" applyFont="1" applyFill="1" applyBorder="1" applyAlignment="1">
      <alignment horizontal="center" vertical="center" wrapText="1"/>
    </xf>
    <xf numFmtId="0" fontId="23" fillId="2" borderId="0" xfId="0" applyNumberFormat="1" applyFont="1" applyFill="1" applyBorder="1" applyAlignment="1">
      <alignment horizontal="left" vertical="center" wrapText="1"/>
    </xf>
    <xf numFmtId="0" fontId="13" fillId="2" borderId="0" xfId="0" applyNumberFormat="1" applyFont="1" applyFill="1" applyBorder="1" applyAlignment="1">
      <alignment horizontal="left" vertical="center" wrapText="1"/>
    </xf>
    <xf numFmtId="0" fontId="32" fillId="3" borderId="46" xfId="0" applyFont="1" applyFill="1" applyBorder="1" applyAlignment="1">
      <alignment vertical="center"/>
    </xf>
    <xf numFmtId="10" fontId="32" fillId="3" borderId="46" xfId="2" applyNumberFormat="1" applyFont="1" applyFill="1" applyBorder="1" applyAlignment="1">
      <alignment vertical="center"/>
    </xf>
    <xf numFmtId="0" fontId="27" fillId="0" borderId="63" xfId="0" applyNumberFormat="1" applyFont="1" applyFill="1" applyBorder="1" applyAlignment="1">
      <alignment vertical="center"/>
    </xf>
    <xf numFmtId="165" fontId="27" fillId="0" borderId="63" xfId="0" applyNumberFormat="1" applyFont="1" applyFill="1" applyBorder="1" applyAlignment="1">
      <alignment vertical="center"/>
    </xf>
    <xf numFmtId="0" fontId="32" fillId="3" borderId="0" xfId="0" applyFont="1" applyFill="1" applyBorder="1" applyAlignment="1">
      <alignment vertical="center"/>
    </xf>
    <xf numFmtId="4" fontId="32" fillId="3" borderId="0" xfId="0" applyNumberFormat="1" applyFont="1" applyFill="1" applyBorder="1" applyAlignment="1">
      <alignment vertical="center"/>
    </xf>
    <xf numFmtId="10" fontId="32" fillId="3" borderId="0" xfId="2" applyNumberFormat="1" applyFont="1" applyFill="1" applyBorder="1" applyAlignment="1">
      <alignment vertical="center"/>
    </xf>
    <xf numFmtId="0" fontId="27" fillId="2" borderId="62" xfId="0" applyFont="1" applyFill="1" applyBorder="1" applyAlignment="1">
      <alignment vertical="center"/>
    </xf>
    <xf numFmtId="169" fontId="27" fillId="2" borderId="62" xfId="0" applyNumberFormat="1" applyFont="1" applyFill="1" applyBorder="1" applyAlignment="1">
      <alignment vertical="center"/>
    </xf>
    <xf numFmtId="166" fontId="33" fillId="2" borderId="62" xfId="2" applyNumberFormat="1" applyFont="1" applyFill="1" applyBorder="1" applyAlignment="1">
      <alignment vertical="center"/>
    </xf>
    <xf numFmtId="0" fontId="27" fillId="4" borderId="63" xfId="0" applyFont="1" applyFill="1" applyBorder="1" applyAlignment="1">
      <alignment vertical="center"/>
    </xf>
    <xf numFmtId="169" fontId="27" fillId="4" borderId="63" xfId="0" applyNumberFormat="1" applyFont="1" applyFill="1" applyBorder="1" applyAlignment="1">
      <alignment vertical="center"/>
    </xf>
    <xf numFmtId="166" fontId="33" fillId="4" borderId="63" xfId="2" applyNumberFormat="1" applyFont="1" applyFill="1" applyBorder="1" applyAlignment="1">
      <alignment vertical="center"/>
    </xf>
    <xf numFmtId="0" fontId="27" fillId="2" borderId="63" xfId="0" applyFont="1" applyFill="1" applyBorder="1" applyAlignment="1">
      <alignment vertical="center"/>
    </xf>
    <xf numFmtId="169" fontId="27" fillId="2" borderId="63" xfId="0" applyNumberFormat="1" applyFont="1" applyFill="1" applyBorder="1" applyAlignment="1">
      <alignment vertical="center"/>
    </xf>
    <xf numFmtId="166" fontId="33" fillId="2" borderId="63" xfId="2" applyNumberFormat="1" applyFont="1" applyFill="1" applyBorder="1" applyAlignment="1">
      <alignment vertical="center"/>
    </xf>
    <xf numFmtId="0" fontId="27" fillId="2" borderId="64" xfId="0" applyFont="1" applyFill="1" applyBorder="1" applyAlignment="1">
      <alignment vertical="center"/>
    </xf>
    <xf numFmtId="169" fontId="27" fillId="2" borderId="64" xfId="0" applyNumberFormat="1" applyFont="1" applyFill="1" applyBorder="1" applyAlignment="1">
      <alignment vertical="center"/>
    </xf>
    <xf numFmtId="166" fontId="33" fillId="2" borderId="64" xfId="2" applyNumberFormat="1" applyFont="1" applyFill="1" applyBorder="1" applyAlignment="1">
      <alignment vertical="center"/>
    </xf>
    <xf numFmtId="0" fontId="27" fillId="4" borderId="65" xfId="0" applyFont="1" applyFill="1" applyBorder="1" applyAlignment="1">
      <alignment vertical="center"/>
    </xf>
    <xf numFmtId="169" fontId="27" fillId="4" borderId="65" xfId="0" applyNumberFormat="1" applyFont="1" applyFill="1" applyBorder="1" applyAlignment="1">
      <alignment vertical="center"/>
    </xf>
    <xf numFmtId="166" fontId="33" fillId="4" borderId="65" xfId="2" applyNumberFormat="1" applyFont="1" applyFill="1" applyBorder="1" applyAlignment="1">
      <alignment vertical="center"/>
    </xf>
    <xf numFmtId="0" fontId="27" fillId="2" borderId="65" xfId="0" applyFont="1" applyFill="1" applyBorder="1" applyAlignment="1">
      <alignment vertical="center"/>
    </xf>
    <xf numFmtId="169" fontId="27" fillId="2" borderId="65" xfId="0" applyNumberFormat="1" applyFont="1" applyFill="1" applyBorder="1" applyAlignment="1">
      <alignment vertical="center"/>
    </xf>
    <xf numFmtId="166" fontId="33" fillId="2" borderId="65" xfId="2" applyNumberFormat="1" applyFont="1" applyFill="1" applyBorder="1" applyAlignment="1">
      <alignment vertical="center"/>
    </xf>
    <xf numFmtId="0" fontId="27" fillId="4" borderId="142" xfId="0" applyFont="1" applyFill="1" applyBorder="1" applyAlignment="1">
      <alignment vertical="center"/>
    </xf>
    <xf numFmtId="169" fontId="27" fillId="4" borderId="142" xfId="0" applyNumberFormat="1" applyFont="1" applyFill="1" applyBorder="1" applyAlignment="1">
      <alignment vertical="center"/>
    </xf>
    <xf numFmtId="166" fontId="33" fillId="4" borderId="142" xfId="2" applyNumberFormat="1" applyFont="1" applyFill="1" applyBorder="1" applyAlignment="1">
      <alignment vertical="center"/>
    </xf>
    <xf numFmtId="0" fontId="27" fillId="2" borderId="0" xfId="0" applyFont="1" applyFill="1" applyBorder="1" applyAlignment="1">
      <alignment vertical="center"/>
    </xf>
    <xf numFmtId="166" fontId="33" fillId="2" borderId="48" xfId="2" applyNumberFormat="1" applyFont="1" applyFill="1" applyBorder="1" applyAlignment="1">
      <alignment vertical="center"/>
    </xf>
    <xf numFmtId="0" fontId="27" fillId="4" borderId="0" xfId="0" applyFont="1" applyFill="1" applyBorder="1" applyAlignment="1">
      <alignment vertical="center"/>
    </xf>
    <xf numFmtId="166" fontId="33" fillId="4" borderId="48" xfId="2" applyNumberFormat="1" applyFont="1" applyFill="1" applyBorder="1" applyAlignment="1">
      <alignment vertical="center"/>
    </xf>
    <xf numFmtId="166" fontId="40" fillId="4" borderId="48" xfId="2" applyNumberFormat="1" applyFont="1" applyFill="1" applyBorder="1" applyAlignment="1">
      <alignment vertical="center"/>
    </xf>
    <xf numFmtId="0" fontId="27" fillId="2" borderId="49" xfId="0" applyFont="1" applyFill="1" applyBorder="1" applyAlignment="1">
      <alignment vertical="center"/>
    </xf>
    <xf numFmtId="0" fontId="27" fillId="4" borderId="50" xfId="0" applyFont="1" applyFill="1" applyBorder="1" applyAlignment="1">
      <alignment vertical="center"/>
    </xf>
    <xf numFmtId="0" fontId="27" fillId="2" borderId="50" xfId="0" applyFont="1" applyFill="1" applyBorder="1" applyAlignment="1">
      <alignment vertical="center"/>
    </xf>
    <xf numFmtId="166" fontId="33" fillId="2" borderId="52" xfId="2" applyNumberFormat="1" applyFont="1" applyFill="1" applyBorder="1" applyAlignment="1">
      <alignment vertical="center"/>
    </xf>
    <xf numFmtId="0" fontId="27" fillId="4" borderId="53" xfId="0" applyFont="1" applyFill="1" applyBorder="1" applyAlignment="1">
      <alignment vertical="center"/>
    </xf>
    <xf numFmtId="0" fontId="63" fillId="2" borderId="92" xfId="0" applyNumberFormat="1" applyFont="1" applyFill="1" applyBorder="1" applyAlignment="1">
      <alignment horizontal="center" vertical="center" wrapText="1"/>
    </xf>
    <xf numFmtId="0" fontId="63" fillId="2" borderId="92" xfId="0" applyNumberFormat="1" applyFont="1" applyFill="1" applyBorder="1" applyAlignment="1">
      <alignment horizontal="center" vertical="center"/>
    </xf>
    <xf numFmtId="0" fontId="63" fillId="2" borderId="92" xfId="2" applyNumberFormat="1" applyFont="1" applyFill="1" applyBorder="1" applyAlignment="1">
      <alignment horizontal="center" vertical="center"/>
    </xf>
    <xf numFmtId="0" fontId="62" fillId="0" borderId="92" xfId="0" applyNumberFormat="1" applyFont="1" applyFill="1" applyBorder="1" applyAlignment="1">
      <alignment horizontal="center" vertical="center"/>
    </xf>
    <xf numFmtId="4" fontId="63" fillId="0" borderId="92" xfId="0" applyNumberFormat="1" applyFont="1" applyFill="1" applyBorder="1" applyAlignment="1">
      <alignment horizontal="center" vertical="center"/>
    </xf>
    <xf numFmtId="0" fontId="62" fillId="4" borderId="92" xfId="0" applyFont="1" applyFill="1" applyBorder="1" applyAlignment="1">
      <alignment vertical="center"/>
    </xf>
    <xf numFmtId="0" fontId="63" fillId="4" borderId="92" xfId="0" applyNumberFormat="1" applyFont="1" applyFill="1" applyBorder="1" applyAlignment="1">
      <alignment horizontal="center" vertical="center"/>
    </xf>
    <xf numFmtId="0" fontId="63" fillId="4" borderId="92" xfId="2" applyNumberFormat="1" applyFont="1" applyFill="1" applyBorder="1" applyAlignment="1">
      <alignment horizontal="center" vertical="center"/>
    </xf>
    <xf numFmtId="0" fontId="62" fillId="4" borderId="92" xfId="0" applyNumberFormat="1" applyFont="1" applyFill="1" applyBorder="1" applyAlignment="1">
      <alignment horizontal="center" vertical="center"/>
    </xf>
    <xf numFmtId="4" fontId="63" fillId="4" borderId="92" xfId="0" applyNumberFormat="1" applyFont="1" applyFill="1" applyBorder="1" applyAlignment="1">
      <alignment horizontal="center" vertical="center"/>
    </xf>
    <xf numFmtId="0" fontId="31" fillId="0" borderId="0" xfId="0" applyNumberFormat="1" applyFont="1" applyFill="1" applyBorder="1" applyAlignment="1">
      <alignment vertical="center" wrapText="1"/>
    </xf>
    <xf numFmtId="22" fontId="31" fillId="0" borderId="0" xfId="0" applyNumberFormat="1" applyFont="1" applyFill="1" applyBorder="1" applyAlignment="1">
      <alignment horizontal="center" vertical="center" wrapText="1"/>
    </xf>
    <xf numFmtId="0" fontId="61" fillId="0" borderId="0" xfId="0" applyNumberFormat="1" applyFont="1" applyFill="1" applyBorder="1" applyAlignment="1">
      <alignment horizontal="justify" vertical="center" wrapText="1"/>
    </xf>
    <xf numFmtId="0" fontId="31" fillId="0" borderId="0" xfId="0" applyNumberFormat="1" applyFont="1" applyFill="1" applyBorder="1" applyAlignment="1">
      <alignment horizontal="center" vertical="center" wrapText="1"/>
    </xf>
    <xf numFmtId="0" fontId="37" fillId="2" borderId="0" xfId="0" applyNumberFormat="1" applyFont="1" applyFill="1"/>
    <xf numFmtId="0" fontId="37" fillId="2" borderId="0" xfId="0" applyNumberFormat="1" applyFont="1" applyFill="1" applyAlignment="1">
      <alignment horizontal="left" vertical="center"/>
    </xf>
    <xf numFmtId="4" fontId="27" fillId="0" borderId="137" xfId="0" applyNumberFormat="1" applyFont="1" applyFill="1" applyBorder="1"/>
    <xf numFmtId="20" fontId="27" fillId="0" borderId="137" xfId="0" applyNumberFormat="1" applyFont="1" applyFill="1" applyBorder="1" applyAlignment="1">
      <alignment horizontal="center"/>
    </xf>
    <xf numFmtId="4" fontId="0" fillId="0" borderId="0" xfId="0" applyNumberFormat="1" applyFont="1" applyAlignment="1">
      <alignment vertical="center"/>
    </xf>
    <xf numFmtId="4" fontId="0" fillId="0" borderId="0" xfId="0" applyNumberFormat="1" applyFont="1" applyAlignment="1">
      <alignment vertical="center" wrapText="1"/>
    </xf>
    <xf numFmtId="169" fontId="0" fillId="0" borderId="0" xfId="0" applyNumberFormat="1" applyFont="1" applyAlignment="1">
      <alignment horizontal="center" vertical="center"/>
    </xf>
    <xf numFmtId="10" fontId="21" fillId="4" borderId="57" xfId="2" applyNumberFormat="1" applyFont="1" applyFill="1" applyBorder="1" applyAlignment="1">
      <alignment horizontal="right" vertical="center"/>
    </xf>
    <xf numFmtId="0" fontId="63" fillId="2" borderId="0" xfId="0" quotePrefix="1" applyNumberFormat="1" applyFont="1" applyFill="1" applyBorder="1" applyAlignment="1">
      <alignment horizontal="left" vertical="center"/>
    </xf>
    <xf numFmtId="0" fontId="62" fillId="2" borderId="92" xfId="0" applyFont="1" applyFill="1" applyBorder="1" applyAlignment="1">
      <alignment vertical="center" wrapText="1"/>
    </xf>
    <xf numFmtId="169" fontId="13" fillId="2" borderId="0" xfId="0" applyNumberFormat="1" applyFont="1" applyFill="1" applyBorder="1" applyAlignment="1">
      <alignment horizontal="right"/>
    </xf>
    <xf numFmtId="43" fontId="0" fillId="0" borderId="0" xfId="1" applyFont="1" applyAlignment="1">
      <alignment horizontal="left"/>
    </xf>
    <xf numFmtId="10" fontId="21" fillId="0" borderId="31" xfId="2" applyNumberFormat="1" applyFont="1" applyFill="1" applyBorder="1" applyAlignment="1">
      <alignment horizontal="right" vertical="center"/>
    </xf>
    <xf numFmtId="10" fontId="21" fillId="4" borderId="40" xfId="2" applyNumberFormat="1" applyFont="1" applyFill="1" applyBorder="1" applyAlignment="1">
      <alignment horizontal="right" vertical="center"/>
    </xf>
    <xf numFmtId="49" fontId="64" fillId="0" borderId="0" xfId="0" applyNumberFormat="1" applyFont="1" applyFill="1" applyBorder="1" applyAlignment="1">
      <alignment horizontal="center"/>
    </xf>
    <xf numFmtId="0" fontId="64" fillId="0" borderId="0" xfId="0" applyFont="1" applyFill="1"/>
    <xf numFmtId="0" fontId="64" fillId="0" borderId="0" xfId="0" applyFont="1"/>
    <xf numFmtId="2" fontId="21" fillId="4" borderId="16" xfId="0" applyNumberFormat="1" applyFont="1" applyFill="1" applyBorder="1" applyAlignment="1">
      <alignment horizontal="right" vertical="center"/>
    </xf>
    <xf numFmtId="0" fontId="63" fillId="0" borderId="88" xfId="0" applyFont="1" applyFill="1" applyBorder="1" applyAlignment="1">
      <alignment vertical="center" wrapText="1"/>
    </xf>
    <xf numFmtId="4" fontId="32" fillId="3" borderId="46" xfId="0" applyNumberFormat="1" applyFont="1" applyFill="1" applyBorder="1" applyAlignment="1">
      <alignment vertical="center"/>
    </xf>
    <xf numFmtId="43" fontId="27" fillId="2" borderId="47" xfId="1" applyNumberFormat="1" applyFont="1" applyFill="1" applyBorder="1" applyAlignment="1">
      <alignment vertical="center"/>
    </xf>
    <xf numFmtId="43" fontId="27" fillId="2" borderId="47" xfId="0" applyNumberFormat="1" applyFont="1" applyFill="1" applyBorder="1" applyAlignment="1">
      <alignment vertical="center"/>
    </xf>
    <xf numFmtId="43" fontId="27" fillId="4" borderId="47" xfId="0" applyNumberFormat="1" applyFont="1" applyFill="1" applyBorder="1" applyAlignment="1">
      <alignment vertical="center"/>
    </xf>
    <xf numFmtId="43" fontId="27" fillId="2" borderId="51" xfId="0" applyNumberFormat="1" applyFont="1" applyFill="1" applyBorder="1" applyAlignment="1">
      <alignment vertical="center"/>
    </xf>
    <xf numFmtId="0" fontId="30" fillId="9" borderId="0" xfId="0" applyFont="1" applyFill="1"/>
    <xf numFmtId="0" fontId="0" fillId="9" borderId="0" xfId="0" applyFont="1" applyFill="1"/>
    <xf numFmtId="0" fontId="65" fillId="0" borderId="0" xfId="0" applyFont="1"/>
    <xf numFmtId="0" fontId="66" fillId="0" borderId="0" xfId="0" applyFont="1"/>
    <xf numFmtId="0" fontId="66" fillId="0" borderId="0" xfId="0" applyFont="1" applyAlignment="1">
      <alignment horizontal="center" vertical="center"/>
    </xf>
    <xf numFmtId="0" fontId="67" fillId="2" borderId="0" xfId="0" applyNumberFormat="1" applyFont="1" applyFill="1" applyAlignment="1">
      <alignment horizontal="left" vertical="center" wrapText="1"/>
    </xf>
    <xf numFmtId="0" fontId="65" fillId="0" borderId="0" xfId="0" applyFont="1" applyAlignment="1">
      <alignment vertical="center"/>
    </xf>
    <xf numFmtId="43" fontId="21" fillId="2" borderId="0" xfId="1" applyFont="1" applyFill="1" applyBorder="1" applyAlignment="1">
      <alignment horizontal="right"/>
    </xf>
    <xf numFmtId="43" fontId="21" fillId="0" borderId="38" xfId="1" applyFont="1" applyFill="1" applyBorder="1" applyAlignment="1">
      <alignment horizontal="right" vertical="center"/>
    </xf>
    <xf numFmtId="43" fontId="21" fillId="0" borderId="39" xfId="1" applyFont="1" applyFill="1" applyBorder="1" applyAlignment="1">
      <alignment horizontal="right" vertical="center"/>
    </xf>
    <xf numFmtId="43" fontId="13" fillId="0" borderId="30" xfId="1" applyFont="1" applyFill="1" applyBorder="1" applyAlignment="1">
      <alignment horizontal="right"/>
    </xf>
    <xf numFmtId="43" fontId="13" fillId="0" borderId="31" xfId="1" applyFont="1" applyFill="1" applyBorder="1" applyAlignment="1">
      <alignment horizontal="right"/>
    </xf>
    <xf numFmtId="43" fontId="13" fillId="0" borderId="32" xfId="1" applyFont="1" applyFill="1" applyBorder="1" applyAlignment="1">
      <alignment horizontal="right"/>
    </xf>
    <xf numFmtId="43" fontId="13" fillId="0" borderId="33" xfId="1" applyFont="1" applyFill="1" applyBorder="1" applyAlignment="1">
      <alignment horizontal="right"/>
    </xf>
    <xf numFmtId="43" fontId="13" fillId="0" borderId="34" xfId="1" applyFont="1" applyFill="1" applyBorder="1" applyAlignment="1">
      <alignment horizontal="right"/>
    </xf>
    <xf numFmtId="4" fontId="27" fillId="6" borderId="137" xfId="0" applyNumberFormat="1" applyFont="1" applyFill="1" applyBorder="1" applyAlignment="1">
      <alignment horizontal="center"/>
    </xf>
    <xf numFmtId="166" fontId="13" fillId="0" borderId="88" xfId="2" applyNumberFormat="1" applyFont="1" applyFill="1" applyBorder="1" applyAlignment="1">
      <alignment horizontal="center" vertical="center"/>
    </xf>
    <xf numFmtId="0" fontId="68" fillId="0" borderId="0" xfId="0" applyFont="1" applyFill="1" applyBorder="1"/>
    <xf numFmtId="0" fontId="68" fillId="0" borderId="0" xfId="0" applyFont="1"/>
    <xf numFmtId="2" fontId="68" fillId="0" borderId="0" xfId="0" applyNumberFormat="1" applyFont="1" applyFill="1" applyBorder="1" applyAlignment="1">
      <alignment horizontal="center" vertical="center" wrapText="1"/>
    </xf>
    <xf numFmtId="2" fontId="68" fillId="0" borderId="0" xfId="0" quotePrefix="1" applyNumberFormat="1" applyFont="1" applyFill="1" applyBorder="1" applyAlignment="1">
      <alignment horizontal="center" vertical="center" wrapText="1"/>
    </xf>
    <xf numFmtId="17" fontId="68" fillId="0" borderId="0" xfId="0" quotePrefix="1" applyNumberFormat="1" applyFont="1" applyFill="1" applyBorder="1" applyAlignment="1">
      <alignment horizontal="center" vertical="center" wrapText="1"/>
    </xf>
    <xf numFmtId="0" fontId="68" fillId="0" borderId="0" xfId="0" quotePrefix="1" applyNumberFormat="1" applyFont="1" applyFill="1" applyBorder="1" applyAlignment="1">
      <alignment horizontal="center" vertical="center" wrapText="1"/>
    </xf>
    <xf numFmtId="2" fontId="68" fillId="0" borderId="0" xfId="0" applyNumberFormat="1" applyFont="1" applyFill="1" applyBorder="1" applyAlignment="1">
      <alignment horizontal="left"/>
    </xf>
    <xf numFmtId="2" fontId="68" fillId="0" borderId="0" xfId="0" applyNumberFormat="1" applyFont="1" applyFill="1" applyBorder="1" applyAlignment="1">
      <alignment horizontal="center"/>
    </xf>
    <xf numFmtId="2" fontId="69" fillId="0" borderId="0" xfId="0" applyNumberFormat="1" applyFont="1" applyFill="1" applyBorder="1" applyAlignment="1">
      <alignment horizontal="center"/>
    </xf>
    <xf numFmtId="174" fontId="68" fillId="0" borderId="0" xfId="0" applyNumberFormat="1" applyFont="1"/>
    <xf numFmtId="43" fontId="68" fillId="0" borderId="0" xfId="1" applyFont="1" applyFill="1" applyBorder="1" applyAlignment="1">
      <alignment horizontal="center"/>
    </xf>
    <xf numFmtId="0" fontId="68" fillId="0" borderId="0" xfId="0" applyNumberFormat="1" applyFont="1" applyFill="1" applyBorder="1" applyAlignment="1">
      <alignment vertical="top" wrapText="1"/>
    </xf>
    <xf numFmtId="0" fontId="70" fillId="0" borderId="0" xfId="0" applyFont="1"/>
    <xf numFmtId="0" fontId="70" fillId="0" borderId="0" xfId="0" applyFont="1" applyAlignment="1">
      <alignment horizontal="center"/>
    </xf>
    <xf numFmtId="165" fontId="70" fillId="0" borderId="0" xfId="0" applyNumberFormat="1" applyFont="1"/>
    <xf numFmtId="0" fontId="23" fillId="2" borderId="0" xfId="0" applyNumberFormat="1" applyFont="1" applyFill="1" applyBorder="1" applyAlignment="1">
      <alignment vertical="center"/>
    </xf>
    <xf numFmtId="0" fontId="13" fillId="2" borderId="0" xfId="0" applyNumberFormat="1" applyFont="1" applyFill="1" applyBorder="1" applyAlignment="1">
      <alignment vertical="center"/>
    </xf>
    <xf numFmtId="170" fontId="71" fillId="7" borderId="0" xfId="3" applyFont="1" applyFill="1" applyBorder="1"/>
    <xf numFmtId="0" fontId="70" fillId="0" borderId="0" xfId="0" applyNumberFormat="1" applyFont="1" applyFill="1"/>
    <xf numFmtId="171" fontId="71" fillId="7" borderId="0" xfId="3" applyNumberFormat="1" applyFont="1" applyFill="1" applyBorder="1"/>
    <xf numFmtId="1" fontId="72" fillId="0" borderId="0" xfId="3" applyNumberFormat="1" applyFont="1" applyFill="1" applyBorder="1" applyAlignment="1">
      <alignment horizontal="center"/>
    </xf>
    <xf numFmtId="171" fontId="72" fillId="0" borderId="0" xfId="3" applyNumberFormat="1" applyFont="1" applyBorder="1" applyAlignment="1">
      <alignment horizontal="center"/>
    </xf>
    <xf numFmtId="2" fontId="73" fillId="0" borderId="0" xfId="3" applyNumberFormat="1" applyFont="1" applyFill="1"/>
    <xf numFmtId="2" fontId="73" fillId="0" borderId="0" xfId="3" applyNumberFormat="1" applyFont="1" applyFill="1" applyAlignment="1">
      <alignment horizontal="center"/>
    </xf>
    <xf numFmtId="2" fontId="73" fillId="0" borderId="0" xfId="3" applyNumberFormat="1" applyFont="1" applyBorder="1"/>
    <xf numFmtId="2" fontId="73" fillId="0" borderId="0" xfId="3" applyNumberFormat="1" applyFont="1"/>
    <xf numFmtId="2" fontId="73" fillId="0" borderId="0" xfId="3" applyNumberFormat="1" applyFont="1" applyAlignment="1">
      <alignment horizontal="center"/>
    </xf>
    <xf numFmtId="0" fontId="70" fillId="0" borderId="0" xfId="0" applyNumberFormat="1" applyFont="1" applyFill="1" applyAlignment="1">
      <alignment vertical="center"/>
    </xf>
    <xf numFmtId="2" fontId="73" fillId="2" borderId="0" xfId="3" applyNumberFormat="1" applyFont="1" applyFill="1"/>
    <xf numFmtId="2" fontId="74" fillId="0" borderId="0" xfId="0" applyNumberFormat="1" applyFont="1"/>
    <xf numFmtId="2" fontId="75" fillId="0" borderId="0" xfId="4" applyNumberFormat="1" applyFont="1"/>
    <xf numFmtId="43" fontId="63" fillId="0" borderId="88" xfId="1" applyFont="1" applyFill="1" applyBorder="1" applyAlignment="1">
      <alignment vertical="center" wrapText="1"/>
    </xf>
    <xf numFmtId="14" fontId="0" fillId="0" borderId="0" xfId="0" applyNumberFormat="1" applyFont="1" applyAlignment="1">
      <alignment horizontal="left"/>
    </xf>
    <xf numFmtId="20" fontId="0" fillId="0" borderId="0" xfId="0" applyNumberFormat="1" applyFont="1" applyAlignment="1">
      <alignment horizontal="left"/>
    </xf>
    <xf numFmtId="0" fontId="62" fillId="2" borderId="92" xfId="0" applyNumberFormat="1" applyFont="1" applyFill="1" applyBorder="1" applyAlignment="1">
      <alignment horizontal="center" vertical="center" wrapText="1"/>
    </xf>
    <xf numFmtId="0" fontId="62" fillId="2" borderId="92" xfId="0" applyNumberFormat="1" applyFont="1" applyFill="1" applyBorder="1" applyAlignment="1">
      <alignment horizontal="center" vertical="center"/>
    </xf>
    <xf numFmtId="0" fontId="62" fillId="2" borderId="92" xfId="2" applyNumberFormat="1" applyFont="1" applyFill="1" applyBorder="1" applyAlignment="1">
      <alignment horizontal="center" vertical="center"/>
    </xf>
    <xf numFmtId="0" fontId="63" fillId="0" borderId="102" xfId="0" applyFont="1" applyFill="1" applyBorder="1" applyAlignment="1">
      <alignment horizontal="center" vertical="center"/>
    </xf>
    <xf numFmtId="0" fontId="76" fillId="0" borderId="111" xfId="0" applyFont="1" applyBorder="1"/>
    <xf numFmtId="0" fontId="31" fillId="0" borderId="106" xfId="0" applyNumberFormat="1" applyFont="1" applyFill="1" applyBorder="1"/>
    <xf numFmtId="43" fontId="31" fillId="0" borderId="106" xfId="1" applyNumberFormat="1" applyFont="1" applyFill="1" applyBorder="1"/>
    <xf numFmtId="43" fontId="31" fillId="0" borderId="106" xfId="1" applyFont="1" applyFill="1" applyBorder="1"/>
    <xf numFmtId="43" fontId="31" fillId="0" borderId="107" xfId="1" applyFont="1" applyFill="1" applyBorder="1"/>
    <xf numFmtId="0" fontId="76" fillId="0" borderId="108" xfId="0" applyFont="1" applyBorder="1"/>
    <xf numFmtId="0" fontId="31" fillId="0" borderId="0" xfId="0" applyNumberFormat="1" applyFont="1" applyFill="1" applyBorder="1"/>
    <xf numFmtId="43" fontId="31" fillId="0" borderId="0" xfId="1" applyNumberFormat="1" applyFont="1" applyFill="1" applyBorder="1"/>
    <xf numFmtId="43" fontId="31" fillId="0" borderId="0" xfId="1" applyFont="1" applyFill="1" applyBorder="1"/>
    <xf numFmtId="43" fontId="31" fillId="0" borderId="109" xfId="1" applyFont="1" applyFill="1" applyBorder="1"/>
    <xf numFmtId="0" fontId="76" fillId="0" borderId="110" xfId="0" applyFont="1" applyBorder="1"/>
    <xf numFmtId="0" fontId="31" fillId="0" borderId="0" xfId="0" applyFont="1" applyFill="1"/>
    <xf numFmtId="43" fontId="31" fillId="0" borderId="0" xfId="0" applyNumberFormat="1" applyFont="1" applyFill="1"/>
    <xf numFmtId="0" fontId="31" fillId="0" borderId="0" xfId="0" applyFont="1" applyFill="1" applyBorder="1"/>
    <xf numFmtId="43" fontId="31" fillId="0" borderId="0" xfId="0" applyNumberFormat="1" applyFont="1" applyFill="1" applyBorder="1"/>
    <xf numFmtId="0" fontId="31" fillId="0" borderId="109" xfId="0" applyFont="1" applyFill="1" applyBorder="1"/>
    <xf numFmtId="0" fontId="76" fillId="0" borderId="110" xfId="0" applyFont="1" applyFill="1" applyBorder="1"/>
    <xf numFmtId="0" fontId="62" fillId="0" borderId="0" xfId="0" applyNumberFormat="1" applyFont="1" applyFill="1" applyAlignment="1">
      <alignment vertical="center"/>
    </xf>
    <xf numFmtId="0" fontId="62" fillId="0" borderId="0" xfId="0" applyNumberFormat="1" applyFont="1" applyFill="1" applyAlignment="1">
      <alignment horizontal="center"/>
    </xf>
    <xf numFmtId="0" fontId="62" fillId="0" borderId="0" xfId="0" applyFont="1" applyFill="1" applyBorder="1" applyAlignment="1">
      <alignment vertical="center"/>
    </xf>
    <xf numFmtId="0" fontId="62" fillId="0" borderId="0" xfId="0" applyNumberFormat="1" applyFont="1" applyFill="1" applyAlignment="1">
      <alignment vertical="center" wrapText="1"/>
    </xf>
    <xf numFmtId="0" fontId="62" fillId="0" borderId="0" xfId="0" applyNumberFormat="1" applyFont="1" applyFill="1" applyAlignment="1">
      <alignment horizontal="left" vertical="center" wrapText="1"/>
    </xf>
    <xf numFmtId="49" fontId="63" fillId="0" borderId="0" xfId="0" applyNumberFormat="1" applyFont="1" applyFill="1" applyBorder="1" applyAlignment="1">
      <alignment horizontal="right"/>
    </xf>
    <xf numFmtId="0" fontId="31" fillId="0" borderId="106" xfId="0" applyNumberFormat="1" applyFont="1" applyBorder="1"/>
    <xf numFmtId="43" fontId="31" fillId="0" borderId="106" xfId="0" applyNumberFormat="1" applyFont="1" applyBorder="1"/>
    <xf numFmtId="9" fontId="31" fillId="0" borderId="107" xfId="2" applyFont="1" applyBorder="1"/>
    <xf numFmtId="1" fontId="63" fillId="0" borderId="0" xfId="0" applyNumberFormat="1" applyFont="1" applyFill="1" applyBorder="1" applyAlignment="1">
      <alignment horizontal="right"/>
    </xf>
    <xf numFmtId="49" fontId="63" fillId="0" borderId="0" xfId="0" applyNumberFormat="1" applyFont="1" applyFill="1" applyBorder="1" applyAlignment="1">
      <alignment horizontal="center"/>
    </xf>
    <xf numFmtId="0" fontId="31" fillId="0" borderId="0" xfId="0" applyNumberFormat="1" applyFont="1" applyBorder="1"/>
    <xf numFmtId="43" fontId="31" fillId="0" borderId="0" xfId="0" applyNumberFormat="1" applyFont="1" applyBorder="1"/>
    <xf numFmtId="10" fontId="31" fillId="0" borderId="109" xfId="2" applyNumberFormat="1" applyFont="1" applyBorder="1"/>
    <xf numFmtId="1" fontId="63" fillId="0" borderId="0" xfId="0" applyNumberFormat="1" applyFont="1" applyFill="1" applyBorder="1" applyAlignment="1">
      <alignment horizontal="center"/>
    </xf>
    <xf numFmtId="164" fontId="63" fillId="0" borderId="0" xfId="0" applyNumberFormat="1" applyFont="1" applyFill="1" applyBorder="1" applyAlignment="1">
      <alignment horizontal="center"/>
    </xf>
    <xf numFmtId="2" fontId="62" fillId="0" borderId="0" xfId="0" applyNumberFormat="1" applyFont="1" applyFill="1" applyAlignment="1">
      <alignment vertical="center" wrapText="1"/>
    </xf>
    <xf numFmtId="0" fontId="31" fillId="0" borderId="0" xfId="0" applyFont="1" applyFill="1" applyBorder="1" applyAlignment="1">
      <alignment horizontal="center"/>
    </xf>
    <xf numFmtId="0" fontId="63" fillId="0" borderId="0" xfId="0" applyNumberFormat="1" applyFont="1" applyFill="1" applyAlignment="1">
      <alignment vertical="center"/>
    </xf>
    <xf numFmtId="0" fontId="63" fillId="0" borderId="0" xfId="0" quotePrefix="1" applyNumberFormat="1" applyFont="1" applyFill="1" applyBorder="1" applyAlignment="1">
      <alignment horizontal="left" vertical="top"/>
    </xf>
    <xf numFmtId="10" fontId="31" fillId="0" borderId="107" xfId="2" applyNumberFormat="1" applyFont="1" applyBorder="1"/>
    <xf numFmtId="0" fontId="76" fillId="0" borderId="0" xfId="0" applyFont="1" applyFill="1"/>
    <xf numFmtId="0" fontId="31" fillId="0" borderId="0" xfId="0" applyNumberFormat="1" applyFont="1" applyBorder="1" applyAlignment="1">
      <alignment vertical="center"/>
    </xf>
    <xf numFmtId="0" fontId="76" fillId="0" borderId="110" xfId="0" applyFont="1" applyBorder="1" applyAlignment="1">
      <alignment vertical="center"/>
    </xf>
    <xf numFmtId="43" fontId="31" fillId="0" borderId="0" xfId="0" applyNumberFormat="1" applyFont="1" applyBorder="1" applyAlignment="1">
      <alignment vertical="center"/>
    </xf>
    <xf numFmtId="10" fontId="31" fillId="0" borderId="109" xfId="2" applyNumberFormat="1" applyFont="1" applyBorder="1" applyAlignment="1">
      <alignment vertical="center"/>
    </xf>
    <xf numFmtId="0" fontId="31" fillId="0" borderId="0" xfId="0" applyFont="1" applyFill="1" applyAlignment="1">
      <alignment vertical="center"/>
    </xf>
    <xf numFmtId="165" fontId="70" fillId="0" borderId="0" xfId="0" applyNumberFormat="1" applyFont="1" applyAlignment="1">
      <alignment horizontal="right"/>
    </xf>
    <xf numFmtId="0" fontId="78" fillId="0" borderId="0" xfId="0" applyFont="1" applyAlignment="1">
      <alignment horizontal="right"/>
    </xf>
    <xf numFmtId="0" fontId="66" fillId="0" borderId="0" xfId="0" applyFont="1" applyAlignment="1">
      <alignment horizontal="right"/>
    </xf>
    <xf numFmtId="0" fontId="63" fillId="4" borderId="95" xfId="0" quotePrefix="1" applyNumberFormat="1" applyFont="1" applyFill="1" applyBorder="1" applyAlignment="1">
      <alignment vertical="center" wrapText="1"/>
    </xf>
    <xf numFmtId="167" fontId="63" fillId="4" borderId="95" xfId="0" applyNumberFormat="1" applyFont="1" applyFill="1" applyBorder="1" applyAlignment="1">
      <alignment horizontal="center" vertical="center" wrapText="1"/>
    </xf>
    <xf numFmtId="0" fontId="63" fillId="4" borderId="95" xfId="2" applyNumberFormat="1" applyFont="1" applyFill="1" applyBorder="1" applyAlignment="1">
      <alignment horizontal="center" vertical="center" wrapText="1"/>
    </xf>
    <xf numFmtId="2" fontId="63" fillId="4" borderId="95" xfId="2" applyNumberFormat="1" applyFont="1" applyFill="1" applyBorder="1" applyAlignment="1">
      <alignment horizontal="center" vertical="center" wrapText="1"/>
    </xf>
    <xf numFmtId="4" fontId="63" fillId="4" borderId="95" xfId="0" applyNumberFormat="1" applyFont="1" applyFill="1" applyBorder="1" applyAlignment="1">
      <alignment horizontal="center" vertical="center" wrapText="1"/>
    </xf>
    <xf numFmtId="173" fontId="63" fillId="4" borderId="95" xfId="0" applyNumberFormat="1" applyFont="1" applyFill="1" applyBorder="1" applyAlignment="1">
      <alignment horizontal="center" vertical="center" wrapText="1"/>
    </xf>
    <xf numFmtId="0" fontId="63" fillId="4" borderId="95" xfId="0" applyNumberFormat="1" applyFont="1" applyFill="1" applyBorder="1" applyAlignment="1">
      <alignment horizontal="center" vertical="center" wrapText="1"/>
    </xf>
    <xf numFmtId="0" fontId="31" fillId="2" borderId="95" xfId="0" quotePrefix="1" applyNumberFormat="1" applyFont="1" applyFill="1" applyBorder="1" applyAlignment="1">
      <alignment vertical="center" wrapText="1"/>
    </xf>
    <xf numFmtId="167" fontId="31" fillId="2" borderId="95" xfId="0" applyNumberFormat="1" applyFont="1" applyFill="1" applyBorder="1" applyAlignment="1">
      <alignment horizontal="center" vertical="center" wrapText="1"/>
    </xf>
    <xf numFmtId="0" fontId="31" fillId="2" borderId="95" xfId="2" applyNumberFormat="1" applyFont="1" applyFill="1" applyBorder="1" applyAlignment="1">
      <alignment horizontal="center" vertical="center" wrapText="1"/>
    </xf>
    <xf numFmtId="2" fontId="31" fillId="2" borderId="95" xfId="2" applyNumberFormat="1" applyFont="1" applyFill="1" applyBorder="1" applyAlignment="1">
      <alignment horizontal="center" vertical="center" wrapText="1"/>
    </xf>
    <xf numFmtId="4" fontId="31" fillId="2" borderId="95" xfId="0" applyNumberFormat="1" applyFont="1" applyFill="1" applyBorder="1" applyAlignment="1">
      <alignment horizontal="center" vertical="center" wrapText="1"/>
    </xf>
    <xf numFmtId="0" fontId="31" fillId="2" borderId="95" xfId="0" applyNumberFormat="1" applyFont="1" applyFill="1" applyBorder="1" applyAlignment="1">
      <alignment horizontal="center" vertical="center" wrapText="1"/>
    </xf>
    <xf numFmtId="169" fontId="31" fillId="5" borderId="24" xfId="0" applyNumberFormat="1" applyFont="1" applyFill="1" applyBorder="1" applyAlignment="1">
      <alignment horizontal="center" vertical="center"/>
    </xf>
    <xf numFmtId="169" fontId="63" fillId="5" borderId="29" xfId="0" applyNumberFormat="1" applyFont="1" applyFill="1" applyBorder="1" applyAlignment="1">
      <alignment horizontal="center" vertical="center"/>
    </xf>
    <xf numFmtId="166" fontId="63" fillId="5" borderId="24" xfId="2" applyNumberFormat="1" applyFont="1" applyFill="1" applyBorder="1" applyAlignment="1">
      <alignment horizontal="center" vertical="center"/>
    </xf>
    <xf numFmtId="169" fontId="31" fillId="2" borderId="25" xfId="0" applyNumberFormat="1" applyFont="1" applyFill="1" applyBorder="1" applyAlignment="1">
      <alignment horizontal="center" vertical="center"/>
    </xf>
    <xf numFmtId="169" fontId="63" fillId="2" borderId="31" xfId="0" applyNumberFormat="1" applyFont="1" applyFill="1" applyBorder="1" applyAlignment="1">
      <alignment horizontal="center" vertical="center"/>
    </xf>
    <xf numFmtId="166" fontId="63" fillId="2" borderId="25" xfId="2" applyNumberFormat="1" applyFont="1" applyFill="1" applyBorder="1" applyAlignment="1">
      <alignment horizontal="center" vertical="center"/>
    </xf>
    <xf numFmtId="169" fontId="31" fillId="5" borderId="25" xfId="0" applyNumberFormat="1" applyFont="1" applyFill="1" applyBorder="1" applyAlignment="1">
      <alignment horizontal="center" vertical="center"/>
    </xf>
    <xf numFmtId="169" fontId="63" fillId="5" borderId="31" xfId="0" applyNumberFormat="1" applyFont="1" applyFill="1" applyBorder="1" applyAlignment="1">
      <alignment horizontal="center" vertical="center"/>
    </xf>
    <xf numFmtId="166" fontId="63" fillId="5" borderId="25" xfId="2" applyNumberFormat="1" applyFont="1" applyFill="1" applyBorder="1" applyAlignment="1">
      <alignment horizontal="center" vertical="center"/>
    </xf>
    <xf numFmtId="169" fontId="31" fillId="2" borderId="26" xfId="0" applyNumberFormat="1" applyFont="1" applyFill="1" applyBorder="1" applyAlignment="1">
      <alignment horizontal="center" vertical="center"/>
    </xf>
    <xf numFmtId="169" fontId="63" fillId="2" borderId="34" xfId="0" applyNumberFormat="1" applyFont="1" applyFill="1" applyBorder="1" applyAlignment="1">
      <alignment horizontal="center" vertical="center"/>
    </xf>
    <xf numFmtId="166" fontId="63" fillId="2" borderId="26" xfId="2" applyNumberFormat="1" applyFont="1" applyFill="1" applyBorder="1" applyAlignment="1">
      <alignment horizontal="center" vertical="center"/>
    </xf>
    <xf numFmtId="169" fontId="76" fillId="5" borderId="23" xfId="0" applyNumberFormat="1" applyFont="1" applyFill="1" applyBorder="1" applyAlignment="1">
      <alignment horizontal="center" vertical="center"/>
    </xf>
    <xf numFmtId="169" fontId="76" fillId="5" borderId="40" xfId="0" applyNumberFormat="1" applyFont="1" applyFill="1" applyBorder="1" applyAlignment="1">
      <alignment horizontal="center" vertical="center"/>
    </xf>
    <xf numFmtId="166" fontId="62" fillId="5" borderId="23" xfId="2" applyNumberFormat="1" applyFont="1" applyFill="1" applyBorder="1" applyAlignment="1">
      <alignment horizontal="center" vertical="center"/>
    </xf>
    <xf numFmtId="0" fontId="81" fillId="0" borderId="0" xfId="0" applyFont="1" applyAlignment="1">
      <alignment horizontal="right" vertical="center"/>
    </xf>
    <xf numFmtId="0" fontId="36" fillId="10" borderId="0" xfId="0" quotePrefix="1" applyNumberFormat="1" applyFont="1" applyFill="1" applyBorder="1" applyAlignment="1">
      <alignment horizontal="center" vertical="center" wrapText="1"/>
    </xf>
    <xf numFmtId="17" fontId="36" fillId="10" borderId="93" xfId="0" applyNumberFormat="1" applyFont="1" applyFill="1" applyBorder="1" applyAlignment="1">
      <alignment horizontal="center" vertical="center" wrapText="1"/>
    </xf>
    <xf numFmtId="168" fontId="36" fillId="10" borderId="93" xfId="0" applyNumberFormat="1" applyFont="1" applyFill="1" applyBorder="1" applyAlignment="1">
      <alignment horizontal="center" vertical="center" wrapText="1"/>
    </xf>
    <xf numFmtId="0" fontId="36" fillId="10" borderId="93" xfId="0" applyNumberFormat="1" applyFont="1" applyFill="1" applyBorder="1" applyAlignment="1">
      <alignment horizontal="center" vertical="center" wrapText="1"/>
    </xf>
    <xf numFmtId="0" fontId="36" fillId="10" borderId="94" xfId="0" applyNumberFormat="1" applyFont="1" applyFill="1" applyBorder="1" applyAlignment="1">
      <alignment horizontal="center" vertical="center" wrapText="1"/>
    </xf>
    <xf numFmtId="0" fontId="36" fillId="10" borderId="139" xfId="0" quotePrefix="1" applyNumberFormat="1" applyFont="1" applyFill="1" applyBorder="1" applyAlignment="1">
      <alignment horizontal="left" vertical="center"/>
    </xf>
    <xf numFmtId="167" fontId="36" fillId="10" borderId="140" xfId="0" applyNumberFormat="1" applyFont="1" applyFill="1" applyBorder="1" applyAlignment="1">
      <alignment horizontal="right" vertical="center"/>
    </xf>
    <xf numFmtId="167" fontId="36" fillId="10" borderId="140" xfId="0" applyNumberFormat="1" applyFont="1" applyFill="1" applyBorder="1" applyAlignment="1">
      <alignment horizontal="left" vertical="center"/>
    </xf>
    <xf numFmtId="0" fontId="36" fillId="10" borderId="140" xfId="2" applyNumberFormat="1" applyFont="1" applyFill="1" applyBorder="1" applyAlignment="1">
      <alignment horizontal="left" vertical="center"/>
    </xf>
    <xf numFmtId="0" fontId="36" fillId="10" borderId="141" xfId="2" applyNumberFormat="1" applyFont="1" applyFill="1" applyBorder="1" applyAlignment="1">
      <alignment horizontal="center" vertical="center"/>
    </xf>
    <xf numFmtId="4" fontId="36" fillId="10" borderId="95" xfId="0" applyNumberFormat="1" applyFont="1" applyFill="1" applyBorder="1" applyAlignment="1">
      <alignment horizontal="center" vertical="center"/>
    </xf>
    <xf numFmtId="0" fontId="36" fillId="10" borderId="95" xfId="0" applyNumberFormat="1" applyFont="1" applyFill="1" applyBorder="1" applyAlignment="1">
      <alignment horizontal="center" vertical="center"/>
    </xf>
    <xf numFmtId="17" fontId="36" fillId="10" borderId="26" xfId="0" quotePrefix="1" applyNumberFormat="1" applyFont="1" applyFill="1" applyBorder="1" applyAlignment="1">
      <alignment horizontal="center" vertical="center" wrapText="1"/>
    </xf>
    <xf numFmtId="17" fontId="36" fillId="10" borderId="32" xfId="0" quotePrefix="1" applyNumberFormat="1" applyFont="1" applyFill="1" applyBorder="1" applyAlignment="1">
      <alignment horizontal="center" vertical="center" wrapText="1"/>
    </xf>
    <xf numFmtId="17" fontId="2" fillId="10" borderId="21" xfId="0" applyNumberFormat="1" applyFont="1" applyFill="1" applyBorder="1" applyAlignment="1">
      <alignment horizontal="center" vertical="center"/>
    </xf>
    <xf numFmtId="17" fontId="2" fillId="10" borderId="21" xfId="0" applyNumberFormat="1" applyFont="1" applyFill="1" applyBorder="1" applyAlignment="1">
      <alignment horizontal="center" vertical="center" wrapText="1"/>
    </xf>
    <xf numFmtId="0" fontId="2" fillId="10" borderId="21" xfId="0" applyNumberFormat="1" applyFont="1" applyFill="1" applyBorder="1" applyAlignment="1">
      <alignment horizontal="center" vertical="center" wrapText="1"/>
    </xf>
    <xf numFmtId="17" fontId="2" fillId="10" borderId="22" xfId="0" applyNumberFormat="1" applyFont="1" applyFill="1" applyBorder="1" applyAlignment="1">
      <alignment horizontal="center" vertical="center" wrapText="1"/>
    </xf>
    <xf numFmtId="17" fontId="2" fillId="10" borderId="23" xfId="0" applyNumberFormat="1" applyFont="1" applyFill="1" applyBorder="1" applyAlignment="1">
      <alignment horizontal="center" vertical="center"/>
    </xf>
    <xf numFmtId="17" fontId="2" fillId="10" borderId="23" xfId="0" applyNumberFormat="1" applyFont="1" applyFill="1" applyBorder="1" applyAlignment="1">
      <alignment horizontal="center" vertical="center" wrapText="1"/>
    </xf>
    <xf numFmtId="0" fontId="2" fillId="10" borderId="23" xfId="0" applyNumberFormat="1" applyFont="1" applyFill="1" applyBorder="1" applyAlignment="1">
      <alignment horizontal="center" vertical="center" wrapText="1"/>
    </xf>
    <xf numFmtId="0" fontId="2" fillId="10" borderId="46" xfId="1" applyNumberFormat="1" applyFont="1" applyFill="1" applyBorder="1" applyAlignment="1">
      <alignment horizontal="center" vertical="center"/>
    </xf>
    <xf numFmtId="0" fontId="2" fillId="10" borderId="46" xfId="0" applyFont="1" applyFill="1" applyBorder="1" applyAlignment="1">
      <alignment horizontal="center" vertical="center"/>
    </xf>
    <xf numFmtId="17" fontId="2" fillId="10" borderId="23" xfId="0" applyNumberFormat="1" applyFont="1" applyFill="1" applyBorder="1" applyAlignment="1">
      <alignment horizontal="center"/>
    </xf>
    <xf numFmtId="0" fontId="2" fillId="10" borderId="23" xfId="0" applyNumberFormat="1" applyFont="1" applyFill="1" applyBorder="1" applyAlignment="1">
      <alignment horizontal="center" wrapText="1"/>
    </xf>
    <xf numFmtId="16" fontId="2" fillId="10" borderId="24" xfId="0" applyNumberFormat="1" applyFont="1" applyFill="1" applyBorder="1" applyAlignment="1">
      <alignment horizontal="center" vertical="center"/>
    </xf>
    <xf numFmtId="16" fontId="2" fillId="10" borderId="24" xfId="0" applyNumberFormat="1" applyFont="1" applyFill="1" applyBorder="1" applyAlignment="1">
      <alignment horizontal="center" wrapText="1"/>
    </xf>
    <xf numFmtId="20" fontId="2" fillId="10" borderId="26" xfId="0" quotePrefix="1" applyNumberFormat="1" applyFont="1" applyFill="1" applyBorder="1" applyAlignment="1">
      <alignment horizontal="center" vertical="center"/>
    </xf>
    <xf numFmtId="20" fontId="2" fillId="10" borderId="26" xfId="0" applyNumberFormat="1" applyFont="1" applyFill="1" applyBorder="1" applyAlignment="1">
      <alignment horizontal="center"/>
    </xf>
    <xf numFmtId="20" fontId="2" fillId="10" borderId="23" xfId="0" applyNumberFormat="1" applyFont="1" applyFill="1" applyBorder="1" applyAlignment="1">
      <alignment horizontal="center"/>
    </xf>
    <xf numFmtId="0" fontId="2" fillId="10" borderId="58" xfId="1" applyNumberFormat="1" applyFont="1" applyFill="1" applyBorder="1" applyAlignment="1">
      <alignment horizontal="center" vertical="center"/>
    </xf>
    <xf numFmtId="0" fontId="2" fillId="10" borderId="58" xfId="0" applyNumberFormat="1" applyFont="1" applyFill="1" applyBorder="1" applyAlignment="1">
      <alignment horizontal="center" vertical="center"/>
    </xf>
    <xf numFmtId="14" fontId="2" fillId="10" borderId="58" xfId="0" applyNumberFormat="1" applyFont="1" applyFill="1" applyBorder="1" applyAlignment="1">
      <alignment horizontal="center" vertical="center" wrapText="1"/>
    </xf>
    <xf numFmtId="20" fontId="2" fillId="10" borderId="58" xfId="0" applyNumberFormat="1" applyFont="1" applyFill="1" applyBorder="1" applyAlignment="1">
      <alignment horizontal="center" vertical="center" wrapText="1"/>
    </xf>
    <xf numFmtId="0" fontId="2" fillId="10" borderId="66" xfId="0" applyFont="1" applyFill="1" applyBorder="1" applyAlignment="1">
      <alignment horizontal="center" vertical="center" wrapText="1"/>
    </xf>
    <xf numFmtId="0" fontId="2" fillId="10" borderId="67" xfId="0" applyFont="1" applyFill="1" applyBorder="1" applyAlignment="1">
      <alignment horizontal="center" vertical="center" wrapText="1"/>
    </xf>
    <xf numFmtId="0" fontId="2" fillId="10" borderId="68" xfId="0" applyFont="1" applyFill="1" applyBorder="1" applyAlignment="1">
      <alignment horizontal="center" vertical="center" wrapText="1"/>
    </xf>
    <xf numFmtId="17" fontId="2" fillId="10" borderId="67" xfId="0" quotePrefix="1" applyNumberFormat="1" applyFont="1" applyFill="1" applyBorder="1" applyAlignment="1">
      <alignment horizontal="center" vertical="center" wrapText="1"/>
    </xf>
    <xf numFmtId="17" fontId="2" fillId="10" borderId="68" xfId="0" quotePrefix="1" applyNumberFormat="1" applyFont="1" applyFill="1" applyBorder="1" applyAlignment="1">
      <alignment horizontal="center" vertical="center" wrapText="1"/>
    </xf>
    <xf numFmtId="0" fontId="2" fillId="10" borderId="75" xfId="0" applyFont="1" applyFill="1" applyBorder="1" applyAlignment="1">
      <alignment horizontal="center" vertical="center" wrapText="1"/>
    </xf>
    <xf numFmtId="43" fontId="36" fillId="10" borderId="79" xfId="1" applyFont="1" applyFill="1" applyBorder="1" applyAlignment="1">
      <alignment horizontal="center" vertical="center" wrapText="1"/>
    </xf>
    <xf numFmtId="0" fontId="36" fillId="10" borderId="80" xfId="0" applyNumberFormat="1" applyFont="1" applyFill="1" applyBorder="1" applyAlignment="1">
      <alignment horizontal="center" vertical="center" wrapText="1"/>
    </xf>
    <xf numFmtId="0" fontId="36" fillId="10" borderId="81" xfId="0" applyNumberFormat="1" applyFont="1" applyFill="1" applyBorder="1" applyAlignment="1">
      <alignment horizontal="center" vertical="center" wrapText="1"/>
    </xf>
    <xf numFmtId="0" fontId="36" fillId="10" borderId="82" xfId="0" applyNumberFormat="1" applyFont="1" applyFill="1" applyBorder="1" applyAlignment="1">
      <alignment vertical="center" wrapText="1"/>
    </xf>
    <xf numFmtId="0" fontId="36" fillId="10" borderId="83" xfId="0" applyNumberFormat="1" applyFont="1" applyFill="1" applyBorder="1" applyAlignment="1">
      <alignment horizontal="center" vertical="center" wrapText="1"/>
    </xf>
    <xf numFmtId="0" fontId="36" fillId="10" borderId="84" xfId="0" applyNumberFormat="1" applyFont="1" applyFill="1" applyBorder="1" applyAlignment="1">
      <alignment vertical="center" wrapText="1"/>
    </xf>
    <xf numFmtId="0" fontId="2" fillId="10" borderId="85" xfId="0" applyFont="1" applyFill="1" applyBorder="1" applyAlignment="1">
      <alignment horizontal="center" vertical="center" wrapText="1"/>
    </xf>
    <xf numFmtId="0" fontId="2" fillId="10" borderId="86" xfId="0" applyFont="1" applyFill="1" applyBorder="1" applyAlignment="1">
      <alignment horizontal="center" vertical="center" wrapText="1"/>
    </xf>
    <xf numFmtId="0" fontId="2" fillId="10" borderId="86" xfId="0" quotePrefix="1" applyNumberFormat="1" applyFont="1" applyFill="1" applyBorder="1" applyAlignment="1">
      <alignment horizontal="center" vertical="center" wrapText="1"/>
    </xf>
    <xf numFmtId="0" fontId="2" fillId="10" borderId="87" xfId="0" applyFont="1" applyFill="1" applyBorder="1" applyAlignment="1">
      <alignment horizontal="center" vertical="center" wrapText="1"/>
    </xf>
    <xf numFmtId="0" fontId="36" fillId="10" borderId="92" xfId="0" applyFont="1" applyFill="1" applyBorder="1" applyAlignment="1">
      <alignment horizontal="center" vertical="center" wrapText="1"/>
    </xf>
    <xf numFmtId="0" fontId="36" fillId="10" borderId="96" xfId="0" applyFont="1" applyFill="1" applyBorder="1" applyAlignment="1">
      <alignment horizontal="center" vertical="center" wrapText="1"/>
    </xf>
    <xf numFmtId="0" fontId="36" fillId="10" borderId="97" xfId="0" applyFont="1" applyFill="1" applyBorder="1" applyAlignment="1">
      <alignment horizontal="center" vertical="center" wrapText="1"/>
    </xf>
    <xf numFmtId="17" fontId="36" fillId="10" borderId="117" xfId="0" applyNumberFormat="1" applyFont="1" applyFill="1" applyBorder="1" applyAlignment="1">
      <alignment horizontal="center" vertical="center"/>
    </xf>
    <xf numFmtId="0" fontId="36" fillId="10" borderId="119" xfId="5" applyFont="1" applyFill="1" applyBorder="1" applyAlignment="1">
      <alignment horizontal="center" vertical="center"/>
    </xf>
    <xf numFmtId="0" fontId="36" fillId="10" borderId="103" xfId="5" applyFont="1" applyFill="1" applyBorder="1" applyAlignment="1">
      <alignment horizontal="center" vertical="center"/>
    </xf>
    <xf numFmtId="0" fontId="36" fillId="10" borderId="121" xfId="5" applyFont="1" applyFill="1" applyBorder="1" applyAlignment="1">
      <alignment horizontal="center" vertical="center"/>
    </xf>
    <xf numFmtId="0" fontId="36" fillId="10" borderId="122" xfId="5" applyFont="1" applyFill="1" applyBorder="1" applyAlignment="1">
      <alignment horizontal="center" vertical="center"/>
    </xf>
    <xf numFmtId="0" fontId="36" fillId="10" borderId="123" xfId="0" applyNumberFormat="1" applyFont="1" applyFill="1" applyBorder="1" applyAlignment="1">
      <alignment vertical="center"/>
    </xf>
    <xf numFmtId="0" fontId="77" fillId="10" borderId="124" xfId="0" applyNumberFormat="1" applyFont="1" applyFill="1" applyBorder="1" applyAlignment="1">
      <alignment vertical="center"/>
    </xf>
    <xf numFmtId="4" fontId="36" fillId="10" borderId="58" xfId="0" applyNumberFormat="1" applyFont="1" applyFill="1" applyBorder="1" applyAlignment="1">
      <alignment vertical="center"/>
    </xf>
    <xf numFmtId="0" fontId="77" fillId="10" borderId="123" xfId="0" applyNumberFormat="1" applyFont="1" applyFill="1" applyBorder="1" applyAlignment="1">
      <alignment vertical="center"/>
    </xf>
    <xf numFmtId="0" fontId="36" fillId="10" borderId="125" xfId="0" applyNumberFormat="1" applyFont="1" applyFill="1" applyBorder="1" applyAlignment="1">
      <alignment vertical="center"/>
    </xf>
    <xf numFmtId="4" fontId="36" fillId="10" borderId="125" xfId="0" applyNumberFormat="1" applyFont="1" applyFill="1" applyBorder="1" applyAlignment="1">
      <alignment vertical="center"/>
    </xf>
    <xf numFmtId="4" fontId="77" fillId="10" borderId="124" xfId="0" applyNumberFormat="1" applyFont="1" applyFill="1" applyBorder="1" applyAlignment="1">
      <alignment vertical="center"/>
    </xf>
    <xf numFmtId="4" fontId="77" fillId="10" borderId="58" xfId="0" applyNumberFormat="1" applyFont="1" applyFill="1" applyBorder="1" applyAlignment="1">
      <alignment vertical="center"/>
    </xf>
    <xf numFmtId="0" fontId="77" fillId="10" borderId="126" xfId="0" applyNumberFormat="1" applyFont="1" applyFill="1" applyBorder="1" applyAlignment="1">
      <alignment vertical="center"/>
    </xf>
    <xf numFmtId="0" fontId="77" fillId="10" borderId="127" xfId="0" applyNumberFormat="1" applyFont="1" applyFill="1" applyBorder="1" applyAlignment="1">
      <alignment vertical="center"/>
    </xf>
    <xf numFmtId="4" fontId="77" fillId="10" borderId="127" xfId="0" applyNumberFormat="1" applyFont="1" applyFill="1" applyBorder="1" applyAlignment="1">
      <alignment vertical="center"/>
    </xf>
    <xf numFmtId="4" fontId="77" fillId="10" borderId="128" xfId="0" applyNumberFormat="1" applyFont="1" applyFill="1" applyBorder="1" applyAlignment="1">
      <alignment vertical="center"/>
    </xf>
    <xf numFmtId="17" fontId="36" fillId="12" borderId="46" xfId="6" quotePrefix="1" applyNumberFormat="1" applyFont="1" applyFill="1" applyBorder="1" applyAlignment="1">
      <alignment horizontal="center" vertical="center" wrapText="1"/>
    </xf>
    <xf numFmtId="0" fontId="36" fillId="12" borderId="46" xfId="6" quotePrefix="1" applyNumberFormat="1" applyFont="1" applyFill="1" applyBorder="1" applyAlignment="1">
      <alignment horizontal="center" vertical="center" wrapText="1"/>
    </xf>
    <xf numFmtId="0" fontId="36" fillId="12" borderId="46" xfId="6" applyNumberFormat="1" applyFont="1" applyFill="1" applyBorder="1" applyAlignment="1">
      <alignment horizontal="center" vertical="center" wrapText="1"/>
    </xf>
    <xf numFmtId="0" fontId="36" fillId="12" borderId="130" xfId="6" applyNumberFormat="1" applyFont="1" applyFill="1" applyBorder="1" applyAlignment="1">
      <alignment horizontal="center" vertical="center" wrapText="1"/>
    </xf>
    <xf numFmtId="14" fontId="36" fillId="12" borderId="46" xfId="6" applyNumberFormat="1" applyFont="1" applyFill="1" applyBorder="1" applyAlignment="1">
      <alignment horizontal="center" vertical="center"/>
    </xf>
    <xf numFmtId="0" fontId="36" fillId="12" borderId="130" xfId="6" applyNumberFormat="1" applyFont="1" applyFill="1" applyBorder="1" applyAlignment="1">
      <alignment horizontal="center" vertical="center"/>
    </xf>
    <xf numFmtId="20" fontId="36" fillId="12" borderId="132" xfId="6" applyNumberFormat="1" applyFont="1" applyFill="1" applyBorder="1" applyAlignment="1">
      <alignment horizontal="center" vertical="center"/>
    </xf>
    <xf numFmtId="0" fontId="36" fillId="12" borderId="133" xfId="6" applyNumberFormat="1" applyFont="1" applyFill="1" applyBorder="1" applyAlignment="1">
      <alignment horizontal="center" vertical="center"/>
    </xf>
    <xf numFmtId="173" fontId="42" fillId="10" borderId="137" xfId="0" applyNumberFormat="1" applyFont="1" applyFill="1" applyBorder="1" applyAlignment="1">
      <alignment horizontal="center" vertical="center"/>
    </xf>
    <xf numFmtId="173" fontId="42" fillId="10" borderId="137" xfId="0" applyNumberFormat="1" applyFont="1" applyFill="1" applyBorder="1" applyAlignment="1">
      <alignment horizontal="center" vertical="center" wrapText="1"/>
    </xf>
    <xf numFmtId="0" fontId="36" fillId="10" borderId="82" xfId="0" applyFont="1" applyFill="1" applyBorder="1" applyAlignment="1">
      <alignment horizontal="center" vertical="center"/>
    </xf>
    <xf numFmtId="43" fontId="36" fillId="10" borderId="82" xfId="1" applyFont="1" applyFill="1" applyBorder="1" applyAlignment="1">
      <alignment horizontal="center" vertical="center"/>
    </xf>
    <xf numFmtId="4" fontId="36" fillId="10" borderId="82" xfId="0" applyNumberFormat="1" applyFont="1" applyFill="1" applyBorder="1" applyAlignment="1">
      <alignment horizontal="center" vertical="center"/>
    </xf>
    <xf numFmtId="0" fontId="36" fillId="10" borderId="82" xfId="0" applyNumberFormat="1" applyFont="1" applyFill="1" applyBorder="1" applyAlignment="1">
      <alignment horizontal="center" vertical="center" wrapText="1"/>
    </xf>
    <xf numFmtId="0" fontId="77" fillId="10" borderId="125" xfId="0" applyNumberFormat="1" applyFont="1" applyFill="1" applyBorder="1" applyAlignment="1">
      <alignment vertical="center"/>
    </xf>
    <xf numFmtId="10" fontId="36" fillId="10" borderId="58" xfId="2" applyNumberFormat="1" applyFont="1" applyFill="1" applyBorder="1" applyAlignment="1">
      <alignment vertical="center"/>
    </xf>
    <xf numFmtId="10" fontId="77" fillId="10" borderId="58" xfId="2" applyNumberFormat="1" applyFont="1" applyFill="1" applyBorder="1" applyAlignment="1">
      <alignment vertical="center"/>
    </xf>
    <xf numFmtId="0" fontId="21" fillId="4" borderId="89" xfId="0" applyFont="1" applyFill="1" applyBorder="1" applyAlignment="1">
      <alignment vertical="center"/>
    </xf>
    <xf numFmtId="0" fontId="21" fillId="4" borderId="90" xfId="0" applyFont="1" applyFill="1" applyBorder="1" applyAlignment="1">
      <alignment vertical="center"/>
    </xf>
    <xf numFmtId="0" fontId="21" fillId="4" borderId="91" xfId="0" applyFont="1" applyFill="1" applyBorder="1" applyAlignment="1">
      <alignment vertical="center"/>
    </xf>
    <xf numFmtId="4" fontId="21" fillId="4" borderId="88" xfId="0" applyNumberFormat="1" applyFont="1" applyFill="1" applyBorder="1" applyAlignment="1">
      <alignment horizontal="center" vertical="center"/>
    </xf>
    <xf numFmtId="166" fontId="21" fillId="4" borderId="88" xfId="2" applyNumberFormat="1" applyFont="1" applyFill="1" applyBorder="1" applyAlignment="1">
      <alignment horizontal="center" vertical="center"/>
    </xf>
    <xf numFmtId="0" fontId="76" fillId="4" borderId="112" xfId="0" applyFont="1" applyFill="1" applyBorder="1"/>
    <xf numFmtId="0" fontId="76" fillId="4" borderId="113" xfId="0" applyFont="1" applyFill="1" applyBorder="1"/>
    <xf numFmtId="43" fontId="76" fillId="4" borderId="113" xfId="1" applyNumberFormat="1" applyFont="1" applyFill="1" applyBorder="1"/>
    <xf numFmtId="43" fontId="76" fillId="4" borderId="113" xfId="1" applyFont="1" applyFill="1" applyBorder="1"/>
    <xf numFmtId="43" fontId="76" fillId="4" borderId="114" xfId="1" applyFont="1" applyFill="1" applyBorder="1"/>
    <xf numFmtId="43" fontId="76" fillId="4" borderId="113" xfId="0" applyNumberFormat="1" applyFont="1" applyFill="1" applyBorder="1"/>
    <xf numFmtId="10" fontId="76" fillId="4" borderId="114" xfId="2" applyNumberFormat="1" applyFont="1" applyFill="1" applyBorder="1"/>
    <xf numFmtId="0" fontId="76" fillId="4" borderId="112" xfId="0" applyFont="1" applyFill="1" applyBorder="1" applyAlignment="1">
      <alignment vertical="center"/>
    </xf>
    <xf numFmtId="0" fontId="76" fillId="4" borderId="113" xfId="0" applyFont="1" applyFill="1" applyBorder="1" applyAlignment="1">
      <alignment vertical="center"/>
    </xf>
    <xf numFmtId="43" fontId="76" fillId="4" borderId="113" xfId="0" applyNumberFormat="1" applyFont="1" applyFill="1" applyBorder="1" applyAlignment="1">
      <alignment vertical="center"/>
    </xf>
    <xf numFmtId="10" fontId="76" fillId="4" borderId="114" xfId="2" applyNumberFormat="1" applyFont="1" applyFill="1" applyBorder="1" applyAlignment="1">
      <alignment vertical="center"/>
    </xf>
    <xf numFmtId="0" fontId="12" fillId="0" borderId="0" xfId="0" applyFont="1" applyBorder="1" applyAlignment="1">
      <alignment horizontal="center" vertical="center"/>
    </xf>
    <xf numFmtId="0" fontId="25" fillId="0" borderId="0" xfId="0" applyFont="1" applyFill="1" applyBorder="1" applyAlignment="1">
      <alignment horizontal="center" vertical="center"/>
    </xf>
    <xf numFmtId="0" fontId="23" fillId="0" borderId="0" xfId="0" applyFont="1" applyFill="1" applyBorder="1" applyAlignment="1">
      <alignment horizontal="left" vertical="center"/>
    </xf>
    <xf numFmtId="17" fontId="15" fillId="0" borderId="0" xfId="0" quotePrefix="1" applyNumberFormat="1"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right" vertical="center"/>
    </xf>
    <xf numFmtId="0" fontId="5" fillId="0" borderId="0" xfId="0" applyFont="1" applyFill="1" applyBorder="1" applyAlignment="1">
      <alignment horizontal="center" vertical="center"/>
    </xf>
    <xf numFmtId="0" fontId="8" fillId="0" borderId="0" xfId="0" applyFont="1" applyFill="1" applyBorder="1" applyAlignment="1">
      <alignment horizontal="justify" vertical="justify" wrapText="1" readingOrder="1"/>
    </xf>
    <xf numFmtId="0" fontId="8" fillId="0" borderId="0" xfId="0" applyFont="1" applyFill="1" applyBorder="1" applyAlignment="1">
      <alignment horizontal="justify" vertical="justify" wrapText="1"/>
    </xf>
    <xf numFmtId="17" fontId="25" fillId="0" borderId="0" xfId="0" quotePrefix="1" applyNumberFormat="1" applyFont="1" applyFill="1" applyBorder="1" applyAlignment="1">
      <alignment horizontal="center" vertical="center"/>
    </xf>
    <xf numFmtId="0" fontId="62" fillId="5" borderId="38" xfId="0" applyNumberFormat="1" applyFont="1" applyFill="1" applyBorder="1" applyAlignment="1">
      <alignment horizontal="left" vertical="center"/>
    </xf>
    <xf numFmtId="0" fontId="62" fillId="5" borderId="40" xfId="0" applyNumberFormat="1" applyFont="1" applyFill="1" applyBorder="1" applyAlignment="1">
      <alignment horizontal="left" vertical="center"/>
    </xf>
    <xf numFmtId="0" fontId="36" fillId="10" borderId="34" xfId="0" applyNumberFormat="1" applyFont="1" applyFill="1" applyBorder="1" applyAlignment="1">
      <alignment horizontal="center" vertical="center" wrapText="1"/>
    </xf>
    <xf numFmtId="0" fontId="36" fillId="10" borderId="26" xfId="0" applyNumberFormat="1" applyFont="1" applyFill="1" applyBorder="1" applyAlignment="1">
      <alignment horizontal="center" vertical="center" wrapText="1"/>
    </xf>
    <xf numFmtId="0" fontId="37" fillId="0" borderId="0" xfId="0" applyNumberFormat="1" applyFont="1" applyFill="1" applyAlignment="1">
      <alignment horizontal="left" wrapText="1"/>
    </xf>
    <xf numFmtId="0" fontId="12" fillId="2" borderId="0" xfId="0" applyNumberFormat="1" applyFont="1" applyFill="1" applyAlignment="1">
      <alignment horizontal="center" vertical="center" wrapText="1"/>
    </xf>
    <xf numFmtId="0" fontId="62" fillId="5" borderId="27" xfId="0" applyNumberFormat="1" applyFont="1" applyFill="1" applyBorder="1" applyAlignment="1">
      <alignment horizontal="left" vertical="center"/>
    </xf>
    <xf numFmtId="0" fontId="62" fillId="5" borderId="29" xfId="0" applyNumberFormat="1" applyFont="1" applyFill="1" applyBorder="1" applyAlignment="1">
      <alignment horizontal="left" vertical="center"/>
    </xf>
    <xf numFmtId="0" fontId="62" fillId="2" borderId="30" xfId="0" applyNumberFormat="1" applyFont="1" applyFill="1" applyBorder="1" applyAlignment="1">
      <alignment horizontal="left" vertical="center"/>
    </xf>
    <xf numFmtId="0" fontId="62" fillId="2" borderId="31" xfId="0" applyNumberFormat="1" applyFont="1" applyFill="1" applyBorder="1" applyAlignment="1">
      <alignment horizontal="left" vertical="center"/>
    </xf>
    <xf numFmtId="0" fontId="62" fillId="5" borderId="30" xfId="0" applyNumberFormat="1" applyFont="1" applyFill="1" applyBorder="1" applyAlignment="1">
      <alignment horizontal="left" vertical="center"/>
    </xf>
    <xf numFmtId="0" fontId="62" fillId="5" borderId="31" xfId="0" applyNumberFormat="1" applyFont="1" applyFill="1" applyBorder="1" applyAlignment="1">
      <alignment horizontal="left" vertical="center"/>
    </xf>
    <xf numFmtId="0" fontId="62" fillId="2" borderId="32" xfId="0" applyNumberFormat="1" applyFont="1" applyFill="1" applyBorder="1" applyAlignment="1">
      <alignment horizontal="left" vertical="center"/>
    </xf>
    <xf numFmtId="0" fontId="62" fillId="2" borderId="34" xfId="0"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xf>
    <xf numFmtId="0" fontId="63" fillId="2" borderId="0" xfId="0" quotePrefix="1" applyNumberFormat="1" applyFont="1" applyFill="1" applyBorder="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Fill="1" applyBorder="1" applyAlignment="1">
      <alignment horizontal="center" vertical="center"/>
    </xf>
    <xf numFmtId="0" fontId="20" fillId="0" borderId="0" xfId="0" applyNumberFormat="1" applyFont="1" applyFill="1" applyBorder="1" applyAlignment="1">
      <alignment horizontal="center" vertical="center"/>
    </xf>
    <xf numFmtId="0" fontId="2" fillId="10" borderId="17" xfId="0" quotePrefix="1" applyNumberFormat="1" applyFont="1" applyFill="1" applyBorder="1" applyAlignment="1">
      <alignment horizontal="left" vertical="center" wrapText="1"/>
    </xf>
    <xf numFmtId="0" fontId="2" fillId="10" borderId="20" xfId="0" quotePrefix="1" applyNumberFormat="1" applyFont="1" applyFill="1" applyBorder="1" applyAlignment="1">
      <alignment horizontal="left" vertical="center" wrapText="1"/>
    </xf>
    <xf numFmtId="0" fontId="12" fillId="0" borderId="0" xfId="0" applyNumberFormat="1" applyFont="1" applyFill="1" applyAlignment="1">
      <alignment horizontal="left" vertical="center"/>
    </xf>
    <xf numFmtId="0" fontId="4" fillId="0" borderId="0" xfId="0" quotePrefix="1" applyNumberFormat="1" applyFont="1" applyFill="1" applyBorder="1" applyAlignment="1">
      <alignment horizontal="left" vertical="center" wrapText="1"/>
    </xf>
    <xf numFmtId="43" fontId="2" fillId="10" borderId="18" xfId="1" applyFont="1" applyFill="1" applyBorder="1" applyAlignment="1">
      <alignment horizontal="center" vertical="center"/>
    </xf>
    <xf numFmtId="17" fontId="2" fillId="10" borderId="18" xfId="0" applyNumberFormat="1" applyFont="1" applyFill="1" applyBorder="1" applyAlignment="1">
      <alignment horizontal="center" vertical="center"/>
    </xf>
    <xf numFmtId="0" fontId="2" fillId="10" borderId="18" xfId="0" applyNumberFormat="1" applyFont="1" applyFill="1" applyBorder="1" applyAlignment="1">
      <alignment horizontal="center" vertical="center"/>
    </xf>
    <xf numFmtId="0" fontId="2" fillId="10" borderId="19" xfId="0" applyNumberFormat="1" applyFont="1" applyFill="1" applyBorder="1" applyAlignment="1">
      <alignment horizontal="center" vertical="center"/>
    </xf>
    <xf numFmtId="0" fontId="4" fillId="2" borderId="0" xfId="0" quotePrefix="1" applyNumberFormat="1" applyFont="1" applyFill="1" applyBorder="1" applyAlignment="1">
      <alignment horizontal="left" vertical="top" wrapText="1"/>
    </xf>
    <xf numFmtId="43" fontId="2" fillId="10" borderId="23" xfId="1" applyFont="1" applyFill="1" applyBorder="1" applyAlignment="1">
      <alignment horizontal="center" vertical="center"/>
    </xf>
    <xf numFmtId="17" fontId="2" fillId="10" borderId="23" xfId="0" applyNumberFormat="1" applyFont="1" applyFill="1" applyBorder="1" applyAlignment="1">
      <alignment horizontal="center" vertical="center"/>
    </xf>
    <xf numFmtId="0" fontId="2" fillId="10" borderId="23" xfId="0" applyNumberFormat="1" applyFont="1" applyFill="1" applyBorder="1" applyAlignment="1">
      <alignment horizontal="center" vertical="center"/>
    </xf>
    <xf numFmtId="0" fontId="2" fillId="10" borderId="23" xfId="0" quotePrefix="1" applyNumberFormat="1" applyFont="1" applyFill="1" applyBorder="1" applyAlignment="1">
      <alignment horizontal="left" vertical="center" wrapText="1"/>
    </xf>
    <xf numFmtId="0" fontId="23" fillId="2" borderId="0" xfId="0" applyNumberFormat="1" applyFont="1" applyFill="1" applyAlignment="1">
      <alignment horizontal="left" wrapText="1"/>
    </xf>
    <xf numFmtId="0" fontId="4" fillId="2" borderId="0" xfId="0" applyNumberFormat="1" applyFont="1" applyFill="1" applyAlignment="1">
      <alignment horizontal="left" vertical="center" wrapText="1"/>
    </xf>
    <xf numFmtId="0" fontId="27" fillId="2" borderId="0" xfId="0" quotePrefix="1" applyNumberFormat="1" applyFont="1" applyFill="1" applyBorder="1" applyAlignment="1">
      <alignment horizontal="justify" vertical="top" wrapText="1"/>
    </xf>
    <xf numFmtId="0" fontId="4" fillId="0" borderId="0" xfId="0" applyNumberFormat="1" applyFont="1" applyFill="1" applyAlignment="1">
      <alignment horizontal="left"/>
    </xf>
    <xf numFmtId="0" fontId="6" fillId="2" borderId="0" xfId="0" applyNumberFormat="1" applyFont="1" applyFill="1" applyBorder="1" applyAlignment="1">
      <alignment horizontal="center"/>
    </xf>
    <xf numFmtId="0" fontId="0" fillId="2" borderId="0" xfId="0" quotePrefix="1" applyNumberFormat="1" applyFont="1" applyFill="1" applyBorder="1" applyAlignment="1">
      <alignment horizontal="left" vertical="top"/>
    </xf>
    <xf numFmtId="0" fontId="0" fillId="2" borderId="0" xfId="0" quotePrefix="1" applyNumberFormat="1" applyFont="1" applyFill="1" applyBorder="1" applyAlignment="1">
      <alignment horizontal="left" vertical="top" wrapText="1"/>
    </xf>
    <xf numFmtId="0" fontId="2" fillId="11" borderId="46" xfId="0" applyFont="1" applyFill="1" applyBorder="1" applyAlignment="1">
      <alignment horizontal="left" vertical="center"/>
    </xf>
    <xf numFmtId="43" fontId="2" fillId="10" borderId="46" xfId="1" applyFont="1" applyFill="1" applyBorder="1" applyAlignment="1">
      <alignment horizontal="center" vertical="center"/>
    </xf>
    <xf numFmtId="0" fontId="2" fillId="10" borderId="46" xfId="0" applyNumberFormat="1" applyFont="1" applyFill="1" applyBorder="1" applyAlignment="1">
      <alignment horizontal="center" vertical="center"/>
    </xf>
    <xf numFmtId="0" fontId="21" fillId="2" borderId="0" xfId="0" applyNumberFormat="1" applyFont="1" applyFill="1" applyBorder="1" applyAlignment="1">
      <alignment horizontal="center"/>
    </xf>
    <xf numFmtId="0" fontId="23" fillId="2" borderId="0" xfId="0" applyNumberFormat="1" applyFont="1" applyFill="1" applyBorder="1" applyAlignment="1">
      <alignment horizontal="left" vertical="center" wrapText="1"/>
    </xf>
    <xf numFmtId="0" fontId="13" fillId="2" borderId="138" xfId="0" applyNumberFormat="1" applyFont="1" applyFill="1" applyBorder="1" applyAlignment="1">
      <alignment horizontal="left" vertical="center" wrapText="1"/>
    </xf>
    <xf numFmtId="0" fontId="13" fillId="2" borderId="0" xfId="0" applyNumberFormat="1" applyFont="1" applyFill="1" applyAlignment="1">
      <alignment horizontal="left" vertical="center"/>
    </xf>
    <xf numFmtId="0" fontId="27" fillId="2" borderId="0" xfId="0" quotePrefix="1" applyNumberFormat="1" applyFont="1" applyFill="1" applyAlignment="1">
      <alignment horizontal="left" vertical="center" wrapText="1"/>
    </xf>
    <xf numFmtId="0" fontId="23" fillId="2" borderId="0" xfId="0" applyNumberFormat="1" applyFont="1" applyFill="1" applyAlignment="1">
      <alignment horizontal="left" vertical="top" wrapText="1"/>
    </xf>
    <xf numFmtId="0" fontId="12" fillId="2" borderId="0" xfId="0" applyNumberFormat="1" applyFont="1" applyFill="1" applyAlignment="1">
      <alignment horizontal="left" vertical="center"/>
    </xf>
    <xf numFmtId="0" fontId="4" fillId="2" borderId="0" xfId="0" quotePrefix="1" applyNumberFormat="1" applyFont="1" applyFill="1" applyBorder="1" applyAlignment="1">
      <alignment horizontal="left" vertical="top"/>
    </xf>
    <xf numFmtId="166" fontId="2" fillId="10" borderId="23" xfId="2" applyNumberFormat="1" applyFont="1" applyFill="1" applyBorder="1" applyAlignment="1">
      <alignment horizontal="center" vertical="center" wrapText="1"/>
    </xf>
    <xf numFmtId="166" fontId="2" fillId="10" borderId="23" xfId="2" applyNumberFormat="1" applyFont="1" applyFill="1" applyBorder="1" applyAlignment="1">
      <alignment horizontal="center" vertical="center"/>
    </xf>
    <xf numFmtId="0" fontId="0" fillId="2" borderId="0" xfId="0" quotePrefix="1" applyNumberFormat="1" applyFont="1" applyFill="1" applyBorder="1" applyAlignment="1">
      <alignment horizontal="left" vertical="center" wrapText="1"/>
    </xf>
    <xf numFmtId="0" fontId="13" fillId="2" borderId="0" xfId="0" quotePrefix="1"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2" fillId="11" borderId="58" xfId="0" applyFont="1" applyFill="1" applyBorder="1" applyAlignment="1">
      <alignment horizontal="center" vertical="center" wrapText="1"/>
    </xf>
    <xf numFmtId="0" fontId="2" fillId="11" borderId="60" xfId="0" applyFont="1" applyFill="1" applyBorder="1" applyAlignment="1">
      <alignment horizontal="center" vertical="center" wrapText="1"/>
    </xf>
    <xf numFmtId="43" fontId="2" fillId="10" borderId="58" xfId="1" applyFont="1" applyFill="1" applyBorder="1" applyAlignment="1">
      <alignment horizontal="center" vertical="center" wrapText="1"/>
    </xf>
    <xf numFmtId="0" fontId="2" fillId="10" borderId="58" xfId="0" applyNumberFormat="1" applyFont="1" applyFill="1" applyBorder="1" applyAlignment="1">
      <alignment horizontal="center" vertical="center"/>
    </xf>
    <xf numFmtId="0" fontId="2" fillId="10" borderId="59" xfId="0" applyNumberFormat="1" applyFont="1" applyFill="1" applyBorder="1" applyAlignment="1">
      <alignment horizontal="center" vertical="center"/>
    </xf>
    <xf numFmtId="0" fontId="21" fillId="2" borderId="0" xfId="0" applyNumberFormat="1" applyFont="1" applyFill="1" applyBorder="1" applyAlignment="1">
      <alignment horizontal="center" vertical="top"/>
    </xf>
    <xf numFmtId="0" fontId="2" fillId="10" borderId="59" xfId="0" applyFont="1" applyFill="1" applyBorder="1" applyAlignment="1">
      <alignment horizontal="center" vertical="center"/>
    </xf>
    <xf numFmtId="0" fontId="2" fillId="10" borderId="61" xfId="0" applyFont="1" applyFill="1" applyBorder="1" applyAlignment="1">
      <alignment horizontal="center" vertical="center"/>
    </xf>
    <xf numFmtId="0" fontId="4" fillId="2" borderId="0" xfId="0" applyNumberFormat="1" applyFont="1" applyFill="1" applyAlignment="1">
      <alignment horizontal="left" vertical="center"/>
    </xf>
    <xf numFmtId="0" fontId="34" fillId="0" borderId="2" xfId="0" applyNumberFormat="1" applyFont="1" applyFill="1" applyBorder="1" applyAlignment="1">
      <alignment horizontal="left" vertical="center" wrapText="1"/>
    </xf>
    <xf numFmtId="0" fontId="4" fillId="2" borderId="0" xfId="0" applyNumberFormat="1" applyFont="1" applyFill="1" applyAlignment="1">
      <alignment horizontal="center"/>
    </xf>
    <xf numFmtId="0" fontId="20" fillId="2" borderId="0" xfId="0" applyFont="1" applyFill="1" applyBorder="1" applyAlignment="1">
      <alignment horizontal="center" vertical="center" wrapText="1"/>
    </xf>
    <xf numFmtId="0" fontId="4" fillId="2" borderId="0" xfId="0" applyNumberFormat="1" applyFont="1" applyFill="1" applyAlignment="1">
      <alignment horizontal="left"/>
    </xf>
    <xf numFmtId="0" fontId="23" fillId="2" borderId="0" xfId="0" applyNumberFormat="1" applyFont="1" applyFill="1" applyAlignment="1">
      <alignment horizontal="left" vertical="center" wrapText="1"/>
    </xf>
    <xf numFmtId="0" fontId="23" fillId="2" borderId="0" xfId="0" applyNumberFormat="1"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143" xfId="0" applyNumberFormat="1" applyFont="1" applyFill="1" applyBorder="1" applyAlignment="1">
      <alignment horizontal="left" vertical="center" wrapText="1"/>
    </xf>
    <xf numFmtId="0" fontId="11" fillId="2" borderId="0" xfId="0" applyNumberFormat="1" applyFont="1" applyFill="1" applyAlignment="1">
      <alignment horizontal="left" vertical="center"/>
    </xf>
    <xf numFmtId="0" fontId="63" fillId="0" borderId="100" xfId="0" applyFont="1" applyFill="1" applyBorder="1" applyAlignment="1">
      <alignment horizontal="center" vertical="center"/>
    </xf>
    <xf numFmtId="0" fontId="63" fillId="0" borderId="101" xfId="0" applyFont="1" applyFill="1" applyBorder="1" applyAlignment="1">
      <alignment horizontal="center" vertical="center"/>
    </xf>
    <xf numFmtId="0" fontId="63" fillId="0" borderId="102" xfId="0" applyFont="1" applyFill="1" applyBorder="1" applyAlignment="1">
      <alignment horizontal="center" vertical="center"/>
    </xf>
    <xf numFmtId="0" fontId="27" fillId="0" borderId="0" xfId="0" applyNumberFormat="1" applyFont="1" applyFill="1" applyAlignment="1">
      <alignment horizontal="left" vertical="center" wrapText="1"/>
    </xf>
    <xf numFmtId="0" fontId="27" fillId="2" borderId="0" xfId="0" applyNumberFormat="1" applyFont="1" applyFill="1" applyAlignment="1">
      <alignment horizontal="left" vertical="center" wrapText="1"/>
    </xf>
    <xf numFmtId="0" fontId="37" fillId="2" borderId="0" xfId="0" applyNumberFormat="1" applyFont="1" applyFill="1" applyBorder="1" applyAlignment="1">
      <alignment wrapText="1"/>
    </xf>
    <xf numFmtId="0" fontId="38" fillId="2" borderId="0" xfId="0" quotePrefix="1" applyNumberFormat="1" applyFont="1" applyFill="1" applyBorder="1" applyAlignment="1">
      <alignment horizontal="center" vertical="center" wrapText="1"/>
    </xf>
    <xf numFmtId="0" fontId="38" fillId="2" borderId="0" xfId="0" applyNumberFormat="1" applyFont="1" applyFill="1" applyBorder="1" applyAlignment="1">
      <alignment horizontal="center"/>
    </xf>
    <xf numFmtId="0" fontId="37" fillId="2" borderId="0" xfId="0" applyNumberFormat="1" applyFont="1" applyFill="1" applyBorder="1" applyAlignment="1">
      <alignment vertical="center" wrapText="1"/>
    </xf>
    <xf numFmtId="43" fontId="36" fillId="10" borderId="96" xfId="1" applyFont="1" applyFill="1" applyBorder="1" applyAlignment="1">
      <alignment horizontal="center" vertical="center" wrapText="1"/>
    </xf>
    <xf numFmtId="43" fontId="36" fillId="10" borderId="97" xfId="1" applyFont="1" applyFill="1" applyBorder="1" applyAlignment="1">
      <alignment horizontal="center" vertical="center" wrapText="1"/>
    </xf>
    <xf numFmtId="0" fontId="11" fillId="2" borderId="0" xfId="0" applyNumberFormat="1" applyFont="1" applyFill="1" applyAlignment="1">
      <alignment horizontal="left" vertical="center" wrapText="1"/>
    </xf>
    <xf numFmtId="0" fontId="4" fillId="2" borderId="98" xfId="0" applyNumberFormat="1" applyFont="1" applyFill="1" applyBorder="1" applyAlignment="1">
      <alignment horizontal="left" vertical="center"/>
    </xf>
    <xf numFmtId="0" fontId="41" fillId="2" borderId="0" xfId="0" quotePrefix="1" applyNumberFormat="1" applyFont="1" applyFill="1" applyBorder="1" applyAlignment="1">
      <alignment horizontal="left" vertical="center" wrapText="1"/>
    </xf>
    <xf numFmtId="0" fontId="37" fillId="2" borderId="99" xfId="0" quotePrefix="1" applyNumberFormat="1" applyFont="1" applyFill="1" applyBorder="1" applyAlignment="1">
      <alignment horizontal="left"/>
    </xf>
    <xf numFmtId="0" fontId="36" fillId="10" borderId="115" xfId="5" applyNumberFormat="1" applyFont="1" applyFill="1" applyBorder="1" applyAlignment="1">
      <alignment horizontal="center" vertical="center"/>
    </xf>
    <xf numFmtId="0" fontId="36" fillId="10" borderId="118" xfId="5" applyNumberFormat="1" applyFont="1" applyFill="1" applyBorder="1" applyAlignment="1">
      <alignment horizontal="center" vertical="center"/>
    </xf>
    <xf numFmtId="0" fontId="36" fillId="10" borderId="120" xfId="5" applyNumberFormat="1" applyFont="1" applyFill="1" applyBorder="1" applyAlignment="1">
      <alignment horizontal="center" vertical="center"/>
    </xf>
    <xf numFmtId="0" fontId="36" fillId="10" borderId="116" xfId="5" applyNumberFormat="1" applyFont="1" applyFill="1" applyBorder="1" applyAlignment="1">
      <alignment horizontal="center" vertical="center"/>
    </xf>
    <xf numFmtId="0" fontId="36" fillId="10" borderId="103" xfId="5" applyNumberFormat="1" applyFont="1" applyFill="1" applyBorder="1" applyAlignment="1">
      <alignment horizontal="center" vertical="center"/>
    </xf>
    <xf numFmtId="0" fontId="36" fillId="10" borderId="121" xfId="5" applyNumberFormat="1" applyFont="1" applyFill="1" applyBorder="1" applyAlignment="1">
      <alignment horizontal="center" vertical="center"/>
    </xf>
    <xf numFmtId="17" fontId="36" fillId="10" borderId="116" xfId="0" applyNumberFormat="1" applyFont="1" applyFill="1" applyBorder="1" applyAlignment="1">
      <alignment horizontal="center" vertical="center"/>
    </xf>
    <xf numFmtId="0" fontId="36" fillId="10" borderId="103" xfId="0" applyNumberFormat="1" applyFont="1" applyFill="1" applyBorder="1" applyAlignment="1">
      <alignment horizontal="center" vertical="center"/>
    </xf>
    <xf numFmtId="0" fontId="36" fillId="10" borderId="44" xfId="5" applyFont="1" applyFill="1" applyBorder="1" applyAlignment="1">
      <alignment horizontal="center" vertical="center" wrapText="1"/>
    </xf>
    <xf numFmtId="0" fontId="36" fillId="10" borderId="104" xfId="5" applyFont="1" applyFill="1" applyBorder="1" applyAlignment="1">
      <alignment horizontal="center" vertical="center" wrapText="1"/>
    </xf>
    <xf numFmtId="0" fontId="36" fillId="10" borderId="45" xfId="5" applyNumberFormat="1" applyFont="1" applyFill="1" applyBorder="1" applyAlignment="1">
      <alignment horizontal="center" vertical="center"/>
    </xf>
    <xf numFmtId="0" fontId="36" fillId="10" borderId="105" xfId="5" applyNumberFormat="1" applyFont="1" applyFill="1" applyBorder="1" applyAlignment="1">
      <alignment horizontal="center" vertical="center"/>
    </xf>
    <xf numFmtId="0" fontId="36" fillId="10" borderId="44" xfId="5" applyNumberFormat="1" applyFont="1" applyFill="1" applyBorder="1" applyAlignment="1">
      <alignment horizontal="center" vertical="center"/>
    </xf>
    <xf numFmtId="0" fontId="31" fillId="0" borderId="0" xfId="0" applyFont="1" applyFill="1" applyAlignment="1">
      <alignment horizontal="left" vertical="center" wrapText="1"/>
    </xf>
    <xf numFmtId="0" fontId="36" fillId="12" borderId="134" xfId="6" applyNumberFormat="1" applyFont="1" applyFill="1" applyBorder="1" applyAlignment="1">
      <alignment horizontal="center" vertical="center"/>
    </xf>
    <xf numFmtId="0" fontId="36" fillId="12" borderId="129" xfId="6" applyNumberFormat="1" applyFont="1" applyFill="1" applyBorder="1" applyAlignment="1">
      <alignment horizontal="center" vertical="center"/>
    </xf>
    <xf numFmtId="0" fontId="36" fillId="12" borderId="131" xfId="6" applyNumberFormat="1" applyFont="1" applyFill="1" applyBorder="1" applyAlignment="1">
      <alignment horizontal="center" vertical="center"/>
    </xf>
    <xf numFmtId="0" fontId="36" fillId="12" borderId="135" xfId="6" applyNumberFormat="1" applyFont="1" applyFill="1" applyBorder="1" applyAlignment="1">
      <alignment horizontal="center" vertical="center"/>
    </xf>
    <xf numFmtId="0" fontId="36" fillId="12" borderId="46" xfId="6" applyNumberFormat="1" applyFont="1" applyFill="1" applyBorder="1" applyAlignment="1">
      <alignment horizontal="center" vertical="center"/>
    </xf>
    <xf numFmtId="0" fontId="36" fillId="12" borderId="132" xfId="6" applyNumberFormat="1" applyFont="1" applyFill="1" applyBorder="1" applyAlignment="1">
      <alignment horizontal="center" vertical="center"/>
    </xf>
    <xf numFmtId="0" fontId="36" fillId="12" borderId="136" xfId="6" applyNumberFormat="1" applyFont="1" applyFill="1" applyBorder="1" applyAlignment="1">
      <alignment horizontal="center" vertical="center"/>
    </xf>
    <xf numFmtId="0" fontId="42" fillId="10" borderId="137" xfId="0" applyNumberFormat="1" applyFont="1" applyFill="1" applyBorder="1" applyAlignment="1">
      <alignment horizontal="center" vertical="center"/>
    </xf>
    <xf numFmtId="173" fontId="42" fillId="10" borderId="137" xfId="0" applyNumberFormat="1" applyFont="1" applyFill="1" applyBorder="1" applyAlignment="1">
      <alignment horizontal="center"/>
    </xf>
  </cellXfs>
  <cellStyles count="7">
    <cellStyle name="Comma" xfId="1" builtinId="3"/>
    <cellStyle name="Normal" xfId="0" builtinId="0"/>
    <cellStyle name="Normal 394" xfId="5" xr:uid="{20F017A2-A5CF-4C90-873A-45E94F6F1D38}"/>
    <cellStyle name="Normal 395" xfId="6" xr:uid="{85C46510-A56A-439F-B701-E38F8B2E204D}"/>
    <cellStyle name="Normal 96" xfId="4" xr:uid="{79FF1D4C-E32C-438C-BAF8-94F9B636AC66}"/>
    <cellStyle name="Normal_Informe Semanal 52_2011 2" xfId="3" xr:uid="{5F2BE7A9-E3A1-4808-9CDC-4272CDC86064}"/>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77A5"/>
      <color rgb="FFA7D7FF"/>
      <color rgb="FFC0E2FF"/>
      <color rgb="FF008FC8"/>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2.0713177626832825E-2"/>
                  <c:y val="2.036297878562269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9.2099269344217832E-2"/>
                  <c:y val="1.76410482336811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1974.104242622501</c:v>
                </c:pt>
                <c:pt idx="1">
                  <c:v>2005.2863001550004</c:v>
                </c:pt>
                <c:pt idx="2">
                  <c:v>5.4412924199999999</c:v>
                </c:pt>
                <c:pt idx="3">
                  <c:v>27.489297522499996</c:v>
                </c:pt>
                <c:pt idx="4">
                  <c:v>10.118653032500001</c:v>
                </c:pt>
                <c:pt idx="5">
                  <c:v>134.3830846825</c:v>
                </c:pt>
                <c:pt idx="6">
                  <c:v>65.050804804999999</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2005.2863001550004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5.4412924199999999</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27.489297522499996</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10.118653032500001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134.3830846825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65.050804804999999</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4485728891744E-3"/>
          <c:y val="0.82411660871049308"/>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RER'!$L$29:$L$33</c:f>
              <c:strCache>
                <c:ptCount val="5"/>
                <c:pt idx="0">
                  <c:v>C.E. WAYRA I</c:v>
                </c:pt>
                <c:pt idx="1">
                  <c:v>C.E. TRES HERMANAS</c:v>
                </c:pt>
                <c:pt idx="2">
                  <c:v>C.E. CUPISNIQUE</c:v>
                </c:pt>
                <c:pt idx="3">
                  <c:v>C.E. MARCONA</c:v>
                </c:pt>
                <c:pt idx="4">
                  <c:v>C.E. TALARA</c:v>
                </c:pt>
              </c:strCache>
            </c:strRef>
          </c:cat>
          <c:val>
            <c:numRef>
              <c:f>'6. FP RER'!$O$29:$O$33</c:f>
              <c:numCache>
                <c:formatCode>0.00</c:formatCode>
                <c:ptCount val="5"/>
                <c:pt idx="0">
                  <c:v>50.296656275000004</c:v>
                </c:pt>
                <c:pt idx="1">
                  <c:v>40.436329412500001</c:v>
                </c:pt>
                <c:pt idx="2">
                  <c:v>18.606367079999998</c:v>
                </c:pt>
                <c:pt idx="3">
                  <c:v>12.986847152500001</c:v>
                </c:pt>
                <c:pt idx="4">
                  <c:v>12.056884762499999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RER'!$L$29:$L$33</c:f>
              <c:strCache>
                <c:ptCount val="5"/>
                <c:pt idx="0">
                  <c:v>C.E. WAYRA I</c:v>
                </c:pt>
                <c:pt idx="1">
                  <c:v>C.E. TRES HERMANAS</c:v>
                </c:pt>
                <c:pt idx="2">
                  <c:v>C.E. CUPISNIQUE</c:v>
                </c:pt>
                <c:pt idx="3">
                  <c:v>C.E. MARCONA</c:v>
                </c:pt>
                <c:pt idx="4">
                  <c:v>C.E. TALARA</c:v>
                </c:pt>
              </c:strCache>
            </c:strRef>
          </c:cat>
          <c:val>
            <c:numRef>
              <c:f>'6. FP RER'!$P$29:$P$33</c:f>
              <c:numCache>
                <c:formatCode>0.00</c:formatCode>
                <c:ptCount val="5"/>
                <c:pt idx="0">
                  <c:v>0.5109828618872877</c:v>
                </c:pt>
                <c:pt idx="1">
                  <c:v>0.55944318192823428</c:v>
                </c:pt>
                <c:pt idx="2">
                  <c:v>0.30076437646693693</c:v>
                </c:pt>
                <c:pt idx="3">
                  <c:v>0.54548249128444226</c:v>
                </c:pt>
                <c:pt idx="4">
                  <c:v>0.52512930240367528</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3019344804E-2"/>
          <c:y val="0.14375424768335157"/>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RER'!$L$34:$L$40</c:f>
              <c:strCache>
                <c:ptCount val="7"/>
                <c:pt idx="0">
                  <c:v>C.S. RUBI</c:v>
                </c:pt>
                <c:pt idx="1">
                  <c:v>C.S. INTIPAMPA</c:v>
                </c:pt>
                <c:pt idx="2">
                  <c:v>C.S. PANAMERICANA SOLAR</c:v>
                </c:pt>
                <c:pt idx="3">
                  <c:v>C.S. MOQUEGUA FV</c:v>
                </c:pt>
                <c:pt idx="4">
                  <c:v>C.S. MAJES SOLAR</c:v>
                </c:pt>
                <c:pt idx="5">
                  <c:v>C.S. TACNA SOLAR</c:v>
                </c:pt>
                <c:pt idx="6">
                  <c:v>C.S. REPARTICION</c:v>
                </c:pt>
              </c:strCache>
            </c:strRef>
          </c:cat>
          <c:val>
            <c:numRef>
              <c:f>'6. FP RER'!$O$34:$O$40</c:f>
              <c:numCache>
                <c:formatCode>0.00</c:formatCode>
                <c:ptCount val="7"/>
                <c:pt idx="0">
                  <c:v>35.931422802499995</c:v>
                </c:pt>
                <c:pt idx="1">
                  <c:v>8.9048775199999994</c:v>
                </c:pt>
                <c:pt idx="2">
                  <c:v>4.5183410000000004</c:v>
                </c:pt>
                <c:pt idx="3">
                  <c:v>4.2114220475000002</c:v>
                </c:pt>
                <c:pt idx="4">
                  <c:v>3.8511682999999999</c:v>
                </c:pt>
                <c:pt idx="5">
                  <c:v>3.8199425924999999</c:v>
                </c:pt>
                <c:pt idx="6">
                  <c:v>3.8136305424999999</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RER'!$L$34:$L$40</c:f>
              <c:strCache>
                <c:ptCount val="7"/>
                <c:pt idx="0">
                  <c:v>C.S. RUBI</c:v>
                </c:pt>
                <c:pt idx="1">
                  <c:v>C.S. INTIPAMPA</c:v>
                </c:pt>
                <c:pt idx="2">
                  <c:v>C.S. PANAMERICANA SOLAR</c:v>
                </c:pt>
                <c:pt idx="3">
                  <c:v>C.S. MOQUEGUA FV</c:v>
                </c:pt>
                <c:pt idx="4">
                  <c:v>C.S. MAJES SOLAR</c:v>
                </c:pt>
                <c:pt idx="5">
                  <c:v>C.S. TACNA SOLAR</c:v>
                </c:pt>
                <c:pt idx="6">
                  <c:v>C.S. REPARTICION</c:v>
                </c:pt>
              </c:strCache>
            </c:strRef>
          </c:cat>
          <c:val>
            <c:numRef>
              <c:f>'6. FP RER'!$P$34:$P$40</c:f>
              <c:numCache>
                <c:formatCode>0.00</c:formatCode>
                <c:ptCount val="7"/>
                <c:pt idx="0">
                  <c:v>0.33426718661157107</c:v>
                </c:pt>
                <c:pt idx="1">
                  <c:v>0.26872297705095333</c:v>
                </c:pt>
                <c:pt idx="2">
                  <c:v>0.30365194892473119</c:v>
                </c:pt>
                <c:pt idx="3">
                  <c:v>0.35378209404401884</c:v>
                </c:pt>
                <c:pt idx="4">
                  <c:v>0.25881507392473119</c:v>
                </c:pt>
                <c:pt idx="5">
                  <c:v>0.25671657207661291</c:v>
                </c:pt>
                <c:pt idx="6">
                  <c:v>0.25629237516801073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RER'!$L$41:$L$44</c:f>
              <c:strCache>
                <c:ptCount val="4"/>
                <c:pt idx="0">
                  <c:v>C.T. PARAMONGA</c:v>
                </c:pt>
                <c:pt idx="1">
                  <c:v>C.T. HUAYCOLORO</c:v>
                </c:pt>
                <c:pt idx="2">
                  <c:v>C.T. LA GRINGA</c:v>
                </c:pt>
                <c:pt idx="3">
                  <c:v>C.T. DOÑA CATALINA</c:v>
                </c:pt>
              </c:strCache>
            </c:strRef>
          </c:cat>
          <c:val>
            <c:numRef>
              <c:f>'6. FP RER'!$O$41:$O$44</c:f>
              <c:numCache>
                <c:formatCode>0.00</c:formatCode>
                <c:ptCount val="4"/>
                <c:pt idx="0">
                  <c:v>7.4378331324999998</c:v>
                </c:pt>
                <c:pt idx="1">
                  <c:v>1.99217815</c:v>
                </c:pt>
                <c:pt idx="2">
                  <c:v>0.55370792499999999</c:v>
                </c:pt>
                <c:pt idx="3">
                  <c:v>0.12573599999999999</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RER'!$L$41:$L$44</c:f>
              <c:strCache>
                <c:ptCount val="4"/>
                <c:pt idx="0">
                  <c:v>C.T. PARAMONGA</c:v>
                </c:pt>
                <c:pt idx="1">
                  <c:v>C.T. HUAYCOLORO</c:v>
                </c:pt>
                <c:pt idx="2">
                  <c:v>C.T. LA GRINGA</c:v>
                </c:pt>
                <c:pt idx="3">
                  <c:v>C.T. DOÑA CATALINA</c:v>
                </c:pt>
              </c:strCache>
            </c:strRef>
          </c:cat>
          <c:val>
            <c:numRef>
              <c:f>'6. FP RER'!$P$41:$P$44</c:f>
              <c:numCache>
                <c:formatCode>0.00</c:formatCode>
                <c:ptCount val="4"/>
                <c:pt idx="0">
                  <c:v>0.78463608130278095</c:v>
                </c:pt>
                <c:pt idx="1">
                  <c:v>0.62818974868350519</c:v>
                </c:pt>
                <c:pt idx="2">
                  <c:v>0.25196569793453882</c:v>
                </c:pt>
                <c:pt idx="3">
                  <c:v>0.72763888888888895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5027906117051852"/>
          <c:h val="0.35757584321786989"/>
        </c:manualLayout>
      </c:layout>
      <c:barChart>
        <c:barDir val="col"/>
        <c:grouping val="clustered"/>
        <c:varyColors val="0"/>
        <c:ser>
          <c:idx val="1"/>
          <c:order val="0"/>
          <c:tx>
            <c:strRef>
              <c:f>'6. FP RER'!$U$5</c:f>
              <c:strCache>
                <c:ptCount val="1"/>
                <c:pt idx="0">
                  <c:v>2018</c:v>
                </c:pt>
              </c:strCache>
            </c:strRef>
          </c:tx>
          <c:spPr>
            <a:solidFill>
              <a:srgbClr val="0077A5"/>
            </a:solidFill>
          </c:spPr>
          <c:invertIfNegative val="0"/>
          <c:cat>
            <c:multiLvlStrRef>
              <c:f>'6. FP RER'!$S$6:$T$44</c:f>
              <c:multiLvlStrCache>
                <c:ptCount val="39"/>
                <c:lvl>
                  <c:pt idx="0">
                    <c:v>C.H. YARUCAYA</c:v>
                  </c:pt>
                  <c:pt idx="1">
                    <c:v>C.H. RONCADOR</c:v>
                  </c:pt>
                  <c:pt idx="2">
                    <c:v>C.H. CARHUAQUERO IV</c:v>
                  </c:pt>
                  <c:pt idx="3">
                    <c:v>C.H. LA JOYA</c:v>
                  </c:pt>
                  <c:pt idx="4">
                    <c:v>C.H. CANCHAYLLO</c:v>
                  </c:pt>
                  <c:pt idx="5">
                    <c:v>C.H. YANAPAMPA</c:v>
                  </c:pt>
                  <c:pt idx="6">
                    <c:v>C.H. RUNATULLO III</c:v>
                  </c:pt>
                  <c:pt idx="7">
                    <c:v>C.H. IMPERIAL</c:v>
                  </c:pt>
                  <c:pt idx="8">
                    <c:v>C.H. HUASAHUASI II</c:v>
                  </c:pt>
                  <c:pt idx="9">
                    <c:v>C.H. HUASAHUASI I</c:v>
                  </c:pt>
                  <c:pt idx="10">
                    <c:v>C.H. LAS PIZARRAS</c:v>
                  </c:pt>
                  <c:pt idx="11">
                    <c:v>C.H. HER 1</c:v>
                  </c:pt>
                  <c:pt idx="12">
                    <c:v>C.H. POECHOS II</c:v>
                  </c:pt>
                  <c:pt idx="13">
                    <c:v>C.H. CAÑA BRAVA</c:v>
                  </c:pt>
                  <c:pt idx="14">
                    <c:v>C.H. RENOVANDES H1</c:v>
                  </c:pt>
                  <c:pt idx="15">
                    <c:v>C.H. RUNATULLO II</c:v>
                  </c:pt>
                  <c:pt idx="16">
                    <c:v>C.H. POTRERO</c:v>
                  </c:pt>
                  <c:pt idx="17">
                    <c:v>C.H. SANTA CRUZ II</c:v>
                  </c:pt>
                  <c:pt idx="18">
                    <c:v>C.H. SANTA CRUZ I</c:v>
                  </c:pt>
                  <c:pt idx="19">
                    <c:v>C.H. ÁNGEL II</c:v>
                  </c:pt>
                  <c:pt idx="20">
                    <c:v>C.H. ÁNGEL III</c:v>
                  </c:pt>
                  <c:pt idx="21">
                    <c:v>C.H. ÁNGEL I</c:v>
                  </c:pt>
                  <c:pt idx="22">
                    <c:v>C.H. PURMACANA</c:v>
                  </c:pt>
                  <c:pt idx="23">
                    <c:v>C.E. TRES HERMANAS</c:v>
                  </c:pt>
                  <c:pt idx="24">
                    <c:v>C.E. MARCONA</c:v>
                  </c:pt>
                  <c:pt idx="25">
                    <c:v>C.E. TALARA</c:v>
                  </c:pt>
                  <c:pt idx="26">
                    <c:v>C.E. CUPISNIQUE</c:v>
                  </c:pt>
                  <c:pt idx="27">
                    <c:v>C.E. WAYRA I</c:v>
                  </c:pt>
                  <c:pt idx="28">
                    <c:v>C.S. MOQUEGUA FV</c:v>
                  </c:pt>
                  <c:pt idx="29">
                    <c:v>C.S. PANAMERICANA SOLAR</c:v>
                  </c:pt>
                  <c:pt idx="30">
                    <c:v>C.S. TACNA SOLAR</c:v>
                  </c:pt>
                  <c:pt idx="31">
                    <c:v>C.S. MAJES SOLAR</c:v>
                  </c:pt>
                  <c:pt idx="32">
                    <c:v>C.S. RUBI</c:v>
                  </c:pt>
                  <c:pt idx="33">
                    <c:v>C.S. REPARTICION</c:v>
                  </c:pt>
                  <c:pt idx="34">
                    <c:v>C.S. INTIPAMPA</c:v>
                  </c:pt>
                  <c:pt idx="35">
                    <c:v>C.T. HUAYCOLORO</c:v>
                  </c:pt>
                  <c:pt idx="36">
                    <c:v>C.T. PARAMONGA</c:v>
                  </c:pt>
                  <c:pt idx="37">
                    <c:v>C.T. DOÑA CATALINA</c:v>
                  </c:pt>
                  <c:pt idx="38">
                    <c:v>C.T. LA GRINGA</c:v>
                  </c:pt>
                </c:lvl>
                <c:lvl>
                  <c:pt idx="0">
                    <c:v>AGUA</c:v>
                  </c:pt>
                  <c:pt idx="23">
                    <c:v>EOLICA</c:v>
                  </c:pt>
                  <c:pt idx="28">
                    <c:v>SOLAR</c:v>
                  </c:pt>
                  <c:pt idx="35">
                    <c:v>BIOMASA</c:v>
                  </c:pt>
                </c:lvl>
              </c:multiLvlStrCache>
            </c:multiLvlStrRef>
          </c:cat>
          <c:val>
            <c:numRef>
              <c:f>'6. FP RER'!$U$6:$U$44</c:f>
              <c:numCache>
                <c:formatCode>0.000</c:formatCode>
                <c:ptCount val="39"/>
                <c:pt idx="0">
                  <c:v>0.99959813405921361</c:v>
                </c:pt>
                <c:pt idx="1">
                  <c:v>0.85246495171802805</c:v>
                </c:pt>
                <c:pt idx="2">
                  <c:v>0.79810155736975086</c:v>
                </c:pt>
                <c:pt idx="3">
                  <c:v>0.78904525990705099</c:v>
                </c:pt>
                <c:pt idx="4">
                  <c:v>0.77065594176942831</c:v>
                </c:pt>
                <c:pt idx="5">
                  <c:v>0.76937957657992806</c:v>
                </c:pt>
                <c:pt idx="6">
                  <c:v>0.76720415421236676</c:v>
                </c:pt>
                <c:pt idx="7">
                  <c:v>0.70714015300945821</c:v>
                </c:pt>
                <c:pt idx="8">
                  <c:v>0.69480882162058555</c:v>
                </c:pt>
                <c:pt idx="9">
                  <c:v>0.68436545960323925</c:v>
                </c:pt>
                <c:pt idx="10">
                  <c:v>0.68327529753021754</c:v>
                </c:pt>
                <c:pt idx="11">
                  <c:v>0.67080357142857161</c:v>
                </c:pt>
                <c:pt idx="12">
                  <c:v>0.6646161429891303</c:v>
                </c:pt>
                <c:pt idx="13">
                  <c:v>0.64152464077957061</c:v>
                </c:pt>
                <c:pt idx="14">
                  <c:v>0.63429872548010979</c:v>
                </c:pt>
                <c:pt idx="15">
                  <c:v>0.60434415433012478</c:v>
                </c:pt>
                <c:pt idx="16">
                  <c:v>0.59080362706019818</c:v>
                </c:pt>
                <c:pt idx="17">
                  <c:v>0.56456578554547066</c:v>
                </c:pt>
                <c:pt idx="18">
                  <c:v>0.54429502284380382</c:v>
                </c:pt>
                <c:pt idx="19">
                  <c:v>0.34712921626984122</c:v>
                </c:pt>
                <c:pt idx="20">
                  <c:v>0.32801442625661376</c:v>
                </c:pt>
                <c:pt idx="21">
                  <c:v>0.29911334325396827</c:v>
                </c:pt>
                <c:pt idx="22">
                  <c:v>0.17493623254910345</c:v>
                </c:pt>
                <c:pt idx="23">
                  <c:v>0.54038606178875737</c:v>
                </c:pt>
                <c:pt idx="24">
                  <c:v>0.52093370837887942</c:v>
                </c:pt>
                <c:pt idx="25">
                  <c:v>0.41865790597521269</c:v>
                </c:pt>
                <c:pt idx="26">
                  <c:v>0.36678060410887497</c:v>
                </c:pt>
                <c:pt idx="27">
                  <c:v>0.22040740101462777</c:v>
                </c:pt>
                <c:pt idx="28">
                  <c:v>0.3160442125075017</c:v>
                </c:pt>
                <c:pt idx="29">
                  <c:v>0.27462113953189304</c:v>
                </c:pt>
                <c:pt idx="30">
                  <c:v>0.25872447455847053</c:v>
                </c:pt>
                <c:pt idx="31">
                  <c:v>0.24086052537722907</c:v>
                </c:pt>
                <c:pt idx="32">
                  <c:v>0.22705322945137815</c:v>
                </c:pt>
                <c:pt idx="33">
                  <c:v>0.2186354177169067</c:v>
                </c:pt>
                <c:pt idx="34">
                  <c:v>0.14601371456268714</c:v>
                </c:pt>
                <c:pt idx="35">
                  <c:v>0.87925993638093392</c:v>
                </c:pt>
                <c:pt idx="36">
                  <c:v>0.77975898056232029</c:v>
                </c:pt>
                <c:pt idx="37">
                  <c:v>0.72763888888888895</c:v>
                </c:pt>
                <c:pt idx="38">
                  <c:v>0.37157213360374353</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2017</c:v>
                </c:pt>
              </c:strCache>
            </c:strRef>
          </c:tx>
          <c:spPr>
            <a:solidFill>
              <a:schemeClr val="accent2"/>
            </a:solidFill>
          </c:spPr>
          <c:invertIfNegative val="0"/>
          <c:cat>
            <c:multiLvlStrRef>
              <c:f>'6. FP RER'!$S$6:$T$44</c:f>
              <c:multiLvlStrCache>
                <c:ptCount val="39"/>
                <c:lvl>
                  <c:pt idx="0">
                    <c:v>C.H. YARUCAYA</c:v>
                  </c:pt>
                  <c:pt idx="1">
                    <c:v>C.H. RONCADOR</c:v>
                  </c:pt>
                  <c:pt idx="2">
                    <c:v>C.H. CARHUAQUERO IV</c:v>
                  </c:pt>
                  <c:pt idx="3">
                    <c:v>C.H. LA JOYA</c:v>
                  </c:pt>
                  <c:pt idx="4">
                    <c:v>C.H. CANCHAYLLO</c:v>
                  </c:pt>
                  <c:pt idx="5">
                    <c:v>C.H. YANAPAMPA</c:v>
                  </c:pt>
                  <c:pt idx="6">
                    <c:v>C.H. RUNATULLO III</c:v>
                  </c:pt>
                  <c:pt idx="7">
                    <c:v>C.H. IMPERIAL</c:v>
                  </c:pt>
                  <c:pt idx="8">
                    <c:v>C.H. HUASAHUASI II</c:v>
                  </c:pt>
                  <c:pt idx="9">
                    <c:v>C.H. HUASAHUASI I</c:v>
                  </c:pt>
                  <c:pt idx="10">
                    <c:v>C.H. LAS PIZARRAS</c:v>
                  </c:pt>
                  <c:pt idx="11">
                    <c:v>C.H. HER 1</c:v>
                  </c:pt>
                  <c:pt idx="12">
                    <c:v>C.H. POECHOS II</c:v>
                  </c:pt>
                  <c:pt idx="13">
                    <c:v>C.H. CAÑA BRAVA</c:v>
                  </c:pt>
                  <c:pt idx="14">
                    <c:v>C.H. RENOVANDES H1</c:v>
                  </c:pt>
                  <c:pt idx="15">
                    <c:v>C.H. RUNATULLO II</c:v>
                  </c:pt>
                  <c:pt idx="16">
                    <c:v>C.H. POTRERO</c:v>
                  </c:pt>
                  <c:pt idx="17">
                    <c:v>C.H. SANTA CRUZ II</c:v>
                  </c:pt>
                  <c:pt idx="18">
                    <c:v>C.H. SANTA CRUZ I</c:v>
                  </c:pt>
                  <c:pt idx="19">
                    <c:v>C.H. ÁNGEL II</c:v>
                  </c:pt>
                  <c:pt idx="20">
                    <c:v>C.H. ÁNGEL III</c:v>
                  </c:pt>
                  <c:pt idx="21">
                    <c:v>C.H. ÁNGEL I</c:v>
                  </c:pt>
                  <c:pt idx="22">
                    <c:v>C.H. PURMACANA</c:v>
                  </c:pt>
                  <c:pt idx="23">
                    <c:v>C.E. TRES HERMANAS</c:v>
                  </c:pt>
                  <c:pt idx="24">
                    <c:v>C.E. MARCONA</c:v>
                  </c:pt>
                  <c:pt idx="25">
                    <c:v>C.E. TALARA</c:v>
                  </c:pt>
                  <c:pt idx="26">
                    <c:v>C.E. CUPISNIQUE</c:v>
                  </c:pt>
                  <c:pt idx="27">
                    <c:v>C.E. WAYRA I</c:v>
                  </c:pt>
                  <c:pt idx="28">
                    <c:v>C.S. MOQUEGUA FV</c:v>
                  </c:pt>
                  <c:pt idx="29">
                    <c:v>C.S. PANAMERICANA SOLAR</c:v>
                  </c:pt>
                  <c:pt idx="30">
                    <c:v>C.S. TACNA SOLAR</c:v>
                  </c:pt>
                  <c:pt idx="31">
                    <c:v>C.S. MAJES SOLAR</c:v>
                  </c:pt>
                  <c:pt idx="32">
                    <c:v>C.S. RUBI</c:v>
                  </c:pt>
                  <c:pt idx="33">
                    <c:v>C.S. REPARTICION</c:v>
                  </c:pt>
                  <c:pt idx="34">
                    <c:v>C.S. INTIPAMPA</c:v>
                  </c:pt>
                  <c:pt idx="35">
                    <c:v>C.T. HUAYCOLORO</c:v>
                  </c:pt>
                  <c:pt idx="36">
                    <c:v>C.T. PARAMONGA</c:v>
                  </c:pt>
                  <c:pt idx="37">
                    <c:v>C.T. DOÑA CATALINA</c:v>
                  </c:pt>
                  <c:pt idx="38">
                    <c:v>C.T. LA GRINGA</c:v>
                  </c:pt>
                </c:lvl>
                <c:lvl>
                  <c:pt idx="0">
                    <c:v>AGUA</c:v>
                  </c:pt>
                  <c:pt idx="23">
                    <c:v>EOLICA</c:v>
                  </c:pt>
                  <c:pt idx="28">
                    <c:v>SOLAR</c:v>
                  </c:pt>
                  <c:pt idx="35">
                    <c:v>BIOMASA</c:v>
                  </c:pt>
                </c:lvl>
              </c:multiLvlStrCache>
            </c:multiLvlStrRef>
          </c:cat>
          <c:val>
            <c:numRef>
              <c:f>'6. FP RER'!$V$6:$V$44</c:f>
              <c:numCache>
                <c:formatCode>0.000</c:formatCode>
                <c:ptCount val="39"/>
                <c:pt idx="0">
                  <c:v>0.91439259299999998</c:v>
                </c:pt>
                <c:pt idx="1">
                  <c:v>0.83082807000000003</c:v>
                </c:pt>
                <c:pt idx="2">
                  <c:v>0.94395363700000001</c:v>
                </c:pt>
                <c:pt idx="3">
                  <c:v>0.73209083799999997</c:v>
                </c:pt>
                <c:pt idx="4">
                  <c:v>0.53741921199999998</c:v>
                </c:pt>
                <c:pt idx="5">
                  <c:v>0.68106693500000004</c:v>
                </c:pt>
                <c:pt idx="6">
                  <c:v>0.75952924700000002</c:v>
                </c:pt>
                <c:pt idx="7">
                  <c:v>0.70474537000000004</c:v>
                </c:pt>
                <c:pt idx="8">
                  <c:v>0.59189352699999997</c:v>
                </c:pt>
                <c:pt idx="9">
                  <c:v>0.59560934899999995</c:v>
                </c:pt>
                <c:pt idx="10">
                  <c:v>0.75329043500000004</c:v>
                </c:pt>
                <c:pt idx="12">
                  <c:v>0.49027923000000001</c:v>
                </c:pt>
                <c:pt idx="13">
                  <c:v>0.768208157</c:v>
                </c:pt>
                <c:pt idx="15">
                  <c:v>0.62647542300000003</c:v>
                </c:pt>
                <c:pt idx="16">
                  <c:v>0.40592748699999998</c:v>
                </c:pt>
                <c:pt idx="17">
                  <c:v>0.61411139100000001</c:v>
                </c:pt>
                <c:pt idx="18">
                  <c:v>0.61025407099999995</c:v>
                </c:pt>
                <c:pt idx="22">
                  <c:v>0.123505266</c:v>
                </c:pt>
                <c:pt idx="23">
                  <c:v>0.55638007599999995</c:v>
                </c:pt>
                <c:pt idx="24">
                  <c:v>0.57277685899999997</c:v>
                </c:pt>
                <c:pt idx="25">
                  <c:v>0.39776732199999998</c:v>
                </c:pt>
                <c:pt idx="26">
                  <c:v>0.32809378700000003</c:v>
                </c:pt>
                <c:pt idx="28">
                  <c:v>0.30537694399999998</c:v>
                </c:pt>
                <c:pt idx="29">
                  <c:v>0.26222473400000001</c:v>
                </c:pt>
                <c:pt idx="30">
                  <c:v>0.24703975</c:v>
                </c:pt>
                <c:pt idx="31">
                  <c:v>0.24070915900000001</c:v>
                </c:pt>
                <c:pt idx="33">
                  <c:v>0.220692156</c:v>
                </c:pt>
                <c:pt idx="35">
                  <c:v>0.76556309099999997</c:v>
                </c:pt>
                <c:pt idx="36">
                  <c:v>0.75706932800000004</c:v>
                </c:pt>
                <c:pt idx="38">
                  <c:v>0.39890024699999999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2018</c:v>
                </c:pt>
              </c:strCache>
            </c:strRef>
          </c:tx>
          <c:spPr>
            <a:solidFill>
              <a:srgbClr val="0077A5"/>
            </a:solidFill>
          </c:spPr>
          <c:invertIfNegative val="0"/>
          <c:cat>
            <c:strRef>
              <c:f>'7. Generacion empresa'!$L$5:$L$59</c:f>
              <c:strCache>
                <c:ptCount val="55"/>
                <c:pt idx="0">
                  <c:v>RIO BAÑOS</c:v>
                </c:pt>
                <c:pt idx="1">
                  <c:v>ECELIM (**)</c:v>
                </c:pt>
                <c:pt idx="2">
                  <c:v>CERRO DEL AGUILA</c:v>
                </c:pt>
                <c:pt idx="3">
                  <c:v>AGROAURORA</c:v>
                </c:pt>
                <c:pt idx="4">
                  <c:v>PLANTA  ETEN</c:v>
                </c:pt>
                <c:pt idx="5">
                  <c:v>ELECTRICA SANTA ROSA</c:v>
                </c:pt>
                <c:pt idx="6">
                  <c:v>HYDRO PATAPO</c:v>
                </c:pt>
                <c:pt idx="7">
                  <c:v>IYEPSA</c:v>
                </c:pt>
                <c:pt idx="8">
                  <c:v>SHOUGESA</c:v>
                </c:pt>
                <c:pt idx="9">
                  <c:v>AGUA AZUL</c:v>
                </c:pt>
                <c:pt idx="10">
                  <c:v>MAJA ENERGIA</c:v>
                </c:pt>
                <c:pt idx="11">
                  <c:v>ELECTRICA YANAPAMPA</c:v>
                </c:pt>
                <c:pt idx="12">
                  <c:v>RIO DOBLE</c:v>
                </c:pt>
                <c:pt idx="13">
                  <c:v>HIDROCAÑETE</c:v>
                </c:pt>
                <c:pt idx="14">
                  <c:v>EGECSAC</c:v>
                </c:pt>
                <c:pt idx="15">
                  <c:v>PETRAMAS (**)</c:v>
                </c:pt>
                <c:pt idx="16">
                  <c:v>SINERSA</c:v>
                </c:pt>
                <c:pt idx="17">
                  <c:v>CERRO VERDE</c:v>
                </c:pt>
                <c:pt idx="18">
                  <c:v>GTS REPARTICION</c:v>
                </c:pt>
                <c:pt idx="19">
                  <c:v>TACNA SOLAR</c:v>
                </c:pt>
                <c:pt idx="20">
                  <c:v>GTS MAJES</c:v>
                </c:pt>
                <c:pt idx="21">
                  <c:v>MOQUEGUA FV</c:v>
                </c:pt>
                <c:pt idx="22">
                  <c:v>PANAMERICANA SOLAR</c:v>
                </c:pt>
                <c:pt idx="23">
                  <c:v>AIPSA</c:v>
                </c:pt>
                <c:pt idx="24">
                  <c:v>SANTA CRUZ</c:v>
                </c:pt>
                <c:pt idx="25">
                  <c:v>SAMAY I</c:v>
                </c:pt>
                <c:pt idx="26">
                  <c:v>CELEPSA RENOVABLES (****)</c:v>
                </c:pt>
                <c:pt idx="27">
                  <c:v>HUAURA POWER</c:v>
                </c:pt>
                <c:pt idx="28">
                  <c:v>HIDROELECTRICA HUANCHOR</c:v>
                </c:pt>
                <c:pt idx="29">
                  <c:v>P.E. MARCONA</c:v>
                </c:pt>
                <c:pt idx="30">
                  <c:v>EMGE JUNÍN</c:v>
                </c:pt>
                <c:pt idx="31">
                  <c:v>SANTA ANA</c:v>
                </c:pt>
                <c:pt idx="32">
                  <c:v>GEPSA</c:v>
                </c:pt>
                <c:pt idx="33">
                  <c:v>SDF ENERGIA</c:v>
                </c:pt>
                <c:pt idx="34">
                  <c:v>EGESUR</c:v>
                </c:pt>
                <c:pt idx="35">
                  <c:v>ENERGÍA EÓLICA</c:v>
                </c:pt>
                <c:pt idx="36">
                  <c:v>P.E. TRES HERMANAS</c:v>
                </c:pt>
                <c:pt idx="37">
                  <c:v>EMGE HUANZA</c:v>
                </c:pt>
                <c:pt idx="38">
                  <c:v>LUZ DEL SUR / INLAND (***)</c:v>
                </c:pt>
                <c:pt idx="39">
                  <c:v>SAN GABAN</c:v>
                </c:pt>
                <c:pt idx="40">
                  <c:v>TERMOSELVA</c:v>
                </c:pt>
                <c:pt idx="41">
                  <c:v>CELEPSA</c:v>
                </c:pt>
                <c:pt idx="42">
                  <c:v>ORAZUL ENERGY PERÚ</c:v>
                </c:pt>
                <c:pt idx="43">
                  <c:v>ENEL GENERACION PIURA</c:v>
                </c:pt>
                <c:pt idx="44">
                  <c:v>EGASA</c:v>
                </c:pt>
                <c:pt idx="45">
                  <c:v>EMGE HUALLAGA</c:v>
                </c:pt>
                <c:pt idx="46">
                  <c:v>CHINANGO</c:v>
                </c:pt>
                <c:pt idx="47">
                  <c:v>EGEMSA</c:v>
                </c:pt>
                <c:pt idx="48">
                  <c:v>ENEL GREEN POWER PERU</c:v>
                </c:pt>
                <c:pt idx="49">
                  <c:v>STATKRAFT</c:v>
                </c:pt>
                <c:pt idx="50">
                  <c:v>TERMOCHILCA</c:v>
                </c:pt>
                <c:pt idx="51">
                  <c:v>FENIX POWER</c:v>
                </c:pt>
                <c:pt idx="52">
                  <c:v>ENEL GENERACION PERU</c:v>
                </c:pt>
                <c:pt idx="53">
                  <c:v>ELECTROPERU</c:v>
                </c:pt>
                <c:pt idx="54">
                  <c:v>KALLPA (*)</c:v>
                </c:pt>
              </c:strCache>
            </c:strRef>
          </c:cat>
          <c:val>
            <c:numRef>
              <c:f>'7. Generacion empresa'!$M$5:$M$59</c:f>
              <c:numCache>
                <c:formatCode>General</c:formatCode>
                <c:ptCount val="55"/>
                <c:pt idx="3">
                  <c:v>0</c:v>
                </c:pt>
                <c:pt idx="4">
                  <c:v>0</c:v>
                </c:pt>
                <c:pt idx="5">
                  <c:v>0.2063930725</c:v>
                </c:pt>
                <c:pt idx="6">
                  <c:v>0.26512574999999999</c:v>
                </c:pt>
                <c:pt idx="7">
                  <c:v>0.45813150999999996</c:v>
                </c:pt>
                <c:pt idx="8">
                  <c:v>0.72900189500000001</c:v>
                </c:pt>
                <c:pt idx="9">
                  <c:v>1.2879379774999999</c:v>
                </c:pt>
                <c:pt idx="10">
                  <c:v>1.4575312825000002</c:v>
                </c:pt>
                <c:pt idx="11">
                  <c:v>1.8385223449999999</c:v>
                </c:pt>
                <c:pt idx="12">
                  <c:v>1.8440929650000002</c:v>
                </c:pt>
                <c:pt idx="13">
                  <c:v>2.339</c:v>
                </c:pt>
                <c:pt idx="14">
                  <c:v>2.5635129825000003</c:v>
                </c:pt>
                <c:pt idx="15">
                  <c:v>2.6808199000000004</c:v>
                </c:pt>
                <c:pt idx="16">
                  <c:v>3.2195525324999998</c:v>
                </c:pt>
                <c:pt idx="17">
                  <c:v>3.784817785</c:v>
                </c:pt>
                <c:pt idx="18">
                  <c:v>3.8136305424999999</c:v>
                </c:pt>
                <c:pt idx="19">
                  <c:v>3.8199425924999999</c:v>
                </c:pt>
                <c:pt idx="20">
                  <c:v>3.8511682999999999</c:v>
                </c:pt>
                <c:pt idx="21">
                  <c:v>4.2114220475000002</c:v>
                </c:pt>
                <c:pt idx="22">
                  <c:v>4.5183410000000004</c:v>
                </c:pt>
                <c:pt idx="23">
                  <c:v>7.4378331324999998</c:v>
                </c:pt>
                <c:pt idx="24">
                  <c:v>8.1850518749999992</c:v>
                </c:pt>
                <c:pt idx="25">
                  <c:v>9.6296871350000011</c:v>
                </c:pt>
                <c:pt idx="26">
                  <c:v>9.8935111474999999</c:v>
                </c:pt>
                <c:pt idx="27">
                  <c:v>10.9556863025</c:v>
                </c:pt>
                <c:pt idx="28">
                  <c:v>12.694129</c:v>
                </c:pt>
                <c:pt idx="29">
                  <c:v>12.986847152500001</c:v>
                </c:pt>
                <c:pt idx="30">
                  <c:v>13.2073286125</c:v>
                </c:pt>
                <c:pt idx="31">
                  <c:v>14.74453653</c:v>
                </c:pt>
                <c:pt idx="32">
                  <c:v>18.18601</c:v>
                </c:pt>
                <c:pt idx="33">
                  <c:v>20.498671337500003</c:v>
                </c:pt>
                <c:pt idx="34">
                  <c:v>23.442433000000001</c:v>
                </c:pt>
                <c:pt idx="35">
                  <c:v>30.663251842499996</c:v>
                </c:pt>
                <c:pt idx="36">
                  <c:v>40.436329412500001</c:v>
                </c:pt>
                <c:pt idx="37">
                  <c:v>40.792124494999996</c:v>
                </c:pt>
                <c:pt idx="38">
                  <c:v>47.673655862499999</c:v>
                </c:pt>
                <c:pt idx="39">
                  <c:v>55.090652457499999</c:v>
                </c:pt>
                <c:pt idx="40">
                  <c:v>65.572510985000008</c:v>
                </c:pt>
                <c:pt idx="41">
                  <c:v>68.064380529999994</c:v>
                </c:pt>
                <c:pt idx="42">
                  <c:v>69.015507389999996</c:v>
                </c:pt>
                <c:pt idx="43">
                  <c:v>69.072626775000003</c:v>
                </c:pt>
                <c:pt idx="44">
                  <c:v>75.196365619999995</c:v>
                </c:pt>
                <c:pt idx="45">
                  <c:v>81.841410192500007</c:v>
                </c:pt>
                <c:pt idx="46">
                  <c:v>82.6433125625</c:v>
                </c:pt>
                <c:pt idx="47">
                  <c:v>85.481327607499992</c:v>
                </c:pt>
                <c:pt idx="48">
                  <c:v>86.228079077499999</c:v>
                </c:pt>
                <c:pt idx="49">
                  <c:v>142.92843044499998</c:v>
                </c:pt>
                <c:pt idx="50">
                  <c:v>148.1309641725</c:v>
                </c:pt>
                <c:pt idx="51">
                  <c:v>388.93439438250005</c:v>
                </c:pt>
                <c:pt idx="52">
                  <c:v>514.67862350750011</c:v>
                </c:pt>
                <c:pt idx="53">
                  <c:v>597.16367982249994</c:v>
                </c:pt>
                <c:pt idx="54">
                  <c:v>657.63196068750005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2017</c:v>
                </c:pt>
              </c:strCache>
            </c:strRef>
          </c:tx>
          <c:spPr>
            <a:solidFill>
              <a:schemeClr val="accent2"/>
            </a:solidFill>
          </c:spPr>
          <c:invertIfNegative val="0"/>
          <c:cat>
            <c:strRef>
              <c:f>'7. Generacion empresa'!$L$5:$L$59</c:f>
              <c:strCache>
                <c:ptCount val="55"/>
                <c:pt idx="0">
                  <c:v>RIO BAÑOS</c:v>
                </c:pt>
                <c:pt idx="1">
                  <c:v>ECELIM (**)</c:v>
                </c:pt>
                <c:pt idx="2">
                  <c:v>CERRO DEL AGUILA</c:v>
                </c:pt>
                <c:pt idx="3">
                  <c:v>AGROAURORA</c:v>
                </c:pt>
                <c:pt idx="4">
                  <c:v>PLANTA  ETEN</c:v>
                </c:pt>
                <c:pt idx="5">
                  <c:v>ELECTRICA SANTA ROSA</c:v>
                </c:pt>
                <c:pt idx="6">
                  <c:v>HYDRO PATAPO</c:v>
                </c:pt>
                <c:pt idx="7">
                  <c:v>IYEPSA</c:v>
                </c:pt>
                <c:pt idx="8">
                  <c:v>SHOUGESA</c:v>
                </c:pt>
                <c:pt idx="9">
                  <c:v>AGUA AZUL</c:v>
                </c:pt>
                <c:pt idx="10">
                  <c:v>MAJA ENERGIA</c:v>
                </c:pt>
                <c:pt idx="11">
                  <c:v>ELECTRICA YANAPAMPA</c:v>
                </c:pt>
                <c:pt idx="12">
                  <c:v>RIO DOBLE</c:v>
                </c:pt>
                <c:pt idx="13">
                  <c:v>HIDROCAÑETE</c:v>
                </c:pt>
                <c:pt idx="14">
                  <c:v>EGECSAC</c:v>
                </c:pt>
                <c:pt idx="15">
                  <c:v>PETRAMAS (**)</c:v>
                </c:pt>
                <c:pt idx="16">
                  <c:v>SINERSA</c:v>
                </c:pt>
                <c:pt idx="17">
                  <c:v>CERRO VERDE</c:v>
                </c:pt>
                <c:pt idx="18">
                  <c:v>GTS REPARTICION</c:v>
                </c:pt>
                <c:pt idx="19">
                  <c:v>TACNA SOLAR</c:v>
                </c:pt>
                <c:pt idx="20">
                  <c:v>GTS MAJES</c:v>
                </c:pt>
                <c:pt idx="21">
                  <c:v>MOQUEGUA FV</c:v>
                </c:pt>
                <c:pt idx="22">
                  <c:v>PANAMERICANA SOLAR</c:v>
                </c:pt>
                <c:pt idx="23">
                  <c:v>AIPSA</c:v>
                </c:pt>
                <c:pt idx="24">
                  <c:v>SANTA CRUZ</c:v>
                </c:pt>
                <c:pt idx="25">
                  <c:v>SAMAY I</c:v>
                </c:pt>
                <c:pt idx="26">
                  <c:v>CELEPSA RENOVABLES (****)</c:v>
                </c:pt>
                <c:pt idx="27">
                  <c:v>HUAURA POWER</c:v>
                </c:pt>
                <c:pt idx="28">
                  <c:v>HIDROELECTRICA HUANCHOR</c:v>
                </c:pt>
                <c:pt idx="29">
                  <c:v>P.E. MARCONA</c:v>
                </c:pt>
                <c:pt idx="30">
                  <c:v>EMGE JUNÍN</c:v>
                </c:pt>
                <c:pt idx="31">
                  <c:v>SANTA ANA</c:v>
                </c:pt>
                <c:pt idx="32">
                  <c:v>GEPSA</c:v>
                </c:pt>
                <c:pt idx="33">
                  <c:v>SDF ENERGIA</c:v>
                </c:pt>
                <c:pt idx="34">
                  <c:v>EGESUR</c:v>
                </c:pt>
                <c:pt idx="35">
                  <c:v>ENERGÍA EÓLICA</c:v>
                </c:pt>
                <c:pt idx="36">
                  <c:v>P.E. TRES HERMANAS</c:v>
                </c:pt>
                <c:pt idx="37">
                  <c:v>EMGE HUANZA</c:v>
                </c:pt>
                <c:pt idx="38">
                  <c:v>LUZ DEL SUR / INLAND (***)</c:v>
                </c:pt>
                <c:pt idx="39">
                  <c:v>SAN GABAN</c:v>
                </c:pt>
                <c:pt idx="40">
                  <c:v>TERMOSELVA</c:v>
                </c:pt>
                <c:pt idx="41">
                  <c:v>CELEPSA</c:v>
                </c:pt>
                <c:pt idx="42">
                  <c:v>ORAZUL ENERGY PERÚ</c:v>
                </c:pt>
                <c:pt idx="43">
                  <c:v>ENEL GENERACION PIURA</c:v>
                </c:pt>
                <c:pt idx="44">
                  <c:v>EGASA</c:v>
                </c:pt>
                <c:pt idx="45">
                  <c:v>EMGE HUALLAGA</c:v>
                </c:pt>
                <c:pt idx="46">
                  <c:v>CHINANGO</c:v>
                </c:pt>
                <c:pt idx="47">
                  <c:v>EGEMSA</c:v>
                </c:pt>
                <c:pt idx="48">
                  <c:v>ENEL GREEN POWER PERU</c:v>
                </c:pt>
                <c:pt idx="49">
                  <c:v>STATKRAFT</c:v>
                </c:pt>
                <c:pt idx="50">
                  <c:v>TERMOCHILCA</c:v>
                </c:pt>
                <c:pt idx="51">
                  <c:v>FENIX POWER</c:v>
                </c:pt>
                <c:pt idx="52">
                  <c:v>ENEL GENERACION PERU</c:v>
                </c:pt>
                <c:pt idx="53">
                  <c:v>ELECTROPERU</c:v>
                </c:pt>
                <c:pt idx="54">
                  <c:v>KALLPA (*)</c:v>
                </c:pt>
              </c:strCache>
            </c:strRef>
          </c:cat>
          <c:val>
            <c:numRef>
              <c:f>'7. Generacion empresa'!$N$5:$N$59</c:f>
              <c:numCache>
                <c:formatCode>General</c:formatCode>
                <c:ptCount val="55"/>
                <c:pt idx="0">
                  <c:v>0</c:v>
                </c:pt>
                <c:pt idx="1">
                  <c:v>1.5229932499999999</c:v>
                </c:pt>
                <c:pt idx="2">
                  <c:v>185.2573822125</c:v>
                </c:pt>
                <c:pt idx="3">
                  <c:v>0</c:v>
                </c:pt>
                <c:pt idx="4">
                  <c:v>3.0188575475000001</c:v>
                </c:pt>
                <c:pt idx="5">
                  <c:v>0.22051265249999999</c:v>
                </c:pt>
                <c:pt idx="7">
                  <c:v>0.31773877499999997</c:v>
                </c:pt>
                <c:pt idx="8">
                  <c:v>1.80556173</c:v>
                </c:pt>
                <c:pt idx="9">
                  <c:v>1.4889191675</c:v>
                </c:pt>
                <c:pt idx="10">
                  <c:v>2.0312855000000001</c:v>
                </c:pt>
                <c:pt idx="11">
                  <c:v>2.0943279074999999</c:v>
                </c:pt>
                <c:pt idx="12">
                  <c:v>3.5660180399999999</c:v>
                </c:pt>
                <c:pt idx="13">
                  <c:v>2.2928000000000002</c:v>
                </c:pt>
                <c:pt idx="14">
                  <c:v>2.7101479999999998</c:v>
                </c:pt>
                <c:pt idx="15">
                  <c:v>2.22232545</c:v>
                </c:pt>
                <c:pt idx="16">
                  <c:v>4.5777515124999999</c:v>
                </c:pt>
                <c:pt idx="17">
                  <c:v>0</c:v>
                </c:pt>
                <c:pt idx="18">
                  <c:v>3.5822516775</c:v>
                </c:pt>
                <c:pt idx="19">
                  <c:v>3.6330478149999998</c:v>
                </c:pt>
                <c:pt idx="20">
                  <c:v>3.8345293875000004</c:v>
                </c:pt>
                <c:pt idx="21">
                  <c:v>4.1244202574999997</c:v>
                </c:pt>
                <c:pt idx="22">
                  <c:v>4.3260924999999997</c:v>
                </c:pt>
                <c:pt idx="23">
                  <c:v>7.2833323674999999</c:v>
                </c:pt>
                <c:pt idx="24">
                  <c:v>4.7249319974999997</c:v>
                </c:pt>
                <c:pt idx="25">
                  <c:v>126.30588842750001</c:v>
                </c:pt>
                <c:pt idx="26">
                  <c:v>8.8996021175000006</c:v>
                </c:pt>
                <c:pt idx="27">
                  <c:v>9.0396534975000016</c:v>
                </c:pt>
                <c:pt idx="28">
                  <c:v>11.214147000000001</c:v>
                </c:pt>
                <c:pt idx="29">
                  <c:v>17.337327930000001</c:v>
                </c:pt>
                <c:pt idx="30">
                  <c:v>5.7755991799999995</c:v>
                </c:pt>
                <c:pt idx="32">
                  <c:v>5.0616882250000002</c:v>
                </c:pt>
                <c:pt idx="33">
                  <c:v>20.985056947500002</c:v>
                </c:pt>
                <c:pt idx="34">
                  <c:v>24.893852437500001</c:v>
                </c:pt>
                <c:pt idx="35">
                  <c:v>42.186943042500005</c:v>
                </c:pt>
                <c:pt idx="36">
                  <c:v>51.897870920000003</c:v>
                </c:pt>
                <c:pt idx="37">
                  <c:v>49.703086249999998</c:v>
                </c:pt>
                <c:pt idx="38">
                  <c:v>36.933139979999993</c:v>
                </c:pt>
                <c:pt idx="39">
                  <c:v>32.000341345000002</c:v>
                </c:pt>
                <c:pt idx="40">
                  <c:v>9.7890968775000005</c:v>
                </c:pt>
                <c:pt idx="41">
                  <c:v>59.5670712525</c:v>
                </c:pt>
                <c:pt idx="42">
                  <c:v>96.914024345000001</c:v>
                </c:pt>
                <c:pt idx="43">
                  <c:v>64.805748475000001</c:v>
                </c:pt>
                <c:pt idx="44">
                  <c:v>132.61895015500005</c:v>
                </c:pt>
                <c:pt idx="45">
                  <c:v>53.945246757500001</c:v>
                </c:pt>
                <c:pt idx="46">
                  <c:v>41.822466800000001</c:v>
                </c:pt>
                <c:pt idx="47">
                  <c:v>70.0277021375</c:v>
                </c:pt>
                <c:pt idx="49">
                  <c:v>150.4925199475</c:v>
                </c:pt>
                <c:pt idx="50">
                  <c:v>137.3482827</c:v>
                </c:pt>
                <c:pt idx="51">
                  <c:v>411.35341860999995</c:v>
                </c:pt>
                <c:pt idx="52">
                  <c:v>501.40857443250002</c:v>
                </c:pt>
                <c:pt idx="53">
                  <c:v>548.61848499749988</c:v>
                </c:pt>
                <c:pt idx="54">
                  <c:v>323.23935239999997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2018</c:v>
                </c:pt>
                <c:pt idx="1">
                  <c:v>2017</c:v>
                </c:pt>
                <c:pt idx="2">
                  <c:v>2016</c:v>
                </c:pt>
              </c:numCache>
            </c:numRef>
          </c:cat>
          <c:val>
            <c:numRef>
              <c:f>('8. Max Potencia'!$G$10:$H$10,'8. Max Potencia'!$J$10)</c:f>
              <c:numCache>
                <c:formatCode>_(* #,##0.00_);_(* \(#,##0.00\);_(* "-"??_);_(@_)</c:formatCode>
                <c:ptCount val="3"/>
                <c:pt idx="0">
                  <c:v>4457.8647499999988</c:v>
                </c:pt>
                <c:pt idx="1">
                  <c:v>4181.7234999999982</c:v>
                </c:pt>
                <c:pt idx="2">
                  <c:v>3527.2958100000001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2018</c:v>
                </c:pt>
                <c:pt idx="1">
                  <c:v>2017</c:v>
                </c:pt>
                <c:pt idx="2">
                  <c:v>2016</c:v>
                </c:pt>
              </c:numCache>
            </c:numRef>
          </c:cat>
          <c:val>
            <c:numRef>
              <c:f>('8. Max Potencia'!$G$11:$H$11,'8. Max Potencia'!$J$11)</c:f>
              <c:numCache>
                <c:formatCode>_(* #,##0.00_);_(* \(#,##0.00\);_(* "-"??_);_(@_)</c:formatCode>
                <c:ptCount val="3"/>
                <c:pt idx="0">
                  <c:v>1943.7948299999998</c:v>
                </c:pt>
                <c:pt idx="1">
                  <c:v>2286.1302900000001</c:v>
                </c:pt>
                <c:pt idx="2">
                  <c:v>2770.9643299999998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2018</c:v>
                </c:pt>
                <c:pt idx="1">
                  <c:v>2017</c:v>
                </c:pt>
                <c:pt idx="2">
                  <c:v>2016</c:v>
                </c:pt>
              </c:numCache>
            </c:numRef>
          </c:cat>
          <c:val>
            <c:numRef>
              <c:f>('8. Max Potencia'!$G$12:$H$12,'8. Max Potencia'!$J$12)</c:f>
              <c:numCache>
                <c:formatCode>_(* #,##0.00_);_(* \(#,##0.00\);_(* "-"??_);_(@_)</c:formatCode>
                <c:ptCount val="3"/>
                <c:pt idx="0">
                  <c:v>309.01528000000002</c:v>
                </c:pt>
                <c:pt idx="1">
                  <c:v>91.209550000000007</c:v>
                </c:pt>
                <c:pt idx="2">
                  <c:v>146.64738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ax val="700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2018</c:v>
                </c:pt>
              </c:strCache>
            </c:strRef>
          </c:tx>
          <c:spPr>
            <a:solidFill>
              <a:srgbClr val="0077A5"/>
            </a:solidFill>
          </c:spPr>
          <c:invertIfNegative val="0"/>
          <c:cat>
            <c:strRef>
              <c:f>'9. Pot. Empresa'!$L$7:$L$62</c:f>
              <c:strCache>
                <c:ptCount val="56"/>
                <c:pt idx="0">
                  <c:v>RIO BAÑOS</c:v>
                </c:pt>
                <c:pt idx="1">
                  <c:v>ECELIM  (**)</c:v>
                </c:pt>
                <c:pt idx="2">
                  <c:v>CERRO DEL AGUILA (*)</c:v>
                </c:pt>
                <c:pt idx="3">
                  <c:v>AGROAURORA</c:v>
                </c:pt>
                <c:pt idx="4">
                  <c:v>AGUA AZUL</c:v>
                </c:pt>
                <c:pt idx="5">
                  <c:v>CERRO VERDE</c:v>
                </c:pt>
                <c:pt idx="6">
                  <c:v>GTS MAJES</c:v>
                </c:pt>
                <c:pt idx="7">
                  <c:v>GTS REPARTICION</c:v>
                </c:pt>
                <c:pt idx="8">
                  <c:v>IYEPSA</c:v>
                </c:pt>
                <c:pt idx="9">
                  <c:v>MOQUEGUA FV</c:v>
                </c:pt>
                <c:pt idx="10">
                  <c:v>PANAMERICANA SOLAR</c:v>
                </c:pt>
                <c:pt idx="11">
                  <c:v>PLANTA  ETEN</c:v>
                </c:pt>
                <c:pt idx="12">
                  <c:v>RIO DOBLE</c:v>
                </c:pt>
                <c:pt idx="13">
                  <c:v>SAMAY I</c:v>
                </c:pt>
                <c:pt idx="14">
                  <c:v>SHOUGESA</c:v>
                </c:pt>
                <c:pt idx="15">
                  <c:v>TACNA SOLAR</c:v>
                </c:pt>
                <c:pt idx="16">
                  <c:v>HYDRO PATAPO</c:v>
                </c:pt>
                <c:pt idx="17">
                  <c:v>ELECTRICA SANTA ROSA</c:v>
                </c:pt>
                <c:pt idx="18">
                  <c:v>MAJA ENERGIA</c:v>
                </c:pt>
                <c:pt idx="19">
                  <c:v>ELECTRICA YANAPAMPA</c:v>
                </c:pt>
                <c:pt idx="20">
                  <c:v>HIDROCAÑETE</c:v>
                </c:pt>
                <c:pt idx="21">
                  <c:v>SINERSA</c:v>
                </c:pt>
                <c:pt idx="22">
                  <c:v>EGECSAC</c:v>
                </c:pt>
                <c:pt idx="23">
                  <c:v>PETRAMAS (**)</c:v>
                </c:pt>
                <c:pt idx="24">
                  <c:v>CELEPSA RENOVABLES (****)</c:v>
                </c:pt>
                <c:pt idx="25">
                  <c:v>P.E. MARCONA</c:v>
                </c:pt>
                <c:pt idx="26">
                  <c:v>SANTA CRUZ</c:v>
                </c:pt>
                <c:pt idx="27">
                  <c:v>AIPSA</c:v>
                </c:pt>
                <c:pt idx="28">
                  <c:v>HUAURA POWER</c:v>
                </c:pt>
                <c:pt idx="29">
                  <c:v>HIDROELECTRICA HUANCHOR</c:v>
                </c:pt>
                <c:pt idx="30">
                  <c:v>EMGE JUNÍN</c:v>
                </c:pt>
                <c:pt idx="31">
                  <c:v>SANTA ANA</c:v>
                </c:pt>
                <c:pt idx="32">
                  <c:v>SDF ENERGIA</c:v>
                </c:pt>
                <c:pt idx="33">
                  <c:v>GEPSA</c:v>
                </c:pt>
                <c:pt idx="34">
                  <c:v>ENERGÍA EÓLICA</c:v>
                </c:pt>
                <c:pt idx="35">
                  <c:v>P.E. TRES HERMANAS</c:v>
                </c:pt>
                <c:pt idx="36">
                  <c:v>EGESUR</c:v>
                </c:pt>
                <c:pt idx="37">
                  <c:v>LUZ DEL SUR / INLAND (***)</c:v>
                </c:pt>
                <c:pt idx="38">
                  <c:v>ENEL GREEN POWER PERU</c:v>
                </c:pt>
                <c:pt idx="39">
                  <c:v>ORAZUL ENERGY PERÚ</c:v>
                </c:pt>
                <c:pt idx="40">
                  <c:v>ENEL GENERACION PIURA</c:v>
                </c:pt>
                <c:pt idx="41">
                  <c:v>SAN GABAN</c:v>
                </c:pt>
                <c:pt idx="42">
                  <c:v>EMGE HUANZA</c:v>
                </c:pt>
                <c:pt idx="43">
                  <c:v>EGEMSA</c:v>
                </c:pt>
                <c:pt idx="44">
                  <c:v>CHINANGO</c:v>
                </c:pt>
                <c:pt idx="45">
                  <c:v>EGASA</c:v>
                </c:pt>
                <c:pt idx="46">
                  <c:v>TERMOSELVA</c:v>
                </c:pt>
                <c:pt idx="47">
                  <c:v>STATKRAFT</c:v>
                </c:pt>
                <c:pt idx="48">
                  <c:v>CELEPSA</c:v>
                </c:pt>
                <c:pt idx="49">
                  <c:v>EMGE HUALLAGA</c:v>
                </c:pt>
                <c:pt idx="50">
                  <c:v>TERMOCHILCA</c:v>
                </c:pt>
                <c:pt idx="51">
                  <c:v>FENIX POWER</c:v>
                </c:pt>
                <c:pt idx="52">
                  <c:v>ENEL GENERACION PERU</c:v>
                </c:pt>
                <c:pt idx="53">
                  <c:v>ELECTROPERU</c:v>
                </c:pt>
                <c:pt idx="54">
                  <c:v>ENGIE</c:v>
                </c:pt>
                <c:pt idx="55">
                  <c:v>KALLPA (*)</c:v>
                </c:pt>
              </c:strCache>
            </c:strRef>
          </c:cat>
          <c:val>
            <c:numRef>
              <c:f>'9. Pot. Empresa'!$M$7:$M$62</c:f>
              <c:numCache>
                <c:formatCode>General</c:formatCode>
                <c:ptCount val="56"/>
                <c:pt idx="3" formatCode="0.00">
                  <c:v>0</c:v>
                </c:pt>
                <c:pt idx="4" formatCode="0.00">
                  <c:v>0</c:v>
                </c:pt>
                <c:pt idx="5" formatCode="0.00">
                  <c:v>0</c:v>
                </c:pt>
                <c:pt idx="6" formatCode="0.00">
                  <c:v>0</c:v>
                </c:pt>
                <c:pt idx="7" formatCode="0.00">
                  <c:v>0</c:v>
                </c:pt>
                <c:pt idx="8" formatCode="0.00">
                  <c:v>0</c:v>
                </c:pt>
                <c:pt idx="9" formatCode="0.00">
                  <c:v>0</c:v>
                </c:pt>
                <c:pt idx="10">
                  <c:v>0</c:v>
                </c:pt>
                <c:pt idx="11" formatCode="0.00">
                  <c:v>0</c:v>
                </c:pt>
                <c:pt idx="12" formatCode="0.00">
                  <c:v>0</c:v>
                </c:pt>
                <c:pt idx="13" formatCode="0.00">
                  <c:v>0</c:v>
                </c:pt>
                <c:pt idx="14">
                  <c:v>0</c:v>
                </c:pt>
                <c:pt idx="15">
                  <c:v>0</c:v>
                </c:pt>
                <c:pt idx="16" formatCode="0.00">
                  <c:v>0.48599999999999999</c:v>
                </c:pt>
                <c:pt idx="17" formatCode="0.00">
                  <c:v>0.99748999999999999</c:v>
                </c:pt>
                <c:pt idx="18" formatCode="0.00">
                  <c:v>1.8759999999999999</c:v>
                </c:pt>
                <c:pt idx="19" formatCode="0.00">
                  <c:v>2.5849500000000001</c:v>
                </c:pt>
                <c:pt idx="20" formatCode="0.00">
                  <c:v>3.2</c:v>
                </c:pt>
                <c:pt idx="21" formatCode="0.00">
                  <c:v>4.1628499999999997</c:v>
                </c:pt>
                <c:pt idx="22" formatCode="0.00">
                  <c:v>5.0074300000000003</c:v>
                </c:pt>
                <c:pt idx="23" formatCode="0.00">
                  <c:v>5.9032999999999998</c:v>
                </c:pt>
                <c:pt idx="24" formatCode="0.00">
                  <c:v>6.7769300000000001</c:v>
                </c:pt>
                <c:pt idx="25" formatCode="0.00">
                  <c:v>11.15903</c:v>
                </c:pt>
                <c:pt idx="26" formatCode="0.00">
                  <c:v>11.276969999999999</c:v>
                </c:pt>
                <c:pt idx="27" formatCode="0.00">
                  <c:v>11.519170000000001</c:v>
                </c:pt>
                <c:pt idx="28" formatCode="0.00">
                  <c:v>14.355730000000001</c:v>
                </c:pt>
                <c:pt idx="29" formatCode="0.00">
                  <c:v>16.78</c:v>
                </c:pt>
                <c:pt idx="30" formatCode="0.00">
                  <c:v>17.887320000000003</c:v>
                </c:pt>
                <c:pt idx="31" formatCode="0.00">
                  <c:v>19.915679999999998</c:v>
                </c:pt>
                <c:pt idx="32" formatCode="0.00">
                  <c:v>28.143129999999999</c:v>
                </c:pt>
                <c:pt idx="33" formatCode="0.00">
                  <c:v>28.5</c:v>
                </c:pt>
                <c:pt idx="34" formatCode="0.00">
                  <c:v>31.400929999999999</c:v>
                </c:pt>
                <c:pt idx="35" formatCode="0.00">
                  <c:v>33.890619999999998</c:v>
                </c:pt>
                <c:pt idx="36" formatCode="0.00">
                  <c:v>44.627459999999999</c:v>
                </c:pt>
                <c:pt idx="37" formatCode="0.00">
                  <c:v>56.198300000000003</c:v>
                </c:pt>
                <c:pt idx="38" formatCode="0.00">
                  <c:v>77.925520000000006</c:v>
                </c:pt>
                <c:pt idx="39" formatCode="0.00">
                  <c:v>87.243319999999997</c:v>
                </c:pt>
                <c:pt idx="40" formatCode="0.00">
                  <c:v>91.402630000000002</c:v>
                </c:pt>
                <c:pt idx="41" formatCode="0.00">
                  <c:v>94.405050000000003</c:v>
                </c:pt>
                <c:pt idx="42" formatCode="0.00">
                  <c:v>94.48124</c:v>
                </c:pt>
                <c:pt idx="43" formatCode="0.00">
                  <c:v>104.36085</c:v>
                </c:pt>
                <c:pt idx="44" formatCode="0.00">
                  <c:v>116.74993000000001</c:v>
                </c:pt>
                <c:pt idx="45" formatCode="0.00">
                  <c:v>122.81819</c:v>
                </c:pt>
                <c:pt idx="46" formatCode="0.00">
                  <c:v>171.66131000000001</c:v>
                </c:pt>
                <c:pt idx="47" formatCode="0.00">
                  <c:v>194.52905000000004</c:v>
                </c:pt>
                <c:pt idx="48" formatCode="0.00">
                  <c:v>212.16512</c:v>
                </c:pt>
                <c:pt idx="49" formatCode="0.00">
                  <c:v>229.58348000000001</c:v>
                </c:pt>
                <c:pt idx="50" formatCode="0.00">
                  <c:v>292.65355999999997</c:v>
                </c:pt>
                <c:pt idx="51" formatCode="0.00">
                  <c:v>553.39894000000004</c:v>
                </c:pt>
                <c:pt idx="52" formatCode="0.00">
                  <c:v>750.48642000000007</c:v>
                </c:pt>
                <c:pt idx="53" formatCode="0.00">
                  <c:v>790.21008000000006</c:v>
                </c:pt>
                <c:pt idx="54" formatCode="0.00">
                  <c:v>989.67624000000001</c:v>
                </c:pt>
                <c:pt idx="55" formatCode="0.00">
                  <c:v>1188.87255</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2017</c:v>
                </c:pt>
              </c:strCache>
            </c:strRef>
          </c:tx>
          <c:spPr>
            <a:solidFill>
              <a:srgbClr val="FF6600"/>
            </a:solidFill>
          </c:spPr>
          <c:invertIfNegative val="0"/>
          <c:cat>
            <c:strRef>
              <c:f>'9. Pot. Empresa'!$L$7:$L$62</c:f>
              <c:strCache>
                <c:ptCount val="56"/>
                <c:pt idx="0">
                  <c:v>RIO BAÑOS</c:v>
                </c:pt>
                <c:pt idx="1">
                  <c:v>ECELIM  (**)</c:v>
                </c:pt>
                <c:pt idx="2">
                  <c:v>CERRO DEL AGUILA (*)</c:v>
                </c:pt>
                <c:pt idx="3">
                  <c:v>AGROAURORA</c:v>
                </c:pt>
                <c:pt idx="4">
                  <c:v>AGUA AZUL</c:v>
                </c:pt>
                <c:pt idx="5">
                  <c:v>CERRO VERDE</c:v>
                </c:pt>
                <c:pt idx="6">
                  <c:v>GTS MAJES</c:v>
                </c:pt>
                <c:pt idx="7">
                  <c:v>GTS REPARTICION</c:v>
                </c:pt>
                <c:pt idx="8">
                  <c:v>IYEPSA</c:v>
                </c:pt>
                <c:pt idx="9">
                  <c:v>MOQUEGUA FV</c:v>
                </c:pt>
                <c:pt idx="10">
                  <c:v>PANAMERICANA SOLAR</c:v>
                </c:pt>
                <c:pt idx="11">
                  <c:v>PLANTA  ETEN</c:v>
                </c:pt>
                <c:pt idx="12">
                  <c:v>RIO DOBLE</c:v>
                </c:pt>
                <c:pt idx="13">
                  <c:v>SAMAY I</c:v>
                </c:pt>
                <c:pt idx="14">
                  <c:v>SHOUGESA</c:v>
                </c:pt>
                <c:pt idx="15">
                  <c:v>TACNA SOLAR</c:v>
                </c:pt>
                <c:pt idx="16">
                  <c:v>HYDRO PATAPO</c:v>
                </c:pt>
                <c:pt idx="17">
                  <c:v>ELECTRICA SANTA ROSA</c:v>
                </c:pt>
                <c:pt idx="18">
                  <c:v>MAJA ENERGIA</c:v>
                </c:pt>
                <c:pt idx="19">
                  <c:v>ELECTRICA YANAPAMPA</c:v>
                </c:pt>
                <c:pt idx="20">
                  <c:v>HIDROCAÑETE</c:v>
                </c:pt>
                <c:pt idx="21">
                  <c:v>SINERSA</c:v>
                </c:pt>
                <c:pt idx="22">
                  <c:v>EGECSAC</c:v>
                </c:pt>
                <c:pt idx="23">
                  <c:v>PETRAMAS (**)</c:v>
                </c:pt>
                <c:pt idx="24">
                  <c:v>CELEPSA RENOVABLES (****)</c:v>
                </c:pt>
                <c:pt idx="25">
                  <c:v>P.E. MARCONA</c:v>
                </c:pt>
                <c:pt idx="26">
                  <c:v>SANTA CRUZ</c:v>
                </c:pt>
                <c:pt idx="27">
                  <c:v>AIPSA</c:v>
                </c:pt>
                <c:pt idx="28">
                  <c:v>HUAURA POWER</c:v>
                </c:pt>
                <c:pt idx="29">
                  <c:v>HIDROELECTRICA HUANCHOR</c:v>
                </c:pt>
                <c:pt idx="30">
                  <c:v>EMGE JUNÍN</c:v>
                </c:pt>
                <c:pt idx="31">
                  <c:v>SANTA ANA</c:v>
                </c:pt>
                <c:pt idx="32">
                  <c:v>SDF ENERGIA</c:v>
                </c:pt>
                <c:pt idx="33">
                  <c:v>GEPSA</c:v>
                </c:pt>
                <c:pt idx="34">
                  <c:v>ENERGÍA EÓLICA</c:v>
                </c:pt>
                <c:pt idx="35">
                  <c:v>P.E. TRES HERMANAS</c:v>
                </c:pt>
                <c:pt idx="36">
                  <c:v>EGESUR</c:v>
                </c:pt>
                <c:pt idx="37">
                  <c:v>LUZ DEL SUR / INLAND (***)</c:v>
                </c:pt>
                <c:pt idx="38">
                  <c:v>ENEL GREEN POWER PERU</c:v>
                </c:pt>
                <c:pt idx="39">
                  <c:v>ORAZUL ENERGY PERÚ</c:v>
                </c:pt>
                <c:pt idx="40">
                  <c:v>ENEL GENERACION PIURA</c:v>
                </c:pt>
                <c:pt idx="41">
                  <c:v>SAN GABAN</c:v>
                </c:pt>
                <c:pt idx="42">
                  <c:v>EMGE HUANZA</c:v>
                </c:pt>
                <c:pt idx="43">
                  <c:v>EGEMSA</c:v>
                </c:pt>
                <c:pt idx="44">
                  <c:v>CHINANGO</c:v>
                </c:pt>
                <c:pt idx="45">
                  <c:v>EGASA</c:v>
                </c:pt>
                <c:pt idx="46">
                  <c:v>TERMOSELVA</c:v>
                </c:pt>
                <c:pt idx="47">
                  <c:v>STATKRAFT</c:v>
                </c:pt>
                <c:pt idx="48">
                  <c:v>CELEPSA</c:v>
                </c:pt>
                <c:pt idx="49">
                  <c:v>EMGE HUALLAGA</c:v>
                </c:pt>
                <c:pt idx="50">
                  <c:v>TERMOCHILCA</c:v>
                </c:pt>
                <c:pt idx="51">
                  <c:v>FENIX POWER</c:v>
                </c:pt>
                <c:pt idx="52">
                  <c:v>ENEL GENERACION PERU</c:v>
                </c:pt>
                <c:pt idx="53">
                  <c:v>ELECTROPERU</c:v>
                </c:pt>
                <c:pt idx="54">
                  <c:v>ENGIE</c:v>
                </c:pt>
                <c:pt idx="55">
                  <c:v>KALLPA (*)</c:v>
                </c:pt>
              </c:strCache>
            </c:strRef>
          </c:cat>
          <c:val>
            <c:numRef>
              <c:f>'9. Pot. Empresa'!$N$7:$N$62</c:f>
              <c:numCache>
                <c:formatCode>General</c:formatCode>
                <c:ptCount val="56"/>
                <c:pt idx="0">
                  <c:v>0</c:v>
                </c:pt>
                <c:pt idx="1">
                  <c:v>2.8996</c:v>
                </c:pt>
                <c:pt idx="2">
                  <c:v>459.13319000000001</c:v>
                </c:pt>
                <c:pt idx="3" formatCode="0.00">
                  <c:v>0</c:v>
                </c:pt>
                <c:pt idx="4" formatCode="0.00">
                  <c:v>3.8237000000000001</c:v>
                </c:pt>
                <c:pt idx="5">
                  <c:v>0</c:v>
                </c:pt>
                <c:pt idx="6" formatCode="0.00">
                  <c:v>0</c:v>
                </c:pt>
                <c:pt idx="7" formatCode="0.00">
                  <c:v>0</c:v>
                </c:pt>
                <c:pt idx="8" formatCode="0.00">
                  <c:v>0</c:v>
                </c:pt>
                <c:pt idx="9" formatCode="0.00">
                  <c:v>0</c:v>
                </c:pt>
                <c:pt idx="10">
                  <c:v>0</c:v>
                </c:pt>
                <c:pt idx="11" formatCode="0.00">
                  <c:v>0</c:v>
                </c:pt>
                <c:pt idx="12" formatCode="0.00">
                  <c:v>5.0315099999999999</c:v>
                </c:pt>
                <c:pt idx="13" formatCode="0.00">
                  <c:v>145.89409000000001</c:v>
                </c:pt>
                <c:pt idx="14">
                  <c:v>0</c:v>
                </c:pt>
                <c:pt idx="15">
                  <c:v>0</c:v>
                </c:pt>
                <c:pt idx="17" formatCode="0.00">
                  <c:v>0.36170000000000002</c:v>
                </c:pt>
                <c:pt idx="18">
                  <c:v>2.1710000000000003</c:v>
                </c:pt>
                <c:pt idx="19" formatCode="0.00">
                  <c:v>2.3232699999999999</c:v>
                </c:pt>
                <c:pt idx="20" formatCode="0.00">
                  <c:v>3.2</c:v>
                </c:pt>
                <c:pt idx="21" formatCode="0.00">
                  <c:v>7.7374200000000002</c:v>
                </c:pt>
                <c:pt idx="22" formatCode="0.00">
                  <c:v>4.9800000000000004</c:v>
                </c:pt>
                <c:pt idx="23" formatCode="0.00">
                  <c:v>3.0049999999999999</c:v>
                </c:pt>
                <c:pt idx="24" formatCode="0.00">
                  <c:v>11.49161</c:v>
                </c:pt>
                <c:pt idx="25" formatCode="0.00">
                  <c:v>13.62908</c:v>
                </c:pt>
                <c:pt idx="26" formatCode="0.00">
                  <c:v>5.4512499999999999</c:v>
                </c:pt>
                <c:pt idx="27" formatCode="0.00">
                  <c:v>12.036759999999999</c:v>
                </c:pt>
                <c:pt idx="28" formatCode="0.00">
                  <c:v>14.005330000000001</c:v>
                </c:pt>
                <c:pt idx="29" formatCode="0.00">
                  <c:v>13.411999999999999</c:v>
                </c:pt>
                <c:pt idx="30">
                  <c:v>7.2682000000000002</c:v>
                </c:pt>
                <c:pt idx="32" formatCode="0.00">
                  <c:v>28.24</c:v>
                </c:pt>
                <c:pt idx="33" formatCode="0.00">
                  <c:v>6.6960699999999997</c:v>
                </c:pt>
                <c:pt idx="34" formatCode="0.00">
                  <c:v>51.344269999999995</c:v>
                </c:pt>
                <c:pt idx="35" formatCode="0.00">
                  <c:v>49.589959999999998</c:v>
                </c:pt>
                <c:pt idx="36" formatCode="0.00">
                  <c:v>44.913539999999998</c:v>
                </c:pt>
                <c:pt idx="37" formatCode="0.00">
                  <c:v>47.767040000000001</c:v>
                </c:pt>
                <c:pt idx="39" formatCode="0.00">
                  <c:v>154.12708999999998</c:v>
                </c:pt>
                <c:pt idx="40" formatCode="0.00">
                  <c:v>87.498140000000006</c:v>
                </c:pt>
                <c:pt idx="41" formatCode="0.00">
                  <c:v>54.871079999999999</c:v>
                </c:pt>
                <c:pt idx="42" formatCode="0.00">
                  <c:v>94.175970000000007</c:v>
                </c:pt>
                <c:pt idx="43" formatCode="0.00">
                  <c:v>88.402209999999997</c:v>
                </c:pt>
                <c:pt idx="44" formatCode="0.00">
                  <c:v>84.701449999999994</c:v>
                </c:pt>
                <c:pt idx="45" formatCode="0.00">
                  <c:v>247.50934999999996</c:v>
                </c:pt>
                <c:pt idx="46" formatCode="0.00">
                  <c:v>86.49879</c:v>
                </c:pt>
                <c:pt idx="47" formatCode="0.00">
                  <c:v>186.33784000000006</c:v>
                </c:pt>
                <c:pt idx="48" formatCode="0.00">
                  <c:v>204.56214</c:v>
                </c:pt>
                <c:pt idx="49" formatCode="0.00">
                  <c:v>149.06311000000002</c:v>
                </c:pt>
                <c:pt idx="50" formatCode="0.00">
                  <c:v>196.28210999999999</c:v>
                </c:pt>
                <c:pt idx="51" formatCode="0.00">
                  <c:v>553.21117000000004</c:v>
                </c:pt>
                <c:pt idx="52" formatCode="0.00">
                  <c:v>855.40945999999997</c:v>
                </c:pt>
                <c:pt idx="53" formatCode="0.00">
                  <c:v>682.13951999999995</c:v>
                </c:pt>
                <c:pt idx="54" formatCode="0.00">
                  <c:v>1184.4224800000002</c:v>
                </c:pt>
                <c:pt idx="55" formatCode="0.00">
                  <c:v>448.24476000000004</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General"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65664099747654348"/>
          <c:y val="0.39830739581538593"/>
          <c:w val="0.22095413152862417"/>
          <c:h val="6.0980304677881472E-2"/>
        </c:manualLayout>
      </c:layout>
      <c:overlay val="0"/>
    </c:legend>
    <c:plotVisOnly val="1"/>
    <c:dispBlanksAs val="gap"/>
    <c:showDLblsOverMax val="0"/>
  </c:chart>
  <c:spPr>
    <a:ln>
      <a:noFill/>
    </a:ln>
  </c:spPr>
  <c:printSettings>
    <c:headerFoot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VOLÚMEN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marker>
            <c:symbol val="circle"/>
            <c:size val="4"/>
            <c:spPr>
              <a:solidFill>
                <a:srgbClr val="0077A5"/>
              </a:solidFill>
              <a:ln w="9525">
                <a:solidFill>
                  <a:schemeClr val="bg1">
                    <a:lumMod val="95000"/>
                  </a:schemeClr>
                </a:solidFill>
              </a:ln>
            </c:spPr>
          </c:marker>
          <c:val>
            <c:numRef>
              <c:f>'10. Volúmenes'!$P$12:$P$63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numCache>
            </c:numRef>
          </c:val>
          <c:smooth val="0"/>
          <c:extLst>
            <c:ext xmlns:c16="http://schemas.microsoft.com/office/drawing/2014/chart" uri="{C3380CC4-5D6E-409C-BE32-E72D297353CC}">
              <c16:uniqueId val="{00000000-70C0-4DC4-934D-909B877B1C5A}"/>
            </c:ext>
          </c:extLst>
        </c:ser>
        <c:ser>
          <c:idx val="3"/>
          <c:order val="1"/>
          <c:tx>
            <c:v>2017</c:v>
          </c:tx>
          <c:spPr>
            <a:ln w="22225">
              <a:solidFill>
                <a:srgbClr val="C00000"/>
              </a:solidFill>
            </a:ln>
          </c:spPr>
          <c:marker>
            <c:symbol val="triangle"/>
            <c:size val="7"/>
            <c:spPr>
              <a:solidFill>
                <a:srgbClr val="C00000"/>
              </a:solidFill>
              <a:ln w="12700">
                <a:solidFill>
                  <a:schemeClr val="bg1"/>
                </a:solidFill>
              </a:ln>
            </c:spPr>
          </c:marker>
          <c:val>
            <c:numRef>
              <c:f>'10. Volúmenes'!$O$12:$O$63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1-70C0-4DC4-934D-909B877B1C5A}"/>
            </c:ext>
          </c:extLst>
        </c:ser>
        <c:ser>
          <c:idx val="2"/>
          <c:order val="2"/>
          <c:tx>
            <c:v>2016</c:v>
          </c:tx>
          <c:spPr>
            <a:ln w="19050">
              <a:solidFill>
                <a:schemeClr val="accent6"/>
              </a:solidFill>
            </a:ln>
          </c:spPr>
          <c:marker>
            <c:symbol val="star"/>
            <c:size val="7"/>
            <c:spPr>
              <a:noFill/>
              <a:ln>
                <a:solidFill>
                  <a:srgbClr val="00B050"/>
                </a:solidFill>
              </a:ln>
              <a:effectLst/>
            </c:spPr>
          </c:marker>
          <c:val>
            <c:numRef>
              <c:f>'10. Volúmenes'!$N$12:$N$63</c:f>
              <c:numCache>
                <c:formatCode>0.00</c:formatCode>
                <c:ptCount val="52"/>
                <c:pt idx="0">
                  <c:v>138.54</c:v>
                </c:pt>
                <c:pt idx="1">
                  <c:v>140.53</c:v>
                </c:pt>
                <c:pt idx="2">
                  <c:v>140.53</c:v>
                </c:pt>
                <c:pt idx="3">
                  <c:v>137.43800000000002</c:v>
                </c:pt>
                <c:pt idx="4">
                  <c:v>137.43800000000002</c:v>
                </c:pt>
                <c:pt idx="5">
                  <c:v>137.43800000000002</c:v>
                </c:pt>
                <c:pt idx="6">
                  <c:v>151.05499267578099</c:v>
                </c:pt>
                <c:pt idx="7">
                  <c:v>151.05499267578099</c:v>
                </c:pt>
                <c:pt idx="8">
                  <c:v>165.00500489999999</c:v>
                </c:pt>
                <c:pt idx="9">
                  <c:v>165.00500489999999</c:v>
                </c:pt>
                <c:pt idx="10">
                  <c:v>186.45199584960901</c:v>
                </c:pt>
                <c:pt idx="11">
                  <c:v>186.45199584960901</c:v>
                </c:pt>
                <c:pt idx="12">
                  <c:v>195.64999389648401</c:v>
                </c:pt>
                <c:pt idx="13">
                  <c:v>195.64999389648401</c:v>
                </c:pt>
                <c:pt idx="14">
                  <c:v>201.93600463867099</c:v>
                </c:pt>
                <c:pt idx="15">
                  <c:v>201.93600463867099</c:v>
                </c:pt>
                <c:pt idx="16">
                  <c:v>201.93600463867099</c:v>
                </c:pt>
                <c:pt idx="17">
                  <c:v>207.58900451660099</c:v>
                </c:pt>
                <c:pt idx="18">
                  <c:v>207.58900451660099</c:v>
                </c:pt>
                <c:pt idx="19">
                  <c:v>205.7</c:v>
                </c:pt>
                <c:pt idx="20">
                  <c:v>205.7</c:v>
                </c:pt>
                <c:pt idx="21">
                  <c:v>204.65</c:v>
                </c:pt>
                <c:pt idx="22">
                  <c:v>204.65</c:v>
                </c:pt>
                <c:pt idx="23">
                  <c:v>200.38</c:v>
                </c:pt>
                <c:pt idx="24">
                  <c:v>200.38</c:v>
                </c:pt>
                <c:pt idx="25">
                  <c:v>193.55099487304599</c:v>
                </c:pt>
                <c:pt idx="26">
                  <c:v>193.55099487304599</c:v>
                </c:pt>
                <c:pt idx="27">
                  <c:v>186.01199339999999</c:v>
                </c:pt>
                <c:pt idx="28">
                  <c:v>186.01199339999999</c:v>
                </c:pt>
                <c:pt idx="29">
                  <c:v>186.01199339999999</c:v>
                </c:pt>
                <c:pt idx="30">
                  <c:v>178.58200070000001</c:v>
                </c:pt>
                <c:pt idx="31">
                  <c:v>178.58200070000001</c:v>
                </c:pt>
                <c:pt idx="32">
                  <c:v>169.01100159999999</c:v>
                </c:pt>
                <c:pt idx="33">
                  <c:v>169.01100159999999</c:v>
                </c:pt>
                <c:pt idx="34">
                  <c:v>158.09199523925699</c:v>
                </c:pt>
                <c:pt idx="35">
                  <c:v>158.09199523925699</c:v>
                </c:pt>
                <c:pt idx="36">
                  <c:v>147.0650024</c:v>
                </c:pt>
                <c:pt idx="37">
                  <c:v>147.0650024</c:v>
                </c:pt>
                <c:pt idx="38">
                  <c:v>139.11000060000001</c:v>
                </c:pt>
                <c:pt idx="39">
                  <c:v>139.11000060000001</c:v>
                </c:pt>
                <c:pt idx="40">
                  <c:v>139.11000060000001</c:v>
                </c:pt>
                <c:pt idx="41">
                  <c:v>128.34500120000001</c:v>
                </c:pt>
                <c:pt idx="42">
                  <c:v>128.34500120000001</c:v>
                </c:pt>
                <c:pt idx="43">
                  <c:v>121.20099639999999</c:v>
                </c:pt>
                <c:pt idx="44">
                  <c:v>121.20099639999999</c:v>
                </c:pt>
                <c:pt idx="45">
                  <c:v>112.1429977</c:v>
                </c:pt>
                <c:pt idx="46">
                  <c:v>112.1429977</c:v>
                </c:pt>
                <c:pt idx="47">
                  <c:v>101.13500209999999</c:v>
                </c:pt>
                <c:pt idx="48">
                  <c:v>101.13500209999999</c:v>
                </c:pt>
                <c:pt idx="49">
                  <c:v>96.752998349999999</c:v>
                </c:pt>
                <c:pt idx="50">
                  <c:v>96.752998349999999</c:v>
                </c:pt>
                <c:pt idx="51">
                  <c:v>96.752998349999999</c:v>
                </c:pt>
              </c:numCache>
            </c:numRef>
          </c:val>
          <c:smooth val="0"/>
          <c:extLst>
            <c:ext xmlns:c16="http://schemas.microsoft.com/office/drawing/2014/chart" uri="{C3380CC4-5D6E-409C-BE32-E72D297353CC}">
              <c16:uniqueId val="{00000002-70C0-4DC4-934D-909B877B1C5A}"/>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0"/>
          <c:order val="0"/>
          <c:tx>
            <c:v>2018</c:v>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numCache>
            </c:numRef>
          </c:val>
          <c:smooth val="0"/>
          <c:extLst>
            <c:ext xmlns:c16="http://schemas.microsoft.com/office/drawing/2014/chart" uri="{C3380CC4-5D6E-409C-BE32-E72D297353CC}">
              <c16:uniqueId val="{00000000-E67E-478C-BF33-2DFC489EAE4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1-E67E-478C-BF33-2DFC489EAE45}"/>
            </c:ext>
          </c:extLst>
        </c:ser>
        <c:ser>
          <c:idx val="2"/>
          <c:order val="2"/>
          <c:tx>
            <c:v>2016</c:v>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119.86</c:v>
                </c:pt>
                <c:pt idx="1">
                  <c:v>113.21</c:v>
                </c:pt>
                <c:pt idx="2">
                  <c:v>117.64</c:v>
                </c:pt>
                <c:pt idx="3">
                  <c:v>117.64</c:v>
                </c:pt>
                <c:pt idx="4">
                  <c:v>133.43</c:v>
                </c:pt>
                <c:pt idx="5">
                  <c:v>159.2149963</c:v>
                </c:pt>
                <c:pt idx="6">
                  <c:v>186.18299870000001</c:v>
                </c:pt>
                <c:pt idx="7">
                  <c:v>206.53900150000001</c:v>
                </c:pt>
                <c:pt idx="8">
                  <c:v>240.9539948</c:v>
                </c:pt>
                <c:pt idx="9">
                  <c:v>279.86401369999999</c:v>
                </c:pt>
                <c:pt idx="10">
                  <c:v>308.83</c:v>
                </c:pt>
                <c:pt idx="11">
                  <c:v>308.829986572265</c:v>
                </c:pt>
                <c:pt idx="12">
                  <c:v>308.829986572265</c:v>
                </c:pt>
                <c:pt idx="13">
                  <c:v>302.95901489257801</c:v>
                </c:pt>
                <c:pt idx="14">
                  <c:v>311.781005859375</c:v>
                </c:pt>
                <c:pt idx="15">
                  <c:v>320.69100952148398</c:v>
                </c:pt>
                <c:pt idx="16">
                  <c:v>326.67999267578102</c:v>
                </c:pt>
                <c:pt idx="17">
                  <c:v>314.74099731445301</c:v>
                </c:pt>
                <c:pt idx="18">
                  <c:v>308.829986572265</c:v>
                </c:pt>
                <c:pt idx="19">
                  <c:v>308.8</c:v>
                </c:pt>
                <c:pt idx="20">
                  <c:v>311.781005859375</c:v>
                </c:pt>
                <c:pt idx="21">
                  <c:v>314.74</c:v>
                </c:pt>
                <c:pt idx="22">
                  <c:v>308.83</c:v>
                </c:pt>
                <c:pt idx="23">
                  <c:v>300.04000000000002</c:v>
                </c:pt>
                <c:pt idx="24">
                  <c:v>282.71701050000001</c:v>
                </c:pt>
                <c:pt idx="25">
                  <c:v>262.95300292968699</c:v>
                </c:pt>
                <c:pt idx="26">
                  <c:v>254.63000489999999</c:v>
                </c:pt>
                <c:pt idx="27">
                  <c:v>240.9539948</c:v>
                </c:pt>
                <c:pt idx="28">
                  <c:v>227.5220032</c:v>
                </c:pt>
                <c:pt idx="29">
                  <c:v>216.95199584960901</c:v>
                </c:pt>
                <c:pt idx="30">
                  <c:v>216.95199579999999</c:v>
                </c:pt>
                <c:pt idx="31">
                  <c:v>201.39199830000001</c:v>
                </c:pt>
                <c:pt idx="32">
                  <c:v>193.74299621582</c:v>
                </c:pt>
                <c:pt idx="33">
                  <c:v>181.19200129999999</c:v>
                </c:pt>
                <c:pt idx="34">
                  <c:v>171.32600400000001</c:v>
                </c:pt>
                <c:pt idx="35">
                  <c:v>164.02999879999999</c:v>
                </c:pt>
                <c:pt idx="36">
                  <c:v>147.34800720000001</c:v>
                </c:pt>
                <c:pt idx="37">
                  <c:v>131.14500430000001</c:v>
                </c:pt>
                <c:pt idx="38">
                  <c:v>119.8639984</c:v>
                </c:pt>
                <c:pt idx="39">
                  <c:v>119.8639984</c:v>
                </c:pt>
                <c:pt idx="40">
                  <c:v>113.213996887207</c:v>
                </c:pt>
                <c:pt idx="41">
                  <c:v>100.1760025</c:v>
                </c:pt>
                <c:pt idx="42">
                  <c:v>89.581001279999995</c:v>
                </c:pt>
                <c:pt idx="43">
                  <c:v>75.156997680000003</c:v>
                </c:pt>
                <c:pt idx="44">
                  <c:v>61.2140007</c:v>
                </c:pt>
                <c:pt idx="45">
                  <c:v>43.990001679999999</c:v>
                </c:pt>
                <c:pt idx="46">
                  <c:v>25.781999590000002</c:v>
                </c:pt>
                <c:pt idx="47">
                  <c:v>29.344999309999999</c:v>
                </c:pt>
                <c:pt idx="48">
                  <c:v>34.763999939999998</c:v>
                </c:pt>
                <c:pt idx="49">
                  <c:v>32.948001859999998</c:v>
                </c:pt>
                <c:pt idx="50">
                  <c:v>25.781999590000002</c:v>
                </c:pt>
                <c:pt idx="51">
                  <c:v>22.256999969999999</c:v>
                </c:pt>
              </c:numCache>
            </c:numRef>
          </c:val>
          <c:smooth val="0"/>
          <c:extLst>
            <c:ext xmlns:c16="http://schemas.microsoft.com/office/drawing/2014/chart" uri="{C3380CC4-5D6E-409C-BE32-E72D297353CC}">
              <c16:uniqueId val="{00000002-E67E-478C-BF33-2DFC489EAE45}"/>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3"/>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33219974950640307"/>
          <c:h val="5.1185691640827126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VOLÚMEN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0"/>
          <c:order val="0"/>
          <c:tx>
            <c:v>2018</c:v>
          </c:tx>
          <c:spPr>
            <a:ln w="19050"/>
          </c:spPr>
          <c:marker>
            <c:symbol val="circle"/>
            <c:size val="5"/>
            <c:spPr>
              <a:solidFill>
                <a:srgbClr val="0077A5"/>
              </a:solidFill>
              <a:ln w="9525">
                <a:solidFill>
                  <a:schemeClr val="bg1"/>
                </a:solidFill>
              </a:ln>
            </c:spPr>
          </c:marker>
          <c:val>
            <c:numRef>
              <c:f>'11. Volúmenes'!$V$6:$V$57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numCache>
            </c:numRef>
          </c:val>
          <c:smooth val="0"/>
          <c:extLst>
            <c:ext xmlns:c16="http://schemas.microsoft.com/office/drawing/2014/chart" uri="{C3380CC4-5D6E-409C-BE32-E72D297353CC}">
              <c16:uniqueId val="{00000000-47CE-4929-AC22-8EC513788285}"/>
            </c:ext>
          </c:extLst>
        </c:ser>
        <c:ser>
          <c:idx val="3"/>
          <c:order val="1"/>
          <c:tx>
            <c:v>2017</c:v>
          </c:tx>
          <c:spPr>
            <a:ln w="19050">
              <a:solidFill>
                <a:srgbClr val="C00000"/>
              </a:solidFill>
            </a:ln>
          </c:spPr>
          <c:marker>
            <c:symbol val="triangle"/>
            <c:size val="5"/>
            <c:spPr>
              <a:solidFill>
                <a:srgbClr val="C00000"/>
              </a:solidFill>
              <a:ln w="12700">
                <a:solidFill>
                  <a:schemeClr val="bg1"/>
                </a:solidFill>
              </a:ln>
            </c:spPr>
          </c:marker>
          <c:val>
            <c:numRef>
              <c:f>'11. Volúmenes'!$U$6:$U$57</c:f>
              <c:numCache>
                <c:formatCode>0.00</c:formatCode>
                <c:ptCount val="52"/>
                <c:pt idx="0">
                  <c:v>122.19600180599998</c:v>
                </c:pt>
                <c:pt idx="1">
                  <c:v>136.535000822</c:v>
                </c:pt>
                <c:pt idx="2">
                  <c:v>170.80799961000002</c:v>
                </c:pt>
                <c:pt idx="3">
                  <c:v>186.385000214</c:v>
                </c:pt>
                <c:pt idx="4">
                  <c:v>204.80799868699998</c:v>
                </c:pt>
                <c:pt idx="5">
                  <c:v>201.82999366799999</c:v>
                </c:pt>
                <c:pt idx="6">
                  <c:v>199.59600258</c:v>
                </c:pt>
                <c:pt idx="7">
                  <c:v>214.34299659800001</c:v>
                </c:pt>
                <c:pt idx="8">
                  <c:v>250.89400288000002</c:v>
                </c:pt>
                <c:pt idx="9">
                  <c:v>298.99899296000001</c:v>
                </c:pt>
                <c:pt idx="10">
                  <c:v>321.03300188000003</c:v>
                </c:pt>
                <c:pt idx="11">
                  <c:v>332.34900279999999</c:v>
                </c:pt>
                <c:pt idx="12">
                  <c:v>366.02899361000004</c:v>
                </c:pt>
                <c:pt idx="13">
                  <c:v>382.58400344</c:v>
                </c:pt>
                <c:pt idx="14">
                  <c:v>385.29699126999998</c:v>
                </c:pt>
                <c:pt idx="15">
                  <c:v>384.95899003</c:v>
                </c:pt>
                <c:pt idx="16">
                  <c:v>381.86699488000005</c:v>
                </c:pt>
                <c:pt idx="17">
                  <c:v>382.77999115</c:v>
                </c:pt>
                <c:pt idx="18">
                  <c:v>381.91700169999996</c:v>
                </c:pt>
                <c:pt idx="19">
                  <c:v>379.35699083999998</c:v>
                </c:pt>
                <c:pt idx="20">
                  <c:v>375.59600258</c:v>
                </c:pt>
                <c:pt idx="21">
                  <c:v>373.52000000000004</c:v>
                </c:pt>
                <c:pt idx="22">
                  <c:v>369.22100255000004</c:v>
                </c:pt>
                <c:pt idx="23">
                  <c:v>364.44200138999997</c:v>
                </c:pt>
                <c:pt idx="24">
                  <c:v>359.61999897999999</c:v>
                </c:pt>
                <c:pt idx="25">
                  <c:v>354.77499773999995</c:v>
                </c:pt>
                <c:pt idx="26">
                  <c:v>349.77999684000002</c:v>
                </c:pt>
                <c:pt idx="27">
                  <c:v>344.32400322999996</c:v>
                </c:pt>
                <c:pt idx="28">
                  <c:v>338.60699847999996</c:v>
                </c:pt>
                <c:pt idx="29">
                  <c:v>332.49400331000004</c:v>
                </c:pt>
                <c:pt idx="30">
                  <c:v>324</c:v>
                </c:pt>
                <c:pt idx="31">
                  <c:v>320.73399734000003</c:v>
                </c:pt>
                <c:pt idx="32">
                  <c:v>314.19900131999998</c:v>
                </c:pt>
                <c:pt idx="33">
                  <c:v>307.85200500000002</c:v>
                </c:pt>
                <c:pt idx="34">
                  <c:v>300.83900069999999</c:v>
                </c:pt>
                <c:pt idx="35">
                  <c:v>293.46100233999999</c:v>
                </c:pt>
                <c:pt idx="36">
                  <c:v>287.76599501999999</c:v>
                </c:pt>
                <c:pt idx="37">
                  <c:v>282.07300377000001</c:v>
                </c:pt>
                <c:pt idx="38">
                  <c:v>275.53000069000001</c:v>
                </c:pt>
                <c:pt idx="39">
                  <c:v>268.25699615000002</c:v>
                </c:pt>
                <c:pt idx="40">
                  <c:v>261.21399689000003</c:v>
                </c:pt>
                <c:pt idx="41">
                  <c:v>255.58900451</c:v>
                </c:pt>
                <c:pt idx="42">
                  <c:v>249.85500335</c:v>
                </c:pt>
                <c:pt idx="43">
                  <c:v>242.79000000000002</c:v>
                </c:pt>
                <c:pt idx="44">
                  <c:v>235.60499572000001</c:v>
                </c:pt>
                <c:pt idx="45">
                  <c:v>230.54900361099999</c:v>
                </c:pt>
                <c:pt idx="46">
                  <c:v>223.60000467499998</c:v>
                </c:pt>
                <c:pt idx="47">
                  <c:v>217.17600035300001</c:v>
                </c:pt>
                <c:pt idx="48">
                  <c:v>210.45100211699997</c:v>
                </c:pt>
                <c:pt idx="49">
                  <c:v>203.37099885499998</c:v>
                </c:pt>
                <c:pt idx="50">
                  <c:v>202.35899971500001</c:v>
                </c:pt>
                <c:pt idx="51">
                  <c:v>201.25199794899999</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1-47CE-4929-AC22-8EC513788285}"/>
            </c:ext>
          </c:extLst>
        </c:ser>
        <c:ser>
          <c:idx val="2"/>
          <c:order val="2"/>
          <c:tx>
            <c:v>2016</c:v>
          </c:tx>
          <c:spPr>
            <a:ln w="19050">
              <a:solidFill>
                <a:schemeClr val="accent6"/>
              </a:solidFill>
            </a:ln>
          </c:spPr>
          <c:marker>
            <c:symbol val="star"/>
            <c:size val="7"/>
            <c:spPr>
              <a:noFill/>
              <a:ln>
                <a:solidFill>
                  <a:srgbClr val="00B050"/>
                </a:solidFill>
              </a:ln>
              <a:effectLst/>
            </c:spPr>
          </c:marker>
          <c:val>
            <c:numRef>
              <c:f>'11. Volúmenes'!$T$7:$T$57</c:f>
              <c:numCache>
                <c:formatCode>0.00</c:formatCode>
                <c:ptCount val="51"/>
                <c:pt idx="0">
                  <c:v>145.21</c:v>
                </c:pt>
                <c:pt idx="1">
                  <c:v>143.88</c:v>
                </c:pt>
                <c:pt idx="2">
                  <c:v>139.38200000000001</c:v>
                </c:pt>
                <c:pt idx="3">
                  <c:v>135.79099490000002</c:v>
                </c:pt>
                <c:pt idx="4">
                  <c:v>150.04800029899999</c:v>
                </c:pt>
                <c:pt idx="5">
                  <c:v>174.31999966699999</c:v>
                </c:pt>
                <c:pt idx="6">
                  <c:v>262.93500039999998</c:v>
                </c:pt>
                <c:pt idx="7">
                  <c:v>279.08800121000002</c:v>
                </c:pt>
                <c:pt idx="8">
                  <c:v>283.79400062561007</c:v>
                </c:pt>
                <c:pt idx="9">
                  <c:v>286.24</c:v>
                </c:pt>
                <c:pt idx="10">
                  <c:v>285.01299476623473</c:v>
                </c:pt>
                <c:pt idx="11">
                  <c:v>279.96900081634436</c:v>
                </c:pt>
                <c:pt idx="12">
                  <c:v>286.54100227355917</c:v>
                </c:pt>
                <c:pt idx="13">
                  <c:v>288.78499984741165</c:v>
                </c:pt>
                <c:pt idx="14">
                  <c:v>293.26400000000001</c:v>
                </c:pt>
                <c:pt idx="15">
                  <c:v>292.87300071716299</c:v>
                </c:pt>
                <c:pt idx="16">
                  <c:v>289.06400012969908</c:v>
                </c:pt>
                <c:pt idx="17">
                  <c:v>283.7310012817382</c:v>
                </c:pt>
                <c:pt idx="18">
                  <c:v>278.90000000000003</c:v>
                </c:pt>
                <c:pt idx="19">
                  <c:v>274.65599975585928</c:v>
                </c:pt>
                <c:pt idx="20">
                  <c:v>269.74</c:v>
                </c:pt>
                <c:pt idx="21">
                  <c:v>265.4609997</c:v>
                </c:pt>
                <c:pt idx="22">
                  <c:v>261.10000000000002</c:v>
                </c:pt>
                <c:pt idx="23">
                  <c:v>256.25999989000002</c:v>
                </c:pt>
                <c:pt idx="24">
                  <c:v>252.54899978637627</c:v>
                </c:pt>
                <c:pt idx="25">
                  <c:v>248.26700022</c:v>
                </c:pt>
                <c:pt idx="26">
                  <c:v>243.86400222</c:v>
                </c:pt>
                <c:pt idx="27">
                  <c:v>239.07999988</c:v>
                </c:pt>
                <c:pt idx="28">
                  <c:v>234.2539968490598</c:v>
                </c:pt>
                <c:pt idx="29">
                  <c:v>229.68000125999998</c:v>
                </c:pt>
                <c:pt idx="30">
                  <c:v>224.73799990999998</c:v>
                </c:pt>
                <c:pt idx="31">
                  <c:v>219.00299835205058</c:v>
                </c:pt>
                <c:pt idx="32">
                  <c:v>214.38699817</c:v>
                </c:pt>
                <c:pt idx="33">
                  <c:v>208.95000171000001</c:v>
                </c:pt>
                <c:pt idx="34">
                  <c:v>202.97300145000003</c:v>
                </c:pt>
                <c:pt idx="35">
                  <c:v>196.95000080099999</c:v>
                </c:pt>
                <c:pt idx="36">
                  <c:v>190.78400421900002</c:v>
                </c:pt>
                <c:pt idx="37">
                  <c:v>184.44099947499998</c:v>
                </c:pt>
                <c:pt idx="38">
                  <c:v>177.93399906500002</c:v>
                </c:pt>
                <c:pt idx="39">
                  <c:v>171.68900227546672</c:v>
                </c:pt>
                <c:pt idx="40">
                  <c:v>165.69499874400003</c:v>
                </c:pt>
                <c:pt idx="41">
                  <c:v>160.397996525</c:v>
                </c:pt>
                <c:pt idx="42">
                  <c:v>154.79199918699999</c:v>
                </c:pt>
                <c:pt idx="43">
                  <c:v>149.715000041</c:v>
                </c:pt>
                <c:pt idx="44">
                  <c:v>144.11800040400001</c:v>
                </c:pt>
                <c:pt idx="45">
                  <c:v>138.82499813000001</c:v>
                </c:pt>
                <c:pt idx="46">
                  <c:v>133.112998957</c:v>
                </c:pt>
                <c:pt idx="47">
                  <c:v>128.370002666</c:v>
                </c:pt>
                <c:pt idx="48">
                  <c:v>122.71499820000001</c:v>
                </c:pt>
                <c:pt idx="49">
                  <c:v>120.15600296300001</c:v>
                </c:pt>
                <c:pt idx="50">
                  <c:v>116.12899696700001</c:v>
                </c:pt>
              </c:numCache>
            </c:numRef>
          </c:val>
          <c:smooth val="0"/>
          <c:extLst>
            <c:ext xmlns:c15="http://schemas.microsoft.com/office/drawing/2012/chart" uri="{02D57815-91ED-43cb-92C2-25804820EDAC}">
              <c15:filteredCategoryTitle>
                <c15:cat>
                  <c:numLit>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Lit>
                </c15:cat>
              </c15:filteredCategoryTitle>
            </c:ext>
            <c:ext xmlns:c16="http://schemas.microsoft.com/office/drawing/2014/chart" uri="{C3380CC4-5D6E-409C-BE32-E72D297353CC}">
              <c16:uniqueId val="{00000002-47CE-4929-AC22-8EC513788285}"/>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33219974950640307"/>
          <c:h val="4.8898150517889913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1758.1679867319565</c:v>
                </c:pt>
                <c:pt idx="1">
                  <c:v>1959.0563843998168</c:v>
                </c:pt>
                <c:pt idx="2">
                  <c:v>95.228329028320317</c:v>
                </c:pt>
                <c:pt idx="3">
                  <c:v>162.36942742107396</c:v>
                </c:pt>
                <c:pt idx="4">
                  <c:v>11.028651049632273</c:v>
                </c:pt>
                <c:pt idx="5">
                  <c:v>111.42214168834684</c:v>
                </c:pt>
                <c:pt idx="6">
                  <c:v>19.500341649968</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2005.2863001550004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5.4412924199999999</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27.489297522499996</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10.118653032500001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134.3830846825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65.050804804999999</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5283840646682012"/>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'12.Caudales'!$N$4:$N$142</c:f>
              <c:numCache>
                <c:formatCode>0.0</c:formatCode>
                <c:ptCount val="139"/>
                <c:pt idx="0">
                  <c:v>96.75</c:v>
                </c:pt>
                <c:pt idx="1">
                  <c:v>76.510000000000005</c:v>
                </c:pt>
                <c:pt idx="2">
                  <c:v>80.096000000000004</c:v>
                </c:pt>
                <c:pt idx="3">
                  <c:v>77.09</c:v>
                </c:pt>
                <c:pt idx="4">
                  <c:v>140.12</c:v>
                </c:pt>
                <c:pt idx="5">
                  <c:v>144.66999999999999</c:v>
                </c:pt>
                <c:pt idx="6">
                  <c:v>117.32</c:v>
                </c:pt>
                <c:pt idx="7">
                  <c:v>140.31</c:v>
                </c:pt>
                <c:pt idx="8">
                  <c:v>268.94750210000001</c:v>
                </c:pt>
                <c:pt idx="9">
                  <c:v>243.71150207519463</c:v>
                </c:pt>
                <c:pt idx="10">
                  <c:v>154.21</c:v>
                </c:pt>
                <c:pt idx="11">
                  <c:v>116.62271445138057</c:v>
                </c:pt>
                <c:pt idx="12">
                  <c:v>120.78800201416</c:v>
                </c:pt>
                <c:pt idx="13">
                  <c:v>125.66285814557708</c:v>
                </c:pt>
                <c:pt idx="14">
                  <c:v>127.68985639299636</c:v>
                </c:pt>
                <c:pt idx="15">
                  <c:v>97.4</c:v>
                </c:pt>
                <c:pt idx="16">
                  <c:v>85.487143380301248</c:v>
                </c:pt>
                <c:pt idx="17">
                  <c:v>62.369998931884716</c:v>
                </c:pt>
                <c:pt idx="18">
                  <c:v>58.684285300118525</c:v>
                </c:pt>
                <c:pt idx="19">
                  <c:v>54</c:v>
                </c:pt>
                <c:pt idx="20">
                  <c:v>50.756999969482365</c:v>
                </c:pt>
                <c:pt idx="21">
                  <c:v>46.59</c:v>
                </c:pt>
                <c:pt idx="22">
                  <c:v>40.29</c:v>
                </c:pt>
                <c:pt idx="23">
                  <c:v>35.630000000000003</c:v>
                </c:pt>
                <c:pt idx="24">
                  <c:v>34.608428410000002</c:v>
                </c:pt>
                <c:pt idx="25">
                  <c:v>34.074285510000003</c:v>
                </c:pt>
                <c:pt idx="26">
                  <c:v>29.599571770000001</c:v>
                </c:pt>
                <c:pt idx="27">
                  <c:v>29.3955713</c:v>
                </c:pt>
                <c:pt idx="28">
                  <c:v>32.468857079999999</c:v>
                </c:pt>
                <c:pt idx="29">
                  <c:v>32.112285890000003</c:v>
                </c:pt>
                <c:pt idx="30">
                  <c:v>29.132714407784558</c:v>
                </c:pt>
                <c:pt idx="31">
                  <c:v>34.150143489999998</c:v>
                </c:pt>
                <c:pt idx="32">
                  <c:v>35.225571223667643</c:v>
                </c:pt>
                <c:pt idx="33">
                  <c:v>35.168570930000001</c:v>
                </c:pt>
                <c:pt idx="34">
                  <c:v>37.824428560000001</c:v>
                </c:pt>
                <c:pt idx="35">
                  <c:v>39.78</c:v>
                </c:pt>
                <c:pt idx="36">
                  <c:v>44.25</c:v>
                </c:pt>
                <c:pt idx="37">
                  <c:v>41.311858039999997</c:v>
                </c:pt>
                <c:pt idx="38">
                  <c:v>41.13</c:v>
                </c:pt>
                <c:pt idx="39">
                  <c:v>46.466000694285704</c:v>
                </c:pt>
                <c:pt idx="40">
                  <c:v>37.273714882986837</c:v>
                </c:pt>
                <c:pt idx="41">
                  <c:v>48.572000228571433</c:v>
                </c:pt>
                <c:pt idx="42">
                  <c:v>35.32</c:v>
                </c:pt>
                <c:pt idx="43">
                  <c:v>36.83</c:v>
                </c:pt>
                <c:pt idx="44">
                  <c:v>39.520000000000003</c:v>
                </c:pt>
                <c:pt idx="45">
                  <c:v>53.38</c:v>
                </c:pt>
                <c:pt idx="46">
                  <c:v>61.853000000000002</c:v>
                </c:pt>
                <c:pt idx="47">
                  <c:v>65.330427987142869</c:v>
                </c:pt>
                <c:pt idx="48">
                  <c:v>66.680000000000007</c:v>
                </c:pt>
                <c:pt idx="49">
                  <c:v>61.31</c:v>
                </c:pt>
                <c:pt idx="50">
                  <c:v>70.790000000000006</c:v>
                </c:pt>
                <c:pt idx="51">
                  <c:v>77.434859137142865</c:v>
                </c:pt>
                <c:pt idx="52">
                  <c:v>103.58</c:v>
                </c:pt>
                <c:pt idx="53">
                  <c:v>105.01</c:v>
                </c:pt>
                <c:pt idx="54">
                  <c:v>137.41</c:v>
                </c:pt>
                <c:pt idx="55">
                  <c:v>127.83</c:v>
                </c:pt>
                <c:pt idx="56">
                  <c:v>97.31</c:v>
                </c:pt>
                <c:pt idx="57">
                  <c:v>123.44</c:v>
                </c:pt>
                <c:pt idx="58">
                  <c:v>145.02000000000001</c:v>
                </c:pt>
                <c:pt idx="59">
                  <c:v>175.03</c:v>
                </c:pt>
                <c:pt idx="60">
                  <c:v>206.14</c:v>
                </c:pt>
                <c:pt idx="61">
                  <c:v>270.17</c:v>
                </c:pt>
                <c:pt idx="62">
                  <c:v>376.42</c:v>
                </c:pt>
                <c:pt idx="63">
                  <c:v>351.57</c:v>
                </c:pt>
                <c:pt idx="64">
                  <c:v>384.37</c:v>
                </c:pt>
                <c:pt idx="65">
                  <c:v>337.84</c:v>
                </c:pt>
                <c:pt idx="66">
                  <c:v>282.32</c:v>
                </c:pt>
                <c:pt idx="67">
                  <c:v>191.65</c:v>
                </c:pt>
                <c:pt idx="68">
                  <c:v>160.35</c:v>
                </c:pt>
                <c:pt idx="69">
                  <c:v>136.65</c:v>
                </c:pt>
                <c:pt idx="70">
                  <c:v>135.97</c:v>
                </c:pt>
                <c:pt idx="71">
                  <c:v>135.66</c:v>
                </c:pt>
                <c:pt idx="72">
                  <c:v>113.82</c:v>
                </c:pt>
                <c:pt idx="73">
                  <c:v>64.03</c:v>
                </c:pt>
                <c:pt idx="74">
                  <c:v>53.15</c:v>
                </c:pt>
                <c:pt idx="75">
                  <c:v>45.98</c:v>
                </c:pt>
                <c:pt idx="76">
                  <c:v>38.68</c:v>
                </c:pt>
                <c:pt idx="77">
                  <c:v>34.68</c:v>
                </c:pt>
                <c:pt idx="78">
                  <c:v>31.72</c:v>
                </c:pt>
                <c:pt idx="79">
                  <c:v>29.25</c:v>
                </c:pt>
                <c:pt idx="80">
                  <c:v>29.53</c:v>
                </c:pt>
                <c:pt idx="81">
                  <c:v>27.62</c:v>
                </c:pt>
                <c:pt idx="82">
                  <c:v>27.99</c:v>
                </c:pt>
                <c:pt idx="83">
                  <c:v>31.42</c:v>
                </c:pt>
                <c:pt idx="84">
                  <c:v>29.71</c:v>
                </c:pt>
                <c:pt idx="85">
                  <c:v>30.51</c:v>
                </c:pt>
                <c:pt idx="86">
                  <c:v>27.5</c:v>
                </c:pt>
                <c:pt idx="87">
                  <c:v>26.21</c:v>
                </c:pt>
                <c:pt idx="88">
                  <c:v>29.98</c:v>
                </c:pt>
                <c:pt idx="89">
                  <c:v>34.369999999999997</c:v>
                </c:pt>
                <c:pt idx="90">
                  <c:v>42.17</c:v>
                </c:pt>
                <c:pt idx="91">
                  <c:v>37.270000000000003</c:v>
                </c:pt>
                <c:pt idx="92">
                  <c:v>40.04</c:v>
                </c:pt>
                <c:pt idx="93">
                  <c:v>35.79</c:v>
                </c:pt>
                <c:pt idx="94">
                  <c:v>50.36</c:v>
                </c:pt>
                <c:pt idx="95">
                  <c:v>54.94</c:v>
                </c:pt>
                <c:pt idx="96">
                  <c:v>41.16</c:v>
                </c:pt>
                <c:pt idx="97">
                  <c:v>42.65</c:v>
                </c:pt>
                <c:pt idx="98">
                  <c:v>39.76</c:v>
                </c:pt>
                <c:pt idx="99">
                  <c:v>47.388000487142854</c:v>
                </c:pt>
                <c:pt idx="100">
                  <c:v>78.087428497142852</c:v>
                </c:pt>
                <c:pt idx="101">
                  <c:v>69.764142717142846</c:v>
                </c:pt>
                <c:pt idx="102">
                  <c:v>71.14499991142857</c:v>
                </c:pt>
                <c:pt idx="103">
                  <c:v>83.196000228571435</c:v>
                </c:pt>
                <c:pt idx="104">
                  <c:v>69.087142857142865</c:v>
                </c:pt>
                <c:pt idx="105">
                  <c:v>96.785858138571413</c:v>
                </c:pt>
                <c:pt idx="106">
                  <c:v>158.17728531428571</c:v>
                </c:pt>
                <c:pt idx="107">
                  <c:v>167.02357267142858</c:v>
                </c:pt>
                <c:pt idx="108">
                  <c:v>113.19585745142855</c:v>
                </c:pt>
                <c:pt idx="109">
                  <c:v>88.535714287142852</c:v>
                </c:pt>
                <c:pt idx="110">
                  <c:v>99.37822619047617</c:v>
                </c:pt>
                <c:pt idx="111">
                  <c:v>140.28</c:v>
                </c:pt>
                <c:pt idx="112">
                  <c:v>102.99642836285715</c:v>
                </c:pt>
                <c:pt idx="113">
                  <c:v>175.90485927142853</c:v>
                </c:pt>
                <c:pt idx="114">
                  <c:v>169.64671761428571</c:v>
                </c:pt>
                <c:pt idx="115">
                  <c:v>198.22</c:v>
                </c:pt>
                <c:pt idx="116">
                  <c:v>312.6314304857143</c:v>
                </c:pt>
                <c:pt idx="117">
                  <c:v>235.31328691428573</c:v>
                </c:pt>
                <c:pt idx="118">
                  <c:v>294.1721409428572</c:v>
                </c:pt>
                <c:pt idx="119">
                  <c:v>149.18</c:v>
                </c:pt>
                <c:pt idx="120">
                  <c:v>104.35</c:v>
                </c:pt>
                <c:pt idx="121">
                  <c:v>78.038143701428567</c:v>
                </c:pt>
                <c:pt idx="122">
                  <c:v>78.313856942857129</c:v>
                </c:pt>
                <c:pt idx="123">
                  <c:v>130.92628696285712</c:v>
                </c:pt>
                <c:pt idx="124">
                  <c:v>64.449287412857146</c:v>
                </c:pt>
                <c:pt idx="125">
                  <c:v>64.449287412857146</c:v>
                </c:pt>
                <c:pt idx="126">
                  <c:v>39.50100054</c:v>
                </c:pt>
                <c:pt idx="127">
                  <c:v>33.690285274285714</c:v>
                </c:pt>
                <c:pt idx="128">
                  <c:v>30.228428704285715</c:v>
                </c:pt>
                <c:pt idx="129">
                  <c:v>27.872285568571431</c:v>
                </c:pt>
                <c:pt idx="130">
                  <c:v>27.257571358571429</c:v>
                </c:pt>
                <c:pt idx="131">
                  <c:v>27.217285974285712</c:v>
                </c:pt>
                <c:pt idx="132">
                  <c:v>24.955714285714286</c:v>
                </c:pt>
                <c:pt idx="133">
                  <c:v>24.80942862142857</c:v>
                </c:pt>
                <c:pt idx="134">
                  <c:v>25.690999999999999</c:v>
                </c:pt>
                <c:pt idx="135">
                  <c:v>27.630000251428573</c:v>
                </c:pt>
                <c:pt idx="136">
                  <c:v>23.78</c:v>
                </c:pt>
                <c:pt idx="137">
                  <c:v>23.527999878571428</c:v>
                </c:pt>
                <c:pt idx="138">
                  <c:v>23.29</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'12.Caudales'!$O$4:$O$142</c:f>
              <c:numCache>
                <c:formatCode>0.0</c:formatCode>
                <c:ptCount val="139"/>
                <c:pt idx="0">
                  <c:v>16.37</c:v>
                </c:pt>
                <c:pt idx="1">
                  <c:v>15.9</c:v>
                </c:pt>
                <c:pt idx="2">
                  <c:v>29.21</c:v>
                </c:pt>
                <c:pt idx="3">
                  <c:v>20.7</c:v>
                </c:pt>
                <c:pt idx="4">
                  <c:v>74.02</c:v>
                </c:pt>
                <c:pt idx="5">
                  <c:v>78.08</c:v>
                </c:pt>
                <c:pt idx="6">
                  <c:v>41.34</c:v>
                </c:pt>
                <c:pt idx="7">
                  <c:v>96.52</c:v>
                </c:pt>
                <c:pt idx="8">
                  <c:v>150.104332</c:v>
                </c:pt>
                <c:pt idx="9">
                  <c:v>181.79733530680286</c:v>
                </c:pt>
                <c:pt idx="10">
                  <c:v>79.12</c:v>
                </c:pt>
                <c:pt idx="11">
                  <c:v>41.373285293579045</c:v>
                </c:pt>
                <c:pt idx="12">
                  <c:v>93.665000915527301</c:v>
                </c:pt>
                <c:pt idx="13">
                  <c:v>131.74585723876913</c:v>
                </c:pt>
                <c:pt idx="14">
                  <c:v>71.706143515450577</c:v>
                </c:pt>
                <c:pt idx="15">
                  <c:v>53.49</c:v>
                </c:pt>
                <c:pt idx="16">
                  <c:v>51.424428122384178</c:v>
                </c:pt>
                <c:pt idx="17">
                  <c:v>34.353571755545424</c:v>
                </c:pt>
                <c:pt idx="18">
                  <c:v>29.207143238612552</c:v>
                </c:pt>
                <c:pt idx="19">
                  <c:v>22.1</c:v>
                </c:pt>
                <c:pt idx="20">
                  <c:v>17.473428726196214</c:v>
                </c:pt>
                <c:pt idx="21">
                  <c:v>17.04</c:v>
                </c:pt>
                <c:pt idx="22">
                  <c:v>22.12</c:v>
                </c:pt>
                <c:pt idx="23">
                  <c:v>13.87</c:v>
                </c:pt>
                <c:pt idx="24">
                  <c:v>10.78285721</c:v>
                </c:pt>
                <c:pt idx="25">
                  <c:v>9.5958572120000003</c:v>
                </c:pt>
                <c:pt idx="26">
                  <c:v>7.8892858370000001</c:v>
                </c:pt>
                <c:pt idx="27">
                  <c:v>7.2334286140000001</c:v>
                </c:pt>
                <c:pt idx="28">
                  <c:v>6.729428564</c:v>
                </c:pt>
                <c:pt idx="29">
                  <c:v>5.6338571819999999</c:v>
                </c:pt>
                <c:pt idx="30">
                  <c:v>5.181999887738904</c:v>
                </c:pt>
                <c:pt idx="31">
                  <c:v>4.8032856669999999</c:v>
                </c:pt>
                <c:pt idx="32">
                  <c:v>4.3821428843906904</c:v>
                </c:pt>
                <c:pt idx="33">
                  <c:v>13.837000059999999</c:v>
                </c:pt>
                <c:pt idx="34">
                  <c:v>3.922857182</c:v>
                </c:pt>
                <c:pt idx="35">
                  <c:v>4.9800000000000004</c:v>
                </c:pt>
                <c:pt idx="36">
                  <c:v>4.92</c:v>
                </c:pt>
                <c:pt idx="37">
                  <c:v>4.6447142870000002</c:v>
                </c:pt>
                <c:pt idx="38">
                  <c:v>4.2699999999999996</c:v>
                </c:pt>
                <c:pt idx="39">
                  <c:v>5.3634285927142864</c:v>
                </c:pt>
                <c:pt idx="40">
                  <c:v>6.9682856968470812</c:v>
                </c:pt>
                <c:pt idx="41">
                  <c:v>11.100428648285714</c:v>
                </c:pt>
                <c:pt idx="42">
                  <c:v>6.01</c:v>
                </c:pt>
                <c:pt idx="43">
                  <c:v>4.57</c:v>
                </c:pt>
                <c:pt idx="44">
                  <c:v>4.83</c:v>
                </c:pt>
                <c:pt idx="45">
                  <c:v>3.73</c:v>
                </c:pt>
                <c:pt idx="46">
                  <c:v>2.5211429999999999</c:v>
                </c:pt>
                <c:pt idx="47">
                  <c:v>3.571428503285714</c:v>
                </c:pt>
                <c:pt idx="48">
                  <c:v>6.1</c:v>
                </c:pt>
                <c:pt idx="49">
                  <c:v>6.69</c:v>
                </c:pt>
                <c:pt idx="50">
                  <c:v>13.15</c:v>
                </c:pt>
                <c:pt idx="51">
                  <c:v>17.75700037857143</c:v>
                </c:pt>
                <c:pt idx="52">
                  <c:v>29.67</c:v>
                </c:pt>
                <c:pt idx="53">
                  <c:v>51.2</c:v>
                </c:pt>
                <c:pt idx="54">
                  <c:v>43.26</c:v>
                </c:pt>
                <c:pt idx="55">
                  <c:v>32.72</c:v>
                </c:pt>
                <c:pt idx="56">
                  <c:v>48.46</c:v>
                </c:pt>
                <c:pt idx="57">
                  <c:v>72.52</c:v>
                </c:pt>
                <c:pt idx="58">
                  <c:v>59.16</c:v>
                </c:pt>
                <c:pt idx="59">
                  <c:v>24.36</c:v>
                </c:pt>
                <c:pt idx="60">
                  <c:v>39.07</c:v>
                </c:pt>
                <c:pt idx="61">
                  <c:v>109.16</c:v>
                </c:pt>
                <c:pt idx="62">
                  <c:v>188.18</c:v>
                </c:pt>
                <c:pt idx="63">
                  <c:v>159.6</c:v>
                </c:pt>
                <c:pt idx="64">
                  <c:v>161.77000000000001</c:v>
                </c:pt>
                <c:pt idx="65">
                  <c:v>115.43</c:v>
                </c:pt>
                <c:pt idx="66">
                  <c:v>98.92</c:v>
                </c:pt>
                <c:pt idx="67">
                  <c:v>82.48</c:v>
                </c:pt>
                <c:pt idx="68">
                  <c:v>77.02</c:v>
                </c:pt>
                <c:pt idx="69">
                  <c:v>62.63</c:v>
                </c:pt>
                <c:pt idx="70">
                  <c:v>93.03</c:v>
                </c:pt>
                <c:pt idx="71">
                  <c:v>72.349999999999994</c:v>
                </c:pt>
                <c:pt idx="72">
                  <c:v>90.75</c:v>
                </c:pt>
                <c:pt idx="73">
                  <c:v>53.02</c:v>
                </c:pt>
                <c:pt idx="74">
                  <c:v>32.43</c:v>
                </c:pt>
                <c:pt idx="75">
                  <c:v>27.75</c:v>
                </c:pt>
                <c:pt idx="76">
                  <c:v>24.81</c:v>
                </c:pt>
                <c:pt idx="77">
                  <c:v>21.81</c:v>
                </c:pt>
                <c:pt idx="78">
                  <c:v>18.649999999999999</c:v>
                </c:pt>
                <c:pt idx="79">
                  <c:v>14.27</c:v>
                </c:pt>
                <c:pt idx="80">
                  <c:v>11.51</c:v>
                </c:pt>
                <c:pt idx="81">
                  <c:v>9.7200000000000006</c:v>
                </c:pt>
                <c:pt idx="82">
                  <c:v>8.09</c:v>
                </c:pt>
                <c:pt idx="83">
                  <c:v>7.62</c:v>
                </c:pt>
                <c:pt idx="84">
                  <c:v>9.5500000000000007</c:v>
                </c:pt>
                <c:pt idx="85">
                  <c:v>10.75</c:v>
                </c:pt>
                <c:pt idx="86">
                  <c:v>8.31</c:v>
                </c:pt>
                <c:pt idx="87">
                  <c:v>6.53</c:v>
                </c:pt>
                <c:pt idx="88">
                  <c:v>9.7799999999999994</c:v>
                </c:pt>
                <c:pt idx="89">
                  <c:v>7.47</c:v>
                </c:pt>
                <c:pt idx="90">
                  <c:v>7.49</c:v>
                </c:pt>
                <c:pt idx="91">
                  <c:v>15.47</c:v>
                </c:pt>
                <c:pt idx="92">
                  <c:v>18</c:v>
                </c:pt>
                <c:pt idx="93">
                  <c:v>12.74</c:v>
                </c:pt>
                <c:pt idx="94">
                  <c:v>30.75</c:v>
                </c:pt>
                <c:pt idx="95">
                  <c:v>23.58</c:v>
                </c:pt>
                <c:pt idx="96">
                  <c:v>11.77</c:v>
                </c:pt>
                <c:pt idx="97">
                  <c:v>9.33</c:v>
                </c:pt>
                <c:pt idx="98">
                  <c:v>8.19</c:v>
                </c:pt>
                <c:pt idx="99">
                  <c:v>19.661285946</c:v>
                </c:pt>
                <c:pt idx="100">
                  <c:v>19.181428364285715</c:v>
                </c:pt>
                <c:pt idx="101">
                  <c:v>23.7245715</c:v>
                </c:pt>
                <c:pt idx="102">
                  <c:v>26.158142907142857</c:v>
                </c:pt>
                <c:pt idx="103">
                  <c:v>21.776999882857144</c:v>
                </c:pt>
                <c:pt idx="104">
                  <c:v>15.747142857142856</c:v>
                </c:pt>
                <c:pt idx="105">
                  <c:v>37.6</c:v>
                </c:pt>
                <c:pt idx="106">
                  <c:v>101.26128550142856</c:v>
                </c:pt>
                <c:pt idx="107">
                  <c:v>77.354000085714276</c:v>
                </c:pt>
                <c:pt idx="108">
                  <c:v>30.667142595714285</c:v>
                </c:pt>
                <c:pt idx="109">
                  <c:v>32.444142750000005</c:v>
                </c:pt>
                <c:pt idx="110">
                  <c:v>30.338148809523812</c:v>
                </c:pt>
                <c:pt idx="111">
                  <c:v>62.97</c:v>
                </c:pt>
                <c:pt idx="112">
                  <c:v>31.244571685714288</c:v>
                </c:pt>
                <c:pt idx="113">
                  <c:v>36.038285662857142</c:v>
                </c:pt>
                <c:pt idx="114">
                  <c:v>25.076428275714282</c:v>
                </c:pt>
                <c:pt idx="115">
                  <c:v>24.63</c:v>
                </c:pt>
                <c:pt idx="116">
                  <c:v>38.701428550000003</c:v>
                </c:pt>
                <c:pt idx="117">
                  <c:v>94.596427907142839</c:v>
                </c:pt>
                <c:pt idx="118">
                  <c:v>92.07</c:v>
                </c:pt>
                <c:pt idx="119">
                  <c:v>45.4</c:v>
                </c:pt>
                <c:pt idx="120">
                  <c:v>41.47</c:v>
                </c:pt>
                <c:pt idx="121">
                  <c:v>65.800999782857133</c:v>
                </c:pt>
                <c:pt idx="122">
                  <c:v>75.104713441428572</c:v>
                </c:pt>
                <c:pt idx="123">
                  <c:v>97.861000055714285</c:v>
                </c:pt>
                <c:pt idx="124">
                  <c:v>107.7964292242857</c:v>
                </c:pt>
                <c:pt idx="125">
                  <c:v>107.7964292242857</c:v>
                </c:pt>
                <c:pt idx="126">
                  <c:v>35.176713670000005</c:v>
                </c:pt>
                <c:pt idx="127">
                  <c:v>23.41942841571429</c:v>
                </c:pt>
                <c:pt idx="128">
                  <c:v>15.98614284142857</c:v>
                </c:pt>
                <c:pt idx="129">
                  <c:v>14.09042848857143</c:v>
                </c:pt>
                <c:pt idx="130">
                  <c:v>11.838857105714284</c:v>
                </c:pt>
                <c:pt idx="131">
                  <c:v>9.7789998731428565</c:v>
                </c:pt>
                <c:pt idx="132">
                  <c:v>8.4957142857142856</c:v>
                </c:pt>
                <c:pt idx="133">
                  <c:v>7.807428428142857</c:v>
                </c:pt>
                <c:pt idx="134">
                  <c:v>7.53</c:v>
                </c:pt>
                <c:pt idx="135">
                  <c:v>6.4074286734285701</c:v>
                </c:pt>
                <c:pt idx="136">
                  <c:v>4.9400000000000004</c:v>
                </c:pt>
                <c:pt idx="137">
                  <c:v>4.6688571658571432</c:v>
                </c:pt>
                <c:pt idx="138">
                  <c:v>4.5999999999999996</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val>
            <c:numRef>
              <c:f>'12.Caudales'!$M$4:$M$142</c:f>
              <c:numCache>
                <c:formatCode>0.0</c:formatCode>
                <c:ptCount val="139"/>
                <c:pt idx="0">
                  <c:v>40.61</c:v>
                </c:pt>
                <c:pt idx="1">
                  <c:v>29.82</c:v>
                </c:pt>
                <c:pt idx="2">
                  <c:v>27.06</c:v>
                </c:pt>
                <c:pt idx="3">
                  <c:v>27.93</c:v>
                </c:pt>
                <c:pt idx="4">
                  <c:v>49.585999999999999</c:v>
                </c:pt>
                <c:pt idx="5">
                  <c:v>57</c:v>
                </c:pt>
                <c:pt idx="6">
                  <c:v>52.31</c:v>
                </c:pt>
                <c:pt idx="7">
                  <c:v>57.96</c:v>
                </c:pt>
                <c:pt idx="8">
                  <c:v>100.51885660000001</c:v>
                </c:pt>
                <c:pt idx="9">
                  <c:v>75.15657152448378</c:v>
                </c:pt>
                <c:pt idx="10">
                  <c:v>52.24</c:v>
                </c:pt>
                <c:pt idx="11">
                  <c:v>44.628571101597331</c:v>
                </c:pt>
                <c:pt idx="12">
                  <c:v>42.599998474121001</c:v>
                </c:pt>
                <c:pt idx="13">
                  <c:v>49.743000030517535</c:v>
                </c:pt>
                <c:pt idx="14">
                  <c:v>54.414285387311615</c:v>
                </c:pt>
                <c:pt idx="15">
                  <c:v>47.73</c:v>
                </c:pt>
                <c:pt idx="16">
                  <c:v>42.142857687813873</c:v>
                </c:pt>
                <c:pt idx="17">
                  <c:v>27.452428545270582</c:v>
                </c:pt>
                <c:pt idx="18">
                  <c:v>21.857142584664455</c:v>
                </c:pt>
                <c:pt idx="19">
                  <c:v>19.5</c:v>
                </c:pt>
                <c:pt idx="20">
                  <c:v>19.485713958740185</c:v>
                </c:pt>
                <c:pt idx="21">
                  <c:v>16.329999999999998</c:v>
                </c:pt>
                <c:pt idx="22">
                  <c:v>15.18</c:v>
                </c:pt>
                <c:pt idx="23">
                  <c:v>15.1</c:v>
                </c:pt>
                <c:pt idx="24">
                  <c:v>18.016999930000001</c:v>
                </c:pt>
                <c:pt idx="25">
                  <c:v>16.489714209999999</c:v>
                </c:pt>
                <c:pt idx="26">
                  <c:v>16.199999810000001</c:v>
                </c:pt>
                <c:pt idx="27">
                  <c:v>12.016285760000001</c:v>
                </c:pt>
                <c:pt idx="28">
                  <c:v>10.423571450000001</c:v>
                </c:pt>
                <c:pt idx="29">
                  <c:v>10.043285640000001</c:v>
                </c:pt>
                <c:pt idx="30">
                  <c:v>10.086428642272944</c:v>
                </c:pt>
                <c:pt idx="31">
                  <c:v>12.08228561</c:v>
                </c:pt>
                <c:pt idx="32">
                  <c:v>11.874000004359614</c:v>
                </c:pt>
                <c:pt idx="33">
                  <c:v>10.842857090000001</c:v>
                </c:pt>
                <c:pt idx="34">
                  <c:v>10.48142842</c:v>
                </c:pt>
                <c:pt idx="35">
                  <c:v>11.85</c:v>
                </c:pt>
                <c:pt idx="36">
                  <c:v>12.08</c:v>
                </c:pt>
                <c:pt idx="37">
                  <c:v>11.88371427</c:v>
                </c:pt>
                <c:pt idx="38">
                  <c:v>13.06</c:v>
                </c:pt>
                <c:pt idx="39">
                  <c:v>15.945571764285715</c:v>
                </c:pt>
                <c:pt idx="40">
                  <c:v>15.848856789725129</c:v>
                </c:pt>
                <c:pt idx="41">
                  <c:v>15.549142972857144</c:v>
                </c:pt>
                <c:pt idx="42">
                  <c:v>13.17</c:v>
                </c:pt>
                <c:pt idx="43">
                  <c:v>13.18</c:v>
                </c:pt>
                <c:pt idx="44">
                  <c:v>13.49</c:v>
                </c:pt>
                <c:pt idx="45">
                  <c:v>15.4</c:v>
                </c:pt>
                <c:pt idx="46">
                  <c:v>16.408999999999999</c:v>
                </c:pt>
                <c:pt idx="47">
                  <c:v>16.328857422857144</c:v>
                </c:pt>
                <c:pt idx="48">
                  <c:v>20.236285890000001</c:v>
                </c:pt>
                <c:pt idx="49">
                  <c:v>19.809999999999999</c:v>
                </c:pt>
                <c:pt idx="50">
                  <c:v>21.91</c:v>
                </c:pt>
                <c:pt idx="51">
                  <c:v>22</c:v>
                </c:pt>
                <c:pt idx="52">
                  <c:v>41.55</c:v>
                </c:pt>
                <c:pt idx="53">
                  <c:v>39.6</c:v>
                </c:pt>
                <c:pt idx="54">
                  <c:v>73.650000000000006</c:v>
                </c:pt>
                <c:pt idx="55">
                  <c:v>65.03</c:v>
                </c:pt>
                <c:pt idx="56">
                  <c:v>56.95</c:v>
                </c:pt>
                <c:pt idx="57">
                  <c:v>61.87</c:v>
                </c:pt>
                <c:pt idx="58">
                  <c:v>77.569999999999993</c:v>
                </c:pt>
                <c:pt idx="59">
                  <c:v>86.94</c:v>
                </c:pt>
                <c:pt idx="60">
                  <c:v>85.13</c:v>
                </c:pt>
                <c:pt idx="61">
                  <c:v>84.78</c:v>
                </c:pt>
                <c:pt idx="62">
                  <c:v>84.78</c:v>
                </c:pt>
                <c:pt idx="63">
                  <c:v>106.16</c:v>
                </c:pt>
                <c:pt idx="64">
                  <c:v>101.71</c:v>
                </c:pt>
                <c:pt idx="65">
                  <c:v>83.1</c:v>
                </c:pt>
                <c:pt idx="66">
                  <c:v>61.23</c:v>
                </c:pt>
                <c:pt idx="67">
                  <c:v>49.8</c:v>
                </c:pt>
                <c:pt idx="68">
                  <c:v>40.21</c:v>
                </c:pt>
                <c:pt idx="69">
                  <c:v>43.46</c:v>
                </c:pt>
                <c:pt idx="70">
                  <c:v>35.65</c:v>
                </c:pt>
                <c:pt idx="71">
                  <c:v>26.22</c:v>
                </c:pt>
                <c:pt idx="72">
                  <c:v>27.95</c:v>
                </c:pt>
                <c:pt idx="73">
                  <c:v>32.409999999999997</c:v>
                </c:pt>
                <c:pt idx="74">
                  <c:v>28.93</c:v>
                </c:pt>
                <c:pt idx="75">
                  <c:v>26.59</c:v>
                </c:pt>
                <c:pt idx="76">
                  <c:v>23.61</c:v>
                </c:pt>
                <c:pt idx="77">
                  <c:v>24.94</c:v>
                </c:pt>
                <c:pt idx="78">
                  <c:v>25.54</c:v>
                </c:pt>
                <c:pt idx="79">
                  <c:v>23.56</c:v>
                </c:pt>
                <c:pt idx="80">
                  <c:v>22.4</c:v>
                </c:pt>
                <c:pt idx="81">
                  <c:v>21.29</c:v>
                </c:pt>
                <c:pt idx="82">
                  <c:v>19.34</c:v>
                </c:pt>
                <c:pt idx="83">
                  <c:v>19.649999999999999</c:v>
                </c:pt>
                <c:pt idx="84">
                  <c:v>18.420000000000002</c:v>
                </c:pt>
                <c:pt idx="85">
                  <c:v>17.170000000000002</c:v>
                </c:pt>
                <c:pt idx="86">
                  <c:v>17.47</c:v>
                </c:pt>
                <c:pt idx="87">
                  <c:v>13.42</c:v>
                </c:pt>
                <c:pt idx="88">
                  <c:v>11.2</c:v>
                </c:pt>
                <c:pt idx="89">
                  <c:v>11</c:v>
                </c:pt>
                <c:pt idx="90">
                  <c:v>11.14</c:v>
                </c:pt>
                <c:pt idx="91">
                  <c:v>12.8</c:v>
                </c:pt>
                <c:pt idx="92">
                  <c:v>14.41</c:v>
                </c:pt>
                <c:pt idx="93">
                  <c:v>15.87</c:v>
                </c:pt>
                <c:pt idx="94">
                  <c:v>19.61</c:v>
                </c:pt>
                <c:pt idx="95">
                  <c:v>21.85</c:v>
                </c:pt>
                <c:pt idx="96">
                  <c:v>16.79</c:v>
                </c:pt>
                <c:pt idx="97">
                  <c:v>16.010000000000002</c:v>
                </c:pt>
                <c:pt idx="98">
                  <c:v>14.72</c:v>
                </c:pt>
                <c:pt idx="99">
                  <c:v>18.932000297142856</c:v>
                </c:pt>
                <c:pt idx="100">
                  <c:v>28.48371397</c:v>
                </c:pt>
                <c:pt idx="101">
                  <c:v>32.583286012857144</c:v>
                </c:pt>
                <c:pt idx="102">
                  <c:v>34.501856668571428</c:v>
                </c:pt>
                <c:pt idx="103">
                  <c:v>27.781857355714287</c:v>
                </c:pt>
                <c:pt idx="104">
                  <c:v>29.44</c:v>
                </c:pt>
                <c:pt idx="105">
                  <c:v>42.880857194285717</c:v>
                </c:pt>
                <c:pt idx="106">
                  <c:v>74.002572194285705</c:v>
                </c:pt>
                <c:pt idx="107">
                  <c:v>77.812570845714291</c:v>
                </c:pt>
                <c:pt idx="108">
                  <c:v>61.531714848571433</c:v>
                </c:pt>
                <c:pt idx="109">
                  <c:v>54.024142672857138</c:v>
                </c:pt>
                <c:pt idx="110">
                  <c:v>59.271427155714285</c:v>
                </c:pt>
                <c:pt idx="111">
                  <c:v>78.025571005714284</c:v>
                </c:pt>
                <c:pt idx="112">
                  <c:v>61.11871501571428</c:v>
                </c:pt>
                <c:pt idx="113">
                  <c:v>84.500714981428573</c:v>
                </c:pt>
                <c:pt idx="114">
                  <c:v>83.643855504285725</c:v>
                </c:pt>
                <c:pt idx="115">
                  <c:v>98.99</c:v>
                </c:pt>
                <c:pt idx="116">
                  <c:v>106.64928652857144</c:v>
                </c:pt>
                <c:pt idx="117">
                  <c:v>86.488428389999996</c:v>
                </c:pt>
                <c:pt idx="118">
                  <c:v>88.217001778571429</c:v>
                </c:pt>
                <c:pt idx="119">
                  <c:v>65.84</c:v>
                </c:pt>
                <c:pt idx="120">
                  <c:v>51.88</c:v>
                </c:pt>
                <c:pt idx="121">
                  <c:v>49.672285897142856</c:v>
                </c:pt>
                <c:pt idx="122">
                  <c:v>45.203000204285708</c:v>
                </c:pt>
                <c:pt idx="123">
                  <c:v>37.385857718571437</c:v>
                </c:pt>
                <c:pt idx="124">
                  <c:v>31.609713962857143</c:v>
                </c:pt>
                <c:pt idx="125">
                  <c:v>23.360142844285715</c:v>
                </c:pt>
                <c:pt idx="126">
                  <c:v>22.118571418571431</c:v>
                </c:pt>
                <c:pt idx="127">
                  <c:v>18.655142918571432</c:v>
                </c:pt>
                <c:pt idx="128">
                  <c:v>15.664428437142856</c:v>
                </c:pt>
                <c:pt idx="129">
                  <c:v>13.848143032857147</c:v>
                </c:pt>
                <c:pt idx="130">
                  <c:v>12.865857259999999</c:v>
                </c:pt>
                <c:pt idx="131">
                  <c:v>12.915285789999999</c:v>
                </c:pt>
                <c:pt idx="132">
                  <c:v>15.908571428571426</c:v>
                </c:pt>
                <c:pt idx="133">
                  <c:v>16.584000042857145</c:v>
                </c:pt>
                <c:pt idx="134">
                  <c:v>18.553000000000001</c:v>
                </c:pt>
                <c:pt idx="135">
                  <c:v>17.769714355714285</c:v>
                </c:pt>
                <c:pt idx="136">
                  <c:v>14.782857348571428</c:v>
                </c:pt>
                <c:pt idx="137">
                  <c:v>15.984000069999999</c:v>
                </c:pt>
                <c:pt idx="138">
                  <c:v>15.55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0917390718557145"/>
              <c:y val="0.95220372705602407"/>
            </c:manualLayout>
          </c:layout>
          <c:overlay val="0"/>
        </c:title>
        <c:numFmt formatCode="General" sourceLinked="1"/>
        <c:majorTickMark val="out"/>
        <c:minorTickMark val="none"/>
        <c:tickLblPos val="nextTo"/>
        <c:crossAx val="351131904"/>
        <c:crosses val="autoZero"/>
        <c:auto val="1"/>
        <c:lblAlgn val="ctr"/>
        <c:lblOffset val="100"/>
        <c:tickLblSkip val="4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'13.Caudales'!$Q$4:$Q$142</c:f>
              <c:numCache>
                <c:formatCode>0.0</c:formatCode>
                <c:ptCount val="139"/>
                <c:pt idx="0">
                  <c:v>12.12</c:v>
                </c:pt>
                <c:pt idx="1">
                  <c:v>10.45</c:v>
                </c:pt>
                <c:pt idx="2">
                  <c:v>10.396000000000001</c:v>
                </c:pt>
                <c:pt idx="3">
                  <c:v>10.32</c:v>
                </c:pt>
                <c:pt idx="4">
                  <c:v>14.34</c:v>
                </c:pt>
                <c:pt idx="5">
                  <c:v>14.98</c:v>
                </c:pt>
                <c:pt idx="6">
                  <c:v>15.86</c:v>
                </c:pt>
                <c:pt idx="7">
                  <c:v>22.12</c:v>
                </c:pt>
                <c:pt idx="8">
                  <c:v>31.986428669999999</c:v>
                </c:pt>
                <c:pt idx="9">
                  <c:v>21.817856924874398</c:v>
                </c:pt>
                <c:pt idx="10">
                  <c:v>21.645000185285259</c:v>
                </c:pt>
                <c:pt idx="11">
                  <c:v>15.247000013078916</c:v>
                </c:pt>
                <c:pt idx="12">
                  <c:v>17.322999954223601</c:v>
                </c:pt>
                <c:pt idx="13">
                  <c:v>14.828142711094401</c:v>
                </c:pt>
                <c:pt idx="14">
                  <c:v>15.017142977033298</c:v>
                </c:pt>
                <c:pt idx="15">
                  <c:v>13.98</c:v>
                </c:pt>
                <c:pt idx="16">
                  <c:v>12.944285669999999</c:v>
                </c:pt>
                <c:pt idx="17">
                  <c:v>10.727142742701899</c:v>
                </c:pt>
                <c:pt idx="18">
                  <c:v>9.4342857088361427</c:v>
                </c:pt>
                <c:pt idx="19">
                  <c:v>9.1999999999999993</c:v>
                </c:pt>
                <c:pt idx="20">
                  <c:v>9.0128573008945967</c:v>
                </c:pt>
                <c:pt idx="21">
                  <c:v>7.95</c:v>
                </c:pt>
                <c:pt idx="22">
                  <c:v>7.6</c:v>
                </c:pt>
                <c:pt idx="23">
                  <c:v>9.57</c:v>
                </c:pt>
                <c:pt idx="24">
                  <c:v>9.0548571179999993</c:v>
                </c:pt>
                <c:pt idx="25">
                  <c:v>8.8612857550000008</c:v>
                </c:pt>
                <c:pt idx="26">
                  <c:v>8.3185714990000008</c:v>
                </c:pt>
                <c:pt idx="27">
                  <c:v>7.789714268</c:v>
                </c:pt>
                <c:pt idx="28">
                  <c:v>7.1615714349999999</c:v>
                </c:pt>
                <c:pt idx="29">
                  <c:v>6.6714285440000003</c:v>
                </c:pt>
                <c:pt idx="30">
                  <c:v>6.2387143543788328</c:v>
                </c:pt>
                <c:pt idx="31">
                  <c:v>6.1697142459999998</c:v>
                </c:pt>
                <c:pt idx="32">
                  <c:v>6.3728570940000004</c:v>
                </c:pt>
                <c:pt idx="33">
                  <c:v>6.1195714130000001</c:v>
                </c:pt>
                <c:pt idx="34">
                  <c:v>5.9814286230000002</c:v>
                </c:pt>
                <c:pt idx="35">
                  <c:v>6.03</c:v>
                </c:pt>
                <c:pt idx="36">
                  <c:v>6.03</c:v>
                </c:pt>
                <c:pt idx="37">
                  <c:v>6.5951428410000004</c:v>
                </c:pt>
                <c:pt idx="38">
                  <c:v>6.84</c:v>
                </c:pt>
                <c:pt idx="39">
                  <c:v>7.6862857681428576</c:v>
                </c:pt>
                <c:pt idx="40">
                  <c:v>7.1000001089913463</c:v>
                </c:pt>
                <c:pt idx="41">
                  <c:v>6.7610000201428573</c:v>
                </c:pt>
                <c:pt idx="42">
                  <c:v>6.53</c:v>
                </c:pt>
                <c:pt idx="43">
                  <c:v>7.58</c:v>
                </c:pt>
                <c:pt idx="44">
                  <c:v>6.95</c:v>
                </c:pt>
                <c:pt idx="45">
                  <c:v>6.8571429249999998</c:v>
                </c:pt>
                <c:pt idx="46">
                  <c:v>6.9940000260000001</c:v>
                </c:pt>
                <c:pt idx="47">
                  <c:v>7.1124285970000001</c:v>
                </c:pt>
                <c:pt idx="48">
                  <c:v>8.43</c:v>
                </c:pt>
                <c:pt idx="49">
                  <c:v>8.32</c:v>
                </c:pt>
                <c:pt idx="50">
                  <c:v>9.08</c:v>
                </c:pt>
                <c:pt idx="51">
                  <c:v>8.42</c:v>
                </c:pt>
                <c:pt idx="52">
                  <c:v>13.85</c:v>
                </c:pt>
                <c:pt idx="53">
                  <c:v>14.96</c:v>
                </c:pt>
                <c:pt idx="54">
                  <c:v>28.98</c:v>
                </c:pt>
                <c:pt idx="55">
                  <c:v>30.46</c:v>
                </c:pt>
                <c:pt idx="56">
                  <c:v>21.36</c:v>
                </c:pt>
                <c:pt idx="57">
                  <c:v>25.42</c:v>
                </c:pt>
                <c:pt idx="58">
                  <c:v>35.43</c:v>
                </c:pt>
                <c:pt idx="59">
                  <c:v>30.45</c:v>
                </c:pt>
                <c:pt idx="60">
                  <c:v>37.72</c:v>
                </c:pt>
                <c:pt idx="61">
                  <c:v>36.46</c:v>
                </c:pt>
                <c:pt idx="62">
                  <c:v>35.590000000000003</c:v>
                </c:pt>
                <c:pt idx="63">
                  <c:v>37.82</c:v>
                </c:pt>
                <c:pt idx="64">
                  <c:v>35.93</c:v>
                </c:pt>
                <c:pt idx="65">
                  <c:v>42.9</c:v>
                </c:pt>
                <c:pt idx="66">
                  <c:v>31.19</c:v>
                </c:pt>
                <c:pt idx="67">
                  <c:v>22.8</c:v>
                </c:pt>
                <c:pt idx="68">
                  <c:v>20.18</c:v>
                </c:pt>
                <c:pt idx="69">
                  <c:v>19.84</c:v>
                </c:pt>
                <c:pt idx="70">
                  <c:v>21.4</c:v>
                </c:pt>
                <c:pt idx="71">
                  <c:v>17.23</c:v>
                </c:pt>
                <c:pt idx="72">
                  <c:v>16.09</c:v>
                </c:pt>
                <c:pt idx="73">
                  <c:v>15.1</c:v>
                </c:pt>
                <c:pt idx="74">
                  <c:v>14.28</c:v>
                </c:pt>
                <c:pt idx="75">
                  <c:v>13.3</c:v>
                </c:pt>
                <c:pt idx="76">
                  <c:v>12.63</c:v>
                </c:pt>
                <c:pt idx="77">
                  <c:v>11.92</c:v>
                </c:pt>
                <c:pt idx="78">
                  <c:v>11.92</c:v>
                </c:pt>
                <c:pt idx="79">
                  <c:v>11.04</c:v>
                </c:pt>
                <c:pt idx="80">
                  <c:v>10.27</c:v>
                </c:pt>
                <c:pt idx="81">
                  <c:v>9.4700000000000006</c:v>
                </c:pt>
                <c:pt idx="82">
                  <c:v>9.0500000000000007</c:v>
                </c:pt>
                <c:pt idx="83">
                  <c:v>9.9</c:v>
                </c:pt>
                <c:pt idx="84">
                  <c:v>9.17</c:v>
                </c:pt>
                <c:pt idx="85">
                  <c:v>7.78</c:v>
                </c:pt>
                <c:pt idx="86">
                  <c:v>7.73</c:v>
                </c:pt>
                <c:pt idx="87">
                  <c:v>7.1</c:v>
                </c:pt>
                <c:pt idx="88">
                  <c:v>7.53</c:v>
                </c:pt>
                <c:pt idx="89">
                  <c:v>9.73</c:v>
                </c:pt>
                <c:pt idx="90">
                  <c:v>7.21</c:v>
                </c:pt>
                <c:pt idx="91">
                  <c:v>6.89</c:v>
                </c:pt>
                <c:pt idx="92">
                  <c:v>7.51</c:v>
                </c:pt>
                <c:pt idx="93">
                  <c:v>7.92</c:v>
                </c:pt>
                <c:pt idx="94">
                  <c:v>9.16</c:v>
                </c:pt>
                <c:pt idx="95">
                  <c:v>8.81</c:v>
                </c:pt>
                <c:pt idx="96">
                  <c:v>8.3800000000000008</c:v>
                </c:pt>
                <c:pt idx="97">
                  <c:v>7.55</c:v>
                </c:pt>
                <c:pt idx="98">
                  <c:v>7.39</c:v>
                </c:pt>
                <c:pt idx="99">
                  <c:v>7.9678571564285718</c:v>
                </c:pt>
                <c:pt idx="100">
                  <c:v>8.4875713758571436</c:v>
                </c:pt>
                <c:pt idx="101">
                  <c:v>8.7257142747142868</c:v>
                </c:pt>
                <c:pt idx="102">
                  <c:v>9.7215715127142861</c:v>
                </c:pt>
                <c:pt idx="103">
                  <c:v>10.323285784571427</c:v>
                </c:pt>
                <c:pt idx="104">
                  <c:v>10.34</c:v>
                </c:pt>
                <c:pt idx="105">
                  <c:v>13.730999947142859</c:v>
                </c:pt>
                <c:pt idx="106">
                  <c:v>15.983285902857142</c:v>
                </c:pt>
                <c:pt idx="107">
                  <c:v>21.988571574285714</c:v>
                </c:pt>
                <c:pt idx="108">
                  <c:v>17.729000225714284</c:v>
                </c:pt>
                <c:pt idx="109">
                  <c:v>13.582571572857143</c:v>
                </c:pt>
                <c:pt idx="110">
                  <c:v>14.722571237142859</c:v>
                </c:pt>
                <c:pt idx="111">
                  <c:v>18.48</c:v>
                </c:pt>
                <c:pt idx="112">
                  <c:v>21.652428627142854</c:v>
                </c:pt>
                <c:pt idx="113">
                  <c:v>30.272714344285713</c:v>
                </c:pt>
                <c:pt idx="114">
                  <c:v>28.071857179999999</c:v>
                </c:pt>
                <c:pt idx="115">
                  <c:v>29.90999984714286</c:v>
                </c:pt>
                <c:pt idx="116">
                  <c:v>28.360142844285718</c:v>
                </c:pt>
                <c:pt idx="117">
                  <c:v>23.830285752857144</c:v>
                </c:pt>
                <c:pt idx="118">
                  <c:v>27</c:v>
                </c:pt>
                <c:pt idx="119">
                  <c:v>19.899999999999999</c:v>
                </c:pt>
                <c:pt idx="120">
                  <c:v>19.14</c:v>
                </c:pt>
                <c:pt idx="121">
                  <c:v>19.703571455714286</c:v>
                </c:pt>
                <c:pt idx="122">
                  <c:v>15.48828561</c:v>
                </c:pt>
                <c:pt idx="123">
                  <c:v>14.601142882857145</c:v>
                </c:pt>
                <c:pt idx="124">
                  <c:v>13.411285537142858</c:v>
                </c:pt>
                <c:pt idx="125">
                  <c:v>12.490285737142855</c:v>
                </c:pt>
                <c:pt idx="126">
                  <c:v>12.278000014285713</c:v>
                </c:pt>
                <c:pt idx="127">
                  <c:v>10.882714271142857</c:v>
                </c:pt>
                <c:pt idx="128">
                  <c:v>10.290999957142857</c:v>
                </c:pt>
                <c:pt idx="129">
                  <c:v>9.5591429302857147</c:v>
                </c:pt>
                <c:pt idx="130">
                  <c:v>9.3137141635714293</c:v>
                </c:pt>
                <c:pt idx="131">
                  <c:v>8.7544284548571447</c:v>
                </c:pt>
                <c:pt idx="132">
                  <c:v>8.6149000000000004</c:v>
                </c:pt>
                <c:pt idx="133">
                  <c:v>8.1221428598571439</c:v>
                </c:pt>
                <c:pt idx="134">
                  <c:v>7.5620000000000003</c:v>
                </c:pt>
                <c:pt idx="135">
                  <c:v>8.4994284765714276</c:v>
                </c:pt>
                <c:pt idx="136">
                  <c:v>7.8117142411428571</c:v>
                </c:pt>
                <c:pt idx="137">
                  <c:v>6.44</c:v>
                </c:pt>
                <c:pt idx="138">
                  <c:v>6.4357143129999992</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'13.Caudales'!$R$4:$R$142</c:f>
              <c:numCache>
                <c:formatCode>0.0</c:formatCode>
                <c:ptCount val="139"/>
                <c:pt idx="0">
                  <c:v>8.33</c:v>
                </c:pt>
                <c:pt idx="1">
                  <c:v>5.38</c:v>
                </c:pt>
                <c:pt idx="2">
                  <c:v>5.29</c:v>
                </c:pt>
                <c:pt idx="3">
                  <c:v>6.0640000000000001</c:v>
                </c:pt>
                <c:pt idx="4">
                  <c:v>9.59</c:v>
                </c:pt>
                <c:pt idx="5">
                  <c:v>12.82</c:v>
                </c:pt>
                <c:pt idx="6">
                  <c:v>12.43</c:v>
                </c:pt>
                <c:pt idx="7">
                  <c:v>19.3</c:v>
                </c:pt>
                <c:pt idx="8">
                  <c:v>19.514333090000001</c:v>
                </c:pt>
                <c:pt idx="9">
                  <c:v>20.1870002746582</c:v>
                </c:pt>
                <c:pt idx="10">
                  <c:v>18.452999932425314</c:v>
                </c:pt>
                <c:pt idx="11">
                  <c:v>12.7100000381469</c:v>
                </c:pt>
                <c:pt idx="12">
                  <c:v>15.171999931335399</c:v>
                </c:pt>
                <c:pt idx="13">
                  <c:v>13.217000007629398</c:v>
                </c:pt>
                <c:pt idx="14">
                  <c:v>11.291000366210898</c:v>
                </c:pt>
                <c:pt idx="15">
                  <c:v>11.63</c:v>
                </c:pt>
                <c:pt idx="16">
                  <c:v>10.010000228881799</c:v>
                </c:pt>
                <c:pt idx="17">
                  <c:v>6.3112858363560251</c:v>
                </c:pt>
                <c:pt idx="18">
                  <c:v>7.4910001754760689</c:v>
                </c:pt>
                <c:pt idx="19">
                  <c:v>6.8</c:v>
                </c:pt>
                <c:pt idx="20">
                  <c:v>5.4099998474121005</c:v>
                </c:pt>
                <c:pt idx="21">
                  <c:v>3.82</c:v>
                </c:pt>
                <c:pt idx="22">
                  <c:v>3.22</c:v>
                </c:pt>
                <c:pt idx="23">
                  <c:v>3.42</c:v>
                </c:pt>
                <c:pt idx="24">
                  <c:v>3.2130000590000001</c:v>
                </c:pt>
                <c:pt idx="25">
                  <c:v>3.5</c:v>
                </c:pt>
                <c:pt idx="26">
                  <c:v>4.0900001530000001</c:v>
                </c:pt>
                <c:pt idx="27">
                  <c:v>3.119999886</c:v>
                </c:pt>
                <c:pt idx="28">
                  <c:v>3.4249999519999998</c:v>
                </c:pt>
                <c:pt idx="29">
                  <c:v>2.8789999489999998</c:v>
                </c:pt>
                <c:pt idx="30">
                  <c:v>2.9382856232779297</c:v>
                </c:pt>
                <c:pt idx="31">
                  <c:v>3.2030000689999998</c:v>
                </c:pt>
                <c:pt idx="32">
                  <c:v>2.841857144</c:v>
                </c:pt>
                <c:pt idx="33">
                  <c:v>3.058000088</c:v>
                </c:pt>
                <c:pt idx="34">
                  <c:v>1.506999969</c:v>
                </c:pt>
                <c:pt idx="35">
                  <c:v>2.8</c:v>
                </c:pt>
                <c:pt idx="36">
                  <c:v>2.37</c:v>
                </c:pt>
                <c:pt idx="37">
                  <c:v>3.0060000420000001</c:v>
                </c:pt>
                <c:pt idx="38">
                  <c:v>3.32</c:v>
                </c:pt>
                <c:pt idx="39">
                  <c:v>3.1560000009999998</c:v>
                </c:pt>
                <c:pt idx="40">
                  <c:v>2.9028571673801928</c:v>
                </c:pt>
                <c:pt idx="41">
                  <c:v>2.8671428815714286</c:v>
                </c:pt>
                <c:pt idx="42">
                  <c:v>2.37</c:v>
                </c:pt>
                <c:pt idx="43">
                  <c:v>4.8899999999999997</c:v>
                </c:pt>
                <c:pt idx="44">
                  <c:v>1.61</c:v>
                </c:pt>
                <c:pt idx="45">
                  <c:v>1.6428571599999999</c:v>
                </c:pt>
                <c:pt idx="46">
                  <c:v>1.5142857009999999</c:v>
                </c:pt>
                <c:pt idx="47">
                  <c:v>1.4714285645714287</c:v>
                </c:pt>
                <c:pt idx="48">
                  <c:v>2.2400000000000002</c:v>
                </c:pt>
                <c:pt idx="49">
                  <c:v>2.19</c:v>
                </c:pt>
                <c:pt idx="50">
                  <c:v>3.71</c:v>
                </c:pt>
                <c:pt idx="51">
                  <c:v>3.57</c:v>
                </c:pt>
                <c:pt idx="52">
                  <c:v>11.3</c:v>
                </c:pt>
                <c:pt idx="53">
                  <c:v>15.4</c:v>
                </c:pt>
                <c:pt idx="54">
                  <c:v>21.94</c:v>
                </c:pt>
                <c:pt idx="55">
                  <c:v>23.91</c:v>
                </c:pt>
                <c:pt idx="56">
                  <c:v>18.07</c:v>
                </c:pt>
                <c:pt idx="57">
                  <c:v>21.42</c:v>
                </c:pt>
                <c:pt idx="58">
                  <c:v>25.12</c:v>
                </c:pt>
                <c:pt idx="59">
                  <c:v>23.33</c:v>
                </c:pt>
                <c:pt idx="60">
                  <c:v>24.83</c:v>
                </c:pt>
                <c:pt idx="61">
                  <c:v>24.95</c:v>
                </c:pt>
                <c:pt idx="62">
                  <c:v>26.89</c:v>
                </c:pt>
                <c:pt idx="63">
                  <c:v>20.6</c:v>
                </c:pt>
                <c:pt idx="64">
                  <c:v>24.02</c:v>
                </c:pt>
                <c:pt idx="65">
                  <c:v>17.87</c:v>
                </c:pt>
                <c:pt idx="66">
                  <c:v>17.87</c:v>
                </c:pt>
                <c:pt idx="67">
                  <c:v>11.46</c:v>
                </c:pt>
                <c:pt idx="68">
                  <c:v>11.46</c:v>
                </c:pt>
                <c:pt idx="69">
                  <c:v>10.36</c:v>
                </c:pt>
                <c:pt idx="70">
                  <c:v>9.25</c:v>
                </c:pt>
                <c:pt idx="71">
                  <c:v>6.32</c:v>
                </c:pt>
                <c:pt idx="72">
                  <c:v>6.32</c:v>
                </c:pt>
                <c:pt idx="73">
                  <c:v>5.59</c:v>
                </c:pt>
                <c:pt idx="74">
                  <c:v>4.8499999999999996</c:v>
                </c:pt>
                <c:pt idx="75">
                  <c:v>4.8499999999999996</c:v>
                </c:pt>
                <c:pt idx="76">
                  <c:v>3.77</c:v>
                </c:pt>
                <c:pt idx="77">
                  <c:v>3.77</c:v>
                </c:pt>
                <c:pt idx="78">
                  <c:v>3.91</c:v>
                </c:pt>
                <c:pt idx="79">
                  <c:v>3.91</c:v>
                </c:pt>
                <c:pt idx="80">
                  <c:v>3.42</c:v>
                </c:pt>
                <c:pt idx="81">
                  <c:v>3.42</c:v>
                </c:pt>
                <c:pt idx="82">
                  <c:v>3.3</c:v>
                </c:pt>
                <c:pt idx="83">
                  <c:v>2.68</c:v>
                </c:pt>
                <c:pt idx="84">
                  <c:v>2.4300000000000002</c:v>
                </c:pt>
                <c:pt idx="85">
                  <c:v>2.61</c:v>
                </c:pt>
                <c:pt idx="86">
                  <c:v>3.07</c:v>
                </c:pt>
                <c:pt idx="87">
                  <c:v>3.57</c:v>
                </c:pt>
                <c:pt idx="88">
                  <c:v>5.04</c:v>
                </c:pt>
                <c:pt idx="89">
                  <c:v>3.75</c:v>
                </c:pt>
                <c:pt idx="90">
                  <c:v>3.83</c:v>
                </c:pt>
                <c:pt idx="91">
                  <c:v>3.2</c:v>
                </c:pt>
                <c:pt idx="92">
                  <c:v>3.26</c:v>
                </c:pt>
                <c:pt idx="93">
                  <c:v>3.59</c:v>
                </c:pt>
                <c:pt idx="94">
                  <c:v>3.99</c:v>
                </c:pt>
                <c:pt idx="95">
                  <c:v>5.0199999999999996</c:v>
                </c:pt>
                <c:pt idx="96">
                  <c:v>4.2</c:v>
                </c:pt>
                <c:pt idx="97">
                  <c:v>3.7</c:v>
                </c:pt>
                <c:pt idx="98">
                  <c:v>3.85</c:v>
                </c:pt>
                <c:pt idx="99">
                  <c:v>3.558142900428571</c:v>
                </c:pt>
                <c:pt idx="100">
                  <c:v>3.2600000074285718</c:v>
                </c:pt>
                <c:pt idx="101">
                  <c:v>3.4628571441428577</c:v>
                </c:pt>
                <c:pt idx="102">
                  <c:v>4.2539999484285715</c:v>
                </c:pt>
                <c:pt idx="103">
                  <c:v>4.6457142829999993</c:v>
                </c:pt>
                <c:pt idx="104">
                  <c:v>4.4628571428571426</c:v>
                </c:pt>
                <c:pt idx="105">
                  <c:v>3.5944285392857145</c:v>
                </c:pt>
                <c:pt idx="106">
                  <c:v>8.3045714242857152</c:v>
                </c:pt>
                <c:pt idx="107">
                  <c:v>15.598142828000002</c:v>
                </c:pt>
                <c:pt idx="108">
                  <c:v>13.724571365714285</c:v>
                </c:pt>
                <c:pt idx="109">
                  <c:v>8.6634286477142854</c:v>
                </c:pt>
                <c:pt idx="110">
                  <c:v>11.071428435428571</c:v>
                </c:pt>
                <c:pt idx="111">
                  <c:v>14.97</c:v>
                </c:pt>
                <c:pt idx="112">
                  <c:v>14.185285431142857</c:v>
                </c:pt>
                <c:pt idx="113">
                  <c:v>17.434571538571429</c:v>
                </c:pt>
                <c:pt idx="114">
                  <c:v>17.048571724285715</c:v>
                </c:pt>
                <c:pt idx="115">
                  <c:v>21.62</c:v>
                </c:pt>
                <c:pt idx="116">
                  <c:v>17.439428465714283</c:v>
                </c:pt>
                <c:pt idx="117">
                  <c:v>12.833285604571429</c:v>
                </c:pt>
                <c:pt idx="118">
                  <c:v>15.571285655714286</c:v>
                </c:pt>
                <c:pt idx="119">
                  <c:v>12.83</c:v>
                </c:pt>
                <c:pt idx="120">
                  <c:v>13.52</c:v>
                </c:pt>
                <c:pt idx="121">
                  <c:v>14.166857039571427</c:v>
                </c:pt>
                <c:pt idx="122">
                  <c:v>12.650857108142857</c:v>
                </c:pt>
                <c:pt idx="123">
                  <c:v>10.013285772</c:v>
                </c:pt>
                <c:pt idx="124">
                  <c:v>7.8631429672857154</c:v>
                </c:pt>
                <c:pt idx="125">
                  <c:v>6.4215714250000007</c:v>
                </c:pt>
                <c:pt idx="126">
                  <c:v>5.5577142921428564</c:v>
                </c:pt>
                <c:pt idx="127">
                  <c:v>5.3317142215714286</c:v>
                </c:pt>
                <c:pt idx="128">
                  <c:v>3.7498572211428569</c:v>
                </c:pt>
                <c:pt idx="129">
                  <c:v>3.5651427677142853</c:v>
                </c:pt>
                <c:pt idx="130">
                  <c:v>4.7600000245714282</c:v>
                </c:pt>
                <c:pt idx="131">
                  <c:v>2.5707143034285713</c:v>
                </c:pt>
                <c:pt idx="132">
                  <c:v>3.7006000000000001</c:v>
                </c:pt>
                <c:pt idx="133">
                  <c:v>4.9111429789999992</c:v>
                </c:pt>
                <c:pt idx="134">
                  <c:v>3.28</c:v>
                </c:pt>
                <c:pt idx="135">
                  <c:v>4.8781427315714287</c:v>
                </c:pt>
                <c:pt idx="136">
                  <c:v>4.5999999999999996</c:v>
                </c:pt>
                <c:pt idx="137">
                  <c:v>5.1568571165714285</c:v>
                </c:pt>
                <c:pt idx="138">
                  <c:v>2.15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txPr>
          <a:bodyPr/>
          <a:lstStyle/>
          <a:p>
            <a:pPr>
              <a:defRPr b="0"/>
            </a:pPr>
            <a:endParaRPr lang="es-PE"/>
          </a:p>
        </c:txPr>
        <c:crossAx val="351281152"/>
        <c:crosses val="autoZero"/>
        <c:auto val="1"/>
        <c:lblAlgn val="ctr"/>
        <c:lblOffset val="100"/>
        <c:tickLblSkip val="4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517445072178465"/>
          <c:y val="0.18191753664452179"/>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62124993956389307"/>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'13.Caudales'!$S$4:$S$142</c:f>
              <c:numCache>
                <c:formatCode>0.0</c:formatCode>
                <c:ptCount val="139"/>
                <c:pt idx="0">
                  <c:v>165.03200000000001</c:v>
                </c:pt>
                <c:pt idx="1">
                  <c:v>137.04</c:v>
                </c:pt>
                <c:pt idx="2">
                  <c:v>102.45</c:v>
                </c:pt>
                <c:pt idx="3">
                  <c:v>93.71</c:v>
                </c:pt>
                <c:pt idx="4">
                  <c:v>142.55000000000001</c:v>
                </c:pt>
                <c:pt idx="5">
                  <c:v>223.15</c:v>
                </c:pt>
                <c:pt idx="6">
                  <c:v>223.86</c:v>
                </c:pt>
                <c:pt idx="7">
                  <c:v>297.45999999999998</c:v>
                </c:pt>
                <c:pt idx="8">
                  <c:v>326.48699649999998</c:v>
                </c:pt>
                <c:pt idx="9">
                  <c:v>281.91442869999997</c:v>
                </c:pt>
                <c:pt idx="10">
                  <c:v>302.97000000000003</c:v>
                </c:pt>
                <c:pt idx="11">
                  <c:v>179.33771623883899</c:v>
                </c:pt>
                <c:pt idx="12">
                  <c:v>130.67500305175699</c:v>
                </c:pt>
                <c:pt idx="13">
                  <c:v>121.81457192557171</c:v>
                </c:pt>
                <c:pt idx="14">
                  <c:v>184.69442967006074</c:v>
                </c:pt>
                <c:pt idx="15">
                  <c:v>164.52</c:v>
                </c:pt>
                <c:pt idx="16">
                  <c:v>152.88357325962556</c:v>
                </c:pt>
                <c:pt idx="17">
                  <c:v>98.225285121372636</c:v>
                </c:pt>
                <c:pt idx="18">
                  <c:v>86.615142822265582</c:v>
                </c:pt>
                <c:pt idx="19">
                  <c:v>78.2</c:v>
                </c:pt>
                <c:pt idx="20">
                  <c:v>73.744141714913454</c:v>
                </c:pt>
                <c:pt idx="21">
                  <c:v>66.739999999999995</c:v>
                </c:pt>
                <c:pt idx="22">
                  <c:v>59.4</c:v>
                </c:pt>
                <c:pt idx="23">
                  <c:v>54.3</c:v>
                </c:pt>
                <c:pt idx="24">
                  <c:v>56.674428669999998</c:v>
                </c:pt>
                <c:pt idx="25">
                  <c:v>68.087428501674069</c:v>
                </c:pt>
                <c:pt idx="26">
                  <c:v>60.110428400000004</c:v>
                </c:pt>
                <c:pt idx="27">
                  <c:v>60.986856189999997</c:v>
                </c:pt>
                <c:pt idx="28">
                  <c:v>56.540714260000001</c:v>
                </c:pt>
                <c:pt idx="29">
                  <c:v>65.491856709999993</c:v>
                </c:pt>
                <c:pt idx="30">
                  <c:v>65.491856711251344</c:v>
                </c:pt>
                <c:pt idx="31">
                  <c:v>49.942714418571427</c:v>
                </c:pt>
                <c:pt idx="32">
                  <c:v>57.183571406773112</c:v>
                </c:pt>
                <c:pt idx="33">
                  <c:v>49.366142269999997</c:v>
                </c:pt>
                <c:pt idx="34">
                  <c:v>56.934856959999998</c:v>
                </c:pt>
                <c:pt idx="35">
                  <c:v>48.51</c:v>
                </c:pt>
                <c:pt idx="36">
                  <c:v>43.99</c:v>
                </c:pt>
                <c:pt idx="37">
                  <c:v>47.220570700000003</c:v>
                </c:pt>
                <c:pt idx="38">
                  <c:v>63.05</c:v>
                </c:pt>
                <c:pt idx="39">
                  <c:v>61.54114314571428</c:v>
                </c:pt>
                <c:pt idx="40">
                  <c:v>58.117285592215353</c:v>
                </c:pt>
                <c:pt idx="41">
                  <c:v>58.888142721428572</c:v>
                </c:pt>
                <c:pt idx="42">
                  <c:v>69.2</c:v>
                </c:pt>
                <c:pt idx="43">
                  <c:v>51.59</c:v>
                </c:pt>
                <c:pt idx="44">
                  <c:v>72.92</c:v>
                </c:pt>
                <c:pt idx="45">
                  <c:v>58.4</c:v>
                </c:pt>
                <c:pt idx="46">
                  <c:v>52.554856440000002</c:v>
                </c:pt>
                <c:pt idx="47">
                  <c:v>53.429429191428575</c:v>
                </c:pt>
                <c:pt idx="48">
                  <c:v>61.07</c:v>
                </c:pt>
                <c:pt idx="49">
                  <c:v>78.02</c:v>
                </c:pt>
                <c:pt idx="50">
                  <c:v>67.64</c:v>
                </c:pt>
                <c:pt idx="51">
                  <c:v>56.187571937142856</c:v>
                </c:pt>
                <c:pt idx="52">
                  <c:v>104.02</c:v>
                </c:pt>
                <c:pt idx="53">
                  <c:v>143.97</c:v>
                </c:pt>
                <c:pt idx="54">
                  <c:v>355.12</c:v>
                </c:pt>
                <c:pt idx="55">
                  <c:v>519.4</c:v>
                </c:pt>
                <c:pt idx="56">
                  <c:v>330.78</c:v>
                </c:pt>
                <c:pt idx="57">
                  <c:v>200.58</c:v>
                </c:pt>
                <c:pt idx="58">
                  <c:v>393.69</c:v>
                </c:pt>
                <c:pt idx="59">
                  <c:v>345.37</c:v>
                </c:pt>
                <c:pt idx="60">
                  <c:v>567.22</c:v>
                </c:pt>
                <c:pt idx="61">
                  <c:v>467.04</c:v>
                </c:pt>
                <c:pt idx="62">
                  <c:v>448.3</c:v>
                </c:pt>
                <c:pt idx="63">
                  <c:v>350.87</c:v>
                </c:pt>
                <c:pt idx="64">
                  <c:v>380.48</c:v>
                </c:pt>
                <c:pt idx="65">
                  <c:v>427.28</c:v>
                </c:pt>
                <c:pt idx="66">
                  <c:v>334.14</c:v>
                </c:pt>
                <c:pt idx="67">
                  <c:v>218.96</c:v>
                </c:pt>
                <c:pt idx="68">
                  <c:v>180.47</c:v>
                </c:pt>
                <c:pt idx="69">
                  <c:v>212.89</c:v>
                </c:pt>
                <c:pt idx="70">
                  <c:v>199.54</c:v>
                </c:pt>
                <c:pt idx="71">
                  <c:v>136.84</c:v>
                </c:pt>
                <c:pt idx="72">
                  <c:v>116.86</c:v>
                </c:pt>
                <c:pt idx="73">
                  <c:v>118.58</c:v>
                </c:pt>
                <c:pt idx="74">
                  <c:v>112.05</c:v>
                </c:pt>
                <c:pt idx="75">
                  <c:v>91.62</c:v>
                </c:pt>
                <c:pt idx="76">
                  <c:v>81.33</c:v>
                </c:pt>
                <c:pt idx="77">
                  <c:v>80.900000000000006</c:v>
                </c:pt>
                <c:pt idx="78">
                  <c:v>82.99</c:v>
                </c:pt>
                <c:pt idx="79">
                  <c:v>71.739999999999995</c:v>
                </c:pt>
                <c:pt idx="80">
                  <c:v>67.8</c:v>
                </c:pt>
                <c:pt idx="81">
                  <c:v>69.62</c:v>
                </c:pt>
                <c:pt idx="82">
                  <c:v>61.71</c:v>
                </c:pt>
                <c:pt idx="83">
                  <c:v>65.38</c:v>
                </c:pt>
                <c:pt idx="84">
                  <c:v>59.63</c:v>
                </c:pt>
                <c:pt idx="85">
                  <c:v>60.62</c:v>
                </c:pt>
                <c:pt idx="86">
                  <c:v>58.47</c:v>
                </c:pt>
                <c:pt idx="87">
                  <c:v>61.13</c:v>
                </c:pt>
                <c:pt idx="88">
                  <c:v>59.93</c:v>
                </c:pt>
                <c:pt idx="89">
                  <c:v>64.319999999999993</c:v>
                </c:pt>
                <c:pt idx="90">
                  <c:v>66.83</c:v>
                </c:pt>
                <c:pt idx="91">
                  <c:v>56.32</c:v>
                </c:pt>
                <c:pt idx="92">
                  <c:v>57.18</c:v>
                </c:pt>
                <c:pt idx="93">
                  <c:v>71.87</c:v>
                </c:pt>
                <c:pt idx="94">
                  <c:v>73.22</c:v>
                </c:pt>
                <c:pt idx="95">
                  <c:v>75.150000000000006</c:v>
                </c:pt>
                <c:pt idx="96">
                  <c:v>67.39</c:v>
                </c:pt>
                <c:pt idx="97">
                  <c:v>66.959999999999994</c:v>
                </c:pt>
                <c:pt idx="98">
                  <c:v>67.72</c:v>
                </c:pt>
                <c:pt idx="99">
                  <c:v>77.366571698571434</c:v>
                </c:pt>
                <c:pt idx="100">
                  <c:v>84.55585806714285</c:v>
                </c:pt>
                <c:pt idx="101">
                  <c:v>77.460142951428566</c:v>
                </c:pt>
                <c:pt idx="102">
                  <c:v>78.166143688571424</c:v>
                </c:pt>
                <c:pt idx="103">
                  <c:v>86.972714017142849</c:v>
                </c:pt>
                <c:pt idx="104">
                  <c:v>140.04142857142858</c:v>
                </c:pt>
                <c:pt idx="105">
                  <c:v>209.91800362857143</c:v>
                </c:pt>
                <c:pt idx="106">
                  <c:v>223.6645725857143</c:v>
                </c:pt>
                <c:pt idx="107">
                  <c:v>346.88342720000003</c:v>
                </c:pt>
                <c:pt idx="108">
                  <c:v>214.95928737142859</c:v>
                </c:pt>
                <c:pt idx="109">
                  <c:v>166.34242902857142</c:v>
                </c:pt>
                <c:pt idx="110">
                  <c:v>239.50057330000001</c:v>
                </c:pt>
                <c:pt idx="111">
                  <c:v>357.61814662857148</c:v>
                </c:pt>
                <c:pt idx="112">
                  <c:v>333.90885488571433</c:v>
                </c:pt>
                <c:pt idx="113">
                  <c:v>431.64157101428572</c:v>
                </c:pt>
                <c:pt idx="114">
                  <c:v>485.98543439999997</c:v>
                </c:pt>
                <c:pt idx="115">
                  <c:v>465.24414497142863</c:v>
                </c:pt>
                <c:pt idx="116">
                  <c:v>396.37686155714289</c:v>
                </c:pt>
                <c:pt idx="117">
                  <c:v>226.32643345714288</c:v>
                </c:pt>
                <c:pt idx="118">
                  <c:v>207.40800040000002</c:v>
                </c:pt>
                <c:pt idx="119">
                  <c:v>166.38871437142856</c:v>
                </c:pt>
                <c:pt idx="120">
                  <c:v>168.19342804285716</c:v>
                </c:pt>
                <c:pt idx="121">
                  <c:v>171.5428597714286</c:v>
                </c:pt>
                <c:pt idx="122">
                  <c:v>146.54485865714287</c:v>
                </c:pt>
                <c:pt idx="123">
                  <c:v>112.76242937142857</c:v>
                </c:pt>
                <c:pt idx="124">
                  <c:v>94.636570517142857</c:v>
                </c:pt>
                <c:pt idx="125">
                  <c:v>81.718714031428576</c:v>
                </c:pt>
                <c:pt idx="126">
                  <c:v>83.760285512857152</c:v>
                </c:pt>
                <c:pt idx="127">
                  <c:v>82.799001421428557</c:v>
                </c:pt>
                <c:pt idx="128">
                  <c:v>74.093855721428568</c:v>
                </c:pt>
                <c:pt idx="129">
                  <c:v>66.795142037142867</c:v>
                </c:pt>
                <c:pt idx="130">
                  <c:v>67.368571689999996</c:v>
                </c:pt>
                <c:pt idx="131">
                  <c:v>65.073571887142847</c:v>
                </c:pt>
                <c:pt idx="132">
                  <c:v>62.515714285714289</c:v>
                </c:pt>
                <c:pt idx="133">
                  <c:v>57.148857115714286</c:v>
                </c:pt>
                <c:pt idx="134">
                  <c:v>58.768000000000001</c:v>
                </c:pt>
                <c:pt idx="135">
                  <c:v>54.703428540000004</c:v>
                </c:pt>
                <c:pt idx="136">
                  <c:v>59.066285269999995</c:v>
                </c:pt>
                <c:pt idx="137">
                  <c:v>82.033571515714272</c:v>
                </c:pt>
                <c:pt idx="138">
                  <c:v>71.48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schemeClr>
            </a:solidFill>
            <a:ln w="25400">
              <a:noFill/>
            </a:ln>
          </c:spPr>
          <c:cat>
            <c:multiLvlStrRef>
              <c:f>'13.Caudales'!$N$4:$O$142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'13.Caudales'!$T$4:$T$142</c:f>
              <c:numCache>
                <c:formatCode>0.0</c:formatCode>
                <c:ptCount val="139"/>
                <c:pt idx="0">
                  <c:v>95.83</c:v>
                </c:pt>
                <c:pt idx="1">
                  <c:v>78.260000000000005</c:v>
                </c:pt>
                <c:pt idx="2">
                  <c:v>101.264</c:v>
                </c:pt>
                <c:pt idx="3">
                  <c:v>79.73</c:v>
                </c:pt>
                <c:pt idx="4">
                  <c:v>128.66</c:v>
                </c:pt>
                <c:pt idx="5">
                  <c:v>174.87</c:v>
                </c:pt>
                <c:pt idx="6">
                  <c:v>126.56</c:v>
                </c:pt>
                <c:pt idx="7">
                  <c:v>188.83</c:v>
                </c:pt>
                <c:pt idx="8">
                  <c:v>170.33500290000001</c:v>
                </c:pt>
                <c:pt idx="9">
                  <c:v>164.05856977190246</c:v>
                </c:pt>
                <c:pt idx="10">
                  <c:v>146.11571393694155</c:v>
                </c:pt>
                <c:pt idx="11">
                  <c:v>114.18428584507485</c:v>
                </c:pt>
                <c:pt idx="12">
                  <c:v>89.040000915527301</c:v>
                </c:pt>
                <c:pt idx="13">
                  <c:v>78.037142072405103</c:v>
                </c:pt>
                <c:pt idx="14">
                  <c:v>74.048570905412902</c:v>
                </c:pt>
                <c:pt idx="15">
                  <c:v>81.069999999999993</c:v>
                </c:pt>
                <c:pt idx="16">
                  <c:v>64.311428070000005</c:v>
                </c:pt>
                <c:pt idx="17">
                  <c:v>46.242857796805197</c:v>
                </c:pt>
                <c:pt idx="18">
                  <c:v>41.954286302838973</c:v>
                </c:pt>
                <c:pt idx="19">
                  <c:v>39.6</c:v>
                </c:pt>
                <c:pt idx="20">
                  <c:v>44.79285812377924</c:v>
                </c:pt>
                <c:pt idx="21">
                  <c:v>34.01</c:v>
                </c:pt>
                <c:pt idx="22">
                  <c:v>28.71</c:v>
                </c:pt>
                <c:pt idx="23">
                  <c:v>30.83</c:v>
                </c:pt>
                <c:pt idx="24">
                  <c:v>25.690000260000001</c:v>
                </c:pt>
                <c:pt idx="25">
                  <c:v>30.317143300000001</c:v>
                </c:pt>
                <c:pt idx="26">
                  <c:v>28.581429350000001</c:v>
                </c:pt>
                <c:pt idx="27">
                  <c:v>27.099999836512943</c:v>
                </c:pt>
                <c:pt idx="28">
                  <c:v>23.477142610000001</c:v>
                </c:pt>
                <c:pt idx="29">
                  <c:v>21.095714300000001</c:v>
                </c:pt>
                <c:pt idx="30">
                  <c:v>20.037142889840243</c:v>
                </c:pt>
                <c:pt idx="31">
                  <c:v>23.275714059999999</c:v>
                </c:pt>
                <c:pt idx="32">
                  <c:v>22.619999750000002</c:v>
                </c:pt>
                <c:pt idx="33">
                  <c:v>25.04757145</c:v>
                </c:pt>
                <c:pt idx="34">
                  <c:v>21.374285830000002</c:v>
                </c:pt>
                <c:pt idx="35">
                  <c:v>22.661428449999999</c:v>
                </c:pt>
                <c:pt idx="36">
                  <c:v>19.149999999999999</c:v>
                </c:pt>
                <c:pt idx="37">
                  <c:v>22.304285589999999</c:v>
                </c:pt>
                <c:pt idx="38">
                  <c:v>48.7</c:v>
                </c:pt>
                <c:pt idx="39">
                  <c:v>37.928571428999994</c:v>
                </c:pt>
                <c:pt idx="40">
                  <c:v>48.921429225376635</c:v>
                </c:pt>
                <c:pt idx="41">
                  <c:v>55.619142805714283</c:v>
                </c:pt>
                <c:pt idx="42">
                  <c:v>54.58</c:v>
                </c:pt>
                <c:pt idx="43">
                  <c:v>57.65</c:v>
                </c:pt>
                <c:pt idx="44">
                  <c:v>67.069999999999993</c:v>
                </c:pt>
                <c:pt idx="45">
                  <c:v>34.982142860000003</c:v>
                </c:pt>
                <c:pt idx="46">
                  <c:v>29.07742855</c:v>
                </c:pt>
                <c:pt idx="47">
                  <c:v>88.059571399999996</c:v>
                </c:pt>
                <c:pt idx="48">
                  <c:v>106.59</c:v>
                </c:pt>
                <c:pt idx="49">
                  <c:v>104.79</c:v>
                </c:pt>
                <c:pt idx="50">
                  <c:v>69.61</c:v>
                </c:pt>
                <c:pt idx="51">
                  <c:v>58.452428545714284</c:v>
                </c:pt>
                <c:pt idx="52">
                  <c:v>148.43</c:v>
                </c:pt>
                <c:pt idx="53">
                  <c:v>175.88</c:v>
                </c:pt>
                <c:pt idx="54">
                  <c:v>177.57</c:v>
                </c:pt>
                <c:pt idx="55">
                  <c:v>205.76</c:v>
                </c:pt>
                <c:pt idx="56">
                  <c:v>123.41</c:v>
                </c:pt>
                <c:pt idx="57">
                  <c:v>108.48</c:v>
                </c:pt>
                <c:pt idx="58">
                  <c:v>144.62</c:v>
                </c:pt>
                <c:pt idx="59">
                  <c:v>140.63</c:v>
                </c:pt>
                <c:pt idx="60">
                  <c:v>245.85</c:v>
                </c:pt>
                <c:pt idx="61">
                  <c:v>188.01</c:v>
                </c:pt>
                <c:pt idx="62">
                  <c:v>169.95</c:v>
                </c:pt>
                <c:pt idx="63">
                  <c:v>146.01</c:v>
                </c:pt>
                <c:pt idx="64">
                  <c:v>173.02</c:v>
                </c:pt>
                <c:pt idx="65">
                  <c:v>137.65</c:v>
                </c:pt>
                <c:pt idx="66">
                  <c:v>129.9</c:v>
                </c:pt>
                <c:pt idx="67">
                  <c:v>100.66</c:v>
                </c:pt>
                <c:pt idx="68">
                  <c:v>91.24</c:v>
                </c:pt>
                <c:pt idx="69">
                  <c:v>98.95</c:v>
                </c:pt>
                <c:pt idx="70">
                  <c:v>89.02</c:v>
                </c:pt>
                <c:pt idx="71">
                  <c:v>72.95</c:v>
                </c:pt>
                <c:pt idx="72">
                  <c:v>99.42</c:v>
                </c:pt>
                <c:pt idx="73">
                  <c:v>79.099999999999994</c:v>
                </c:pt>
                <c:pt idx="74">
                  <c:v>63.27</c:v>
                </c:pt>
                <c:pt idx="75">
                  <c:v>49.79</c:v>
                </c:pt>
                <c:pt idx="76">
                  <c:v>46.74</c:v>
                </c:pt>
                <c:pt idx="77">
                  <c:v>41.45</c:v>
                </c:pt>
                <c:pt idx="78">
                  <c:v>60.31</c:v>
                </c:pt>
                <c:pt idx="79">
                  <c:v>39.090000000000003</c:v>
                </c:pt>
                <c:pt idx="80">
                  <c:v>32.590000000000003</c:v>
                </c:pt>
                <c:pt idx="81">
                  <c:v>28.39</c:v>
                </c:pt>
                <c:pt idx="82">
                  <c:v>26.51</c:v>
                </c:pt>
                <c:pt idx="83">
                  <c:v>24.1</c:v>
                </c:pt>
                <c:pt idx="84">
                  <c:v>24.29</c:v>
                </c:pt>
                <c:pt idx="85">
                  <c:v>25.9</c:v>
                </c:pt>
                <c:pt idx="86">
                  <c:v>26.33</c:v>
                </c:pt>
                <c:pt idx="87">
                  <c:v>27.35</c:v>
                </c:pt>
                <c:pt idx="88">
                  <c:v>34.56</c:v>
                </c:pt>
                <c:pt idx="89">
                  <c:v>41.74</c:v>
                </c:pt>
                <c:pt idx="90">
                  <c:v>46.48</c:v>
                </c:pt>
                <c:pt idx="91">
                  <c:v>28.11</c:v>
                </c:pt>
                <c:pt idx="92">
                  <c:v>32.11</c:v>
                </c:pt>
                <c:pt idx="93">
                  <c:v>64.69</c:v>
                </c:pt>
                <c:pt idx="94">
                  <c:v>71.16</c:v>
                </c:pt>
                <c:pt idx="95">
                  <c:v>62.33</c:v>
                </c:pt>
                <c:pt idx="96">
                  <c:v>61.76</c:v>
                </c:pt>
                <c:pt idx="97">
                  <c:v>66.040000000000006</c:v>
                </c:pt>
                <c:pt idx="98">
                  <c:v>52.82</c:v>
                </c:pt>
                <c:pt idx="99">
                  <c:v>66.577285762857144</c:v>
                </c:pt>
                <c:pt idx="100">
                  <c:v>72.732000077142857</c:v>
                </c:pt>
                <c:pt idx="101">
                  <c:v>64.097142899999994</c:v>
                </c:pt>
                <c:pt idx="102">
                  <c:v>94.237856191428577</c:v>
                </c:pt>
                <c:pt idx="103">
                  <c:v>94.357285634285716</c:v>
                </c:pt>
                <c:pt idx="104">
                  <c:v>143.09</c:v>
                </c:pt>
                <c:pt idx="105">
                  <c:v>160.98214394285716</c:v>
                </c:pt>
                <c:pt idx="106">
                  <c:v>190.44042751428574</c:v>
                </c:pt>
                <c:pt idx="107">
                  <c:v>205.5832868285714</c:v>
                </c:pt>
                <c:pt idx="108">
                  <c:v>93.607142857142861</c:v>
                </c:pt>
                <c:pt idx="109">
                  <c:v>108.25571334000001</c:v>
                </c:pt>
                <c:pt idx="110">
                  <c:v>202.98199900000003</c:v>
                </c:pt>
                <c:pt idx="111">
                  <c:v>251.1</c:v>
                </c:pt>
                <c:pt idx="112">
                  <c:v>204.95843285714287</c:v>
                </c:pt>
                <c:pt idx="113">
                  <c:v>177.15485925714287</c:v>
                </c:pt>
                <c:pt idx="114">
                  <c:v>169.375</c:v>
                </c:pt>
                <c:pt idx="115">
                  <c:v>201.58328465714288</c:v>
                </c:pt>
                <c:pt idx="116">
                  <c:v>163.75585502857143</c:v>
                </c:pt>
                <c:pt idx="117">
                  <c:v>133.53585814285714</c:v>
                </c:pt>
                <c:pt idx="118">
                  <c:v>107.59514291428572</c:v>
                </c:pt>
                <c:pt idx="119">
                  <c:v>95.78</c:v>
                </c:pt>
                <c:pt idx="120">
                  <c:v>95.39</c:v>
                </c:pt>
                <c:pt idx="121">
                  <c:v>85.958285739999994</c:v>
                </c:pt>
                <c:pt idx="122">
                  <c:v>88.244000028571435</c:v>
                </c:pt>
                <c:pt idx="123">
                  <c:v>64.809571402857145</c:v>
                </c:pt>
                <c:pt idx="124">
                  <c:v>49.303714208571428</c:v>
                </c:pt>
                <c:pt idx="125">
                  <c:v>42.928571428571431</c:v>
                </c:pt>
                <c:pt idx="126">
                  <c:v>67.797571451428567</c:v>
                </c:pt>
                <c:pt idx="127">
                  <c:v>63.982142857142854</c:v>
                </c:pt>
                <c:pt idx="128">
                  <c:v>53.035571505714287</c:v>
                </c:pt>
                <c:pt idx="129">
                  <c:v>40.369000025714286</c:v>
                </c:pt>
                <c:pt idx="130">
                  <c:v>33.409999999999997</c:v>
                </c:pt>
                <c:pt idx="131">
                  <c:v>33.160714285714285</c:v>
                </c:pt>
                <c:pt idx="132">
                  <c:v>35.738</c:v>
                </c:pt>
                <c:pt idx="133">
                  <c:v>85.065429679999994</c:v>
                </c:pt>
                <c:pt idx="134">
                  <c:v>40.375</c:v>
                </c:pt>
                <c:pt idx="135">
                  <c:v>52.946428571428569</c:v>
                </c:pt>
                <c:pt idx="136">
                  <c:v>47.13</c:v>
                </c:pt>
                <c:pt idx="137">
                  <c:v>63.892999920000001</c:v>
                </c:pt>
                <c:pt idx="138">
                  <c:v>45.64</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val>
            <c:numRef>
              <c:f>'13.Caudales'!$U$4:$U$142</c:f>
              <c:numCache>
                <c:formatCode>0.0</c:formatCode>
                <c:ptCount val="139"/>
                <c:pt idx="0">
                  <c:v>18.5</c:v>
                </c:pt>
                <c:pt idx="1">
                  <c:v>13.1</c:v>
                </c:pt>
                <c:pt idx="2">
                  <c:v>15.26</c:v>
                </c:pt>
                <c:pt idx="3">
                  <c:v>12.66</c:v>
                </c:pt>
                <c:pt idx="4">
                  <c:v>24.24</c:v>
                </c:pt>
                <c:pt idx="5">
                  <c:v>35.18</c:v>
                </c:pt>
                <c:pt idx="6">
                  <c:v>25.04</c:v>
                </c:pt>
                <c:pt idx="7">
                  <c:v>26.72</c:v>
                </c:pt>
                <c:pt idx="8">
                  <c:v>30.940000529999999</c:v>
                </c:pt>
                <c:pt idx="9">
                  <c:v>30.751428604125927</c:v>
                </c:pt>
                <c:pt idx="10">
                  <c:v>26.230000359671411</c:v>
                </c:pt>
                <c:pt idx="11">
                  <c:v>18.61999988555905</c:v>
                </c:pt>
                <c:pt idx="12">
                  <c:v>15.310000419616699</c:v>
                </c:pt>
                <c:pt idx="13">
                  <c:v>14.082857131957956</c:v>
                </c:pt>
                <c:pt idx="14">
                  <c:v>17.312857082911869</c:v>
                </c:pt>
                <c:pt idx="15">
                  <c:v>21.07</c:v>
                </c:pt>
                <c:pt idx="16">
                  <c:v>16.638571469999999</c:v>
                </c:pt>
                <c:pt idx="17">
                  <c:v>10.637142998831566</c:v>
                </c:pt>
                <c:pt idx="18">
                  <c:v>9.4342857088361427</c:v>
                </c:pt>
                <c:pt idx="19">
                  <c:v>8.6</c:v>
                </c:pt>
                <c:pt idx="20">
                  <c:v>10.11999988555907</c:v>
                </c:pt>
                <c:pt idx="21">
                  <c:v>8.15</c:v>
                </c:pt>
                <c:pt idx="22">
                  <c:v>7.74</c:v>
                </c:pt>
                <c:pt idx="23">
                  <c:v>7.53</c:v>
                </c:pt>
                <c:pt idx="24">
                  <c:v>6.9342856409999998</c:v>
                </c:pt>
                <c:pt idx="25">
                  <c:v>8.8971428190000008</c:v>
                </c:pt>
                <c:pt idx="26">
                  <c:v>7.9442856649999998</c:v>
                </c:pt>
                <c:pt idx="27">
                  <c:v>7.4514284819999999</c:v>
                </c:pt>
                <c:pt idx="28">
                  <c:v>6.2828570089999998</c:v>
                </c:pt>
                <c:pt idx="29">
                  <c:v>5.8057142669999999</c:v>
                </c:pt>
                <c:pt idx="30">
                  <c:v>5.4814286231994549</c:v>
                </c:pt>
                <c:pt idx="31">
                  <c:v>5.8257142479999997</c:v>
                </c:pt>
                <c:pt idx="32">
                  <c:v>5.5228571210000004</c:v>
                </c:pt>
                <c:pt idx="33">
                  <c:v>5.8727143149999996</c:v>
                </c:pt>
                <c:pt idx="34">
                  <c:v>4.9342857090000001</c:v>
                </c:pt>
                <c:pt idx="35">
                  <c:v>4.9800000000000004</c:v>
                </c:pt>
                <c:pt idx="36">
                  <c:v>5.31</c:v>
                </c:pt>
                <c:pt idx="37">
                  <c:v>5.581428528</c:v>
                </c:pt>
                <c:pt idx="38">
                  <c:v>7.81</c:v>
                </c:pt>
                <c:pt idx="39">
                  <c:v>7.9165713450000004</c:v>
                </c:pt>
                <c:pt idx="40">
                  <c:v>8.5942858287266173</c:v>
                </c:pt>
                <c:pt idx="41">
                  <c:v>9.5089999614285716</c:v>
                </c:pt>
                <c:pt idx="42">
                  <c:v>8.23</c:v>
                </c:pt>
                <c:pt idx="43">
                  <c:v>7.72</c:v>
                </c:pt>
                <c:pt idx="44">
                  <c:v>6.9</c:v>
                </c:pt>
                <c:pt idx="45">
                  <c:v>5.0667143550000002</c:v>
                </c:pt>
                <c:pt idx="46">
                  <c:v>4.2727143420000004</c:v>
                </c:pt>
                <c:pt idx="47">
                  <c:v>7.879285812428571</c:v>
                </c:pt>
                <c:pt idx="48">
                  <c:v>16.09</c:v>
                </c:pt>
                <c:pt idx="49">
                  <c:v>18.649999999999999</c:v>
                </c:pt>
                <c:pt idx="50">
                  <c:v>11.22</c:v>
                </c:pt>
                <c:pt idx="51">
                  <c:v>8.01</c:v>
                </c:pt>
                <c:pt idx="52">
                  <c:v>24.1</c:v>
                </c:pt>
                <c:pt idx="53">
                  <c:v>33.74</c:v>
                </c:pt>
                <c:pt idx="54">
                  <c:v>35.49</c:v>
                </c:pt>
                <c:pt idx="55">
                  <c:v>48.48</c:v>
                </c:pt>
                <c:pt idx="56">
                  <c:v>25.33</c:v>
                </c:pt>
                <c:pt idx="57">
                  <c:v>22.99</c:v>
                </c:pt>
                <c:pt idx="58">
                  <c:v>39.44</c:v>
                </c:pt>
                <c:pt idx="59">
                  <c:v>30.47</c:v>
                </c:pt>
                <c:pt idx="60">
                  <c:v>67.56</c:v>
                </c:pt>
                <c:pt idx="61">
                  <c:v>50.5</c:v>
                </c:pt>
                <c:pt idx="62">
                  <c:v>51.21</c:v>
                </c:pt>
                <c:pt idx="63">
                  <c:v>38.08</c:v>
                </c:pt>
                <c:pt idx="64">
                  <c:v>38.869999999999997</c:v>
                </c:pt>
                <c:pt idx="65">
                  <c:v>35.950000000000003</c:v>
                </c:pt>
                <c:pt idx="66">
                  <c:v>29.93</c:v>
                </c:pt>
                <c:pt idx="67">
                  <c:v>21.85</c:v>
                </c:pt>
                <c:pt idx="68">
                  <c:v>18.89</c:v>
                </c:pt>
                <c:pt idx="69">
                  <c:v>19.899999999999999</c:v>
                </c:pt>
                <c:pt idx="70">
                  <c:v>15.9</c:v>
                </c:pt>
                <c:pt idx="71">
                  <c:v>15.03</c:v>
                </c:pt>
                <c:pt idx="72">
                  <c:v>20.059999999999999</c:v>
                </c:pt>
                <c:pt idx="73">
                  <c:v>16</c:v>
                </c:pt>
                <c:pt idx="74">
                  <c:v>13.78</c:v>
                </c:pt>
                <c:pt idx="75">
                  <c:v>11.29</c:v>
                </c:pt>
                <c:pt idx="76">
                  <c:v>10.02</c:v>
                </c:pt>
                <c:pt idx="77">
                  <c:v>9.24</c:v>
                </c:pt>
                <c:pt idx="78">
                  <c:v>9.73</c:v>
                </c:pt>
                <c:pt idx="79">
                  <c:v>8.42</c:v>
                </c:pt>
                <c:pt idx="80">
                  <c:v>7.7</c:v>
                </c:pt>
                <c:pt idx="81">
                  <c:v>7.39</c:v>
                </c:pt>
                <c:pt idx="82">
                  <c:v>7.02</c:v>
                </c:pt>
                <c:pt idx="83">
                  <c:v>6.7</c:v>
                </c:pt>
                <c:pt idx="84">
                  <c:v>6.44</c:v>
                </c:pt>
                <c:pt idx="85">
                  <c:v>6.62</c:v>
                </c:pt>
                <c:pt idx="86">
                  <c:v>6.66</c:v>
                </c:pt>
                <c:pt idx="87">
                  <c:v>6.84</c:v>
                </c:pt>
                <c:pt idx="88">
                  <c:v>7.96</c:v>
                </c:pt>
                <c:pt idx="89">
                  <c:v>9.43</c:v>
                </c:pt>
                <c:pt idx="90">
                  <c:v>7.93</c:v>
                </c:pt>
                <c:pt idx="91">
                  <c:v>6.02</c:v>
                </c:pt>
                <c:pt idx="92">
                  <c:v>6.5</c:v>
                </c:pt>
                <c:pt idx="93">
                  <c:v>9.44</c:v>
                </c:pt>
                <c:pt idx="94">
                  <c:v>8.8800000000000008</c:v>
                </c:pt>
                <c:pt idx="95">
                  <c:v>10.59</c:v>
                </c:pt>
                <c:pt idx="96">
                  <c:v>10.039999999999999</c:v>
                </c:pt>
                <c:pt idx="97">
                  <c:v>8.7799999999999994</c:v>
                </c:pt>
                <c:pt idx="98">
                  <c:v>7.81</c:v>
                </c:pt>
                <c:pt idx="99">
                  <c:v>9.1851428580000007</c:v>
                </c:pt>
                <c:pt idx="100">
                  <c:v>14.04828548342857</c:v>
                </c:pt>
                <c:pt idx="101">
                  <c:v>11.032857077571427</c:v>
                </c:pt>
                <c:pt idx="102">
                  <c:v>14.381428445285712</c:v>
                </c:pt>
                <c:pt idx="103">
                  <c:v>13.293999945714287</c:v>
                </c:pt>
                <c:pt idx="104">
                  <c:v>20.63</c:v>
                </c:pt>
                <c:pt idx="105">
                  <c:v>36.213856559999996</c:v>
                </c:pt>
                <c:pt idx="106">
                  <c:v>30.819142750000001</c:v>
                </c:pt>
                <c:pt idx="107">
                  <c:v>40.893000467142862</c:v>
                </c:pt>
                <c:pt idx="108">
                  <c:v>17.748285841428572</c:v>
                </c:pt>
                <c:pt idx="109">
                  <c:v>18.79157175142857</c:v>
                </c:pt>
                <c:pt idx="110">
                  <c:v>42.088571821428573</c:v>
                </c:pt>
                <c:pt idx="111">
                  <c:v>43.74</c:v>
                </c:pt>
                <c:pt idx="112">
                  <c:v>31.755000522857138</c:v>
                </c:pt>
                <c:pt idx="113">
                  <c:v>31.196571622857142</c:v>
                </c:pt>
                <c:pt idx="114">
                  <c:v>52.626284462857136</c:v>
                </c:pt>
                <c:pt idx="115">
                  <c:v>57.669144221428567</c:v>
                </c:pt>
                <c:pt idx="116">
                  <c:v>35.725570951428573</c:v>
                </c:pt>
                <c:pt idx="117">
                  <c:v>28.622000282857147</c:v>
                </c:pt>
                <c:pt idx="118">
                  <c:v>30.753999982857145</c:v>
                </c:pt>
                <c:pt idx="119">
                  <c:v>29.88</c:v>
                </c:pt>
                <c:pt idx="120">
                  <c:v>22.257285525714284</c:v>
                </c:pt>
                <c:pt idx="121">
                  <c:v>21.651714052857141</c:v>
                </c:pt>
                <c:pt idx="122">
                  <c:v>19.037142890000002</c:v>
                </c:pt>
                <c:pt idx="123">
                  <c:v>16.531571660000001</c:v>
                </c:pt>
                <c:pt idx="124">
                  <c:v>13.450571468571427</c:v>
                </c:pt>
                <c:pt idx="125">
                  <c:v>11.897571562857141</c:v>
                </c:pt>
                <c:pt idx="126">
                  <c:v>15.801714215714284</c:v>
                </c:pt>
                <c:pt idx="127">
                  <c:v>15.595999989999999</c:v>
                </c:pt>
                <c:pt idx="128">
                  <c:v>14.135857038571428</c:v>
                </c:pt>
                <c:pt idx="129">
                  <c:v>10.912428581428573</c:v>
                </c:pt>
                <c:pt idx="130">
                  <c:v>9.4035714009999989</c:v>
                </c:pt>
                <c:pt idx="131">
                  <c:v>9.4155716217142871</c:v>
                </c:pt>
                <c:pt idx="132">
                  <c:v>9.5503999999999998</c:v>
                </c:pt>
                <c:pt idx="133">
                  <c:v>15.534142631428571</c:v>
                </c:pt>
                <c:pt idx="134">
                  <c:v>8.5579999999999998</c:v>
                </c:pt>
                <c:pt idx="135">
                  <c:v>10.739857128857144</c:v>
                </c:pt>
                <c:pt idx="136">
                  <c:v>9.23</c:v>
                </c:pt>
                <c:pt idx="137">
                  <c:v>10.917285918714287</c:v>
                </c:pt>
                <c:pt idx="138">
                  <c:v>9.4700000000000006</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crossAx val="351299456"/>
        <c:crosses val="autoZero"/>
        <c:auto val="1"/>
        <c:lblAlgn val="ctr"/>
        <c:lblOffset val="100"/>
        <c:tickLblSkip val="4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687148384570755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'13.Caudales'!$V$4:$V$142</c:f>
              <c:numCache>
                <c:formatCode>0.0</c:formatCode>
                <c:ptCount val="139"/>
                <c:pt idx="0">
                  <c:v>10.01</c:v>
                </c:pt>
                <c:pt idx="1">
                  <c:v>10</c:v>
                </c:pt>
                <c:pt idx="2">
                  <c:v>10.01</c:v>
                </c:pt>
                <c:pt idx="3">
                  <c:v>10.01</c:v>
                </c:pt>
                <c:pt idx="4">
                  <c:v>10.01</c:v>
                </c:pt>
                <c:pt idx="5">
                  <c:v>9.01</c:v>
                </c:pt>
                <c:pt idx="6">
                  <c:v>9.01</c:v>
                </c:pt>
                <c:pt idx="7">
                  <c:v>18.309999999999999</c:v>
                </c:pt>
                <c:pt idx="8">
                  <c:v>16.54985727582655</c:v>
                </c:pt>
                <c:pt idx="9">
                  <c:v>9.5257144655499921</c:v>
                </c:pt>
                <c:pt idx="10">
                  <c:v>10.001428604125973</c:v>
                </c:pt>
                <c:pt idx="11">
                  <c:v>9.9999999999999964</c:v>
                </c:pt>
                <c:pt idx="12">
                  <c:v>10</c:v>
                </c:pt>
                <c:pt idx="13">
                  <c:v>10.001428604125973</c:v>
                </c:pt>
                <c:pt idx="14">
                  <c:v>10.005714416503881</c:v>
                </c:pt>
                <c:pt idx="15">
                  <c:v>10.01</c:v>
                </c:pt>
                <c:pt idx="16">
                  <c:v>10.004285812377887</c:v>
                </c:pt>
                <c:pt idx="17">
                  <c:v>10.007143020629858</c:v>
                </c:pt>
                <c:pt idx="18">
                  <c:v>10.004285812377914</c:v>
                </c:pt>
                <c:pt idx="19">
                  <c:v>10</c:v>
                </c:pt>
                <c:pt idx="20">
                  <c:v>10.011428560529414</c:v>
                </c:pt>
                <c:pt idx="21">
                  <c:v>10.02</c:v>
                </c:pt>
                <c:pt idx="22">
                  <c:v>10</c:v>
                </c:pt>
                <c:pt idx="23">
                  <c:v>10</c:v>
                </c:pt>
                <c:pt idx="24">
                  <c:v>10.00571442</c:v>
                </c:pt>
                <c:pt idx="25">
                  <c:v>10</c:v>
                </c:pt>
                <c:pt idx="26">
                  <c:v>10.001428600000001</c:v>
                </c:pt>
                <c:pt idx="27">
                  <c:v>10.0128573</c:v>
                </c:pt>
                <c:pt idx="28">
                  <c:v>10.001428600000001</c:v>
                </c:pt>
                <c:pt idx="29">
                  <c:v>10.01142883</c:v>
                </c:pt>
                <c:pt idx="30">
                  <c:v>10.011428833007772</c:v>
                </c:pt>
                <c:pt idx="31">
                  <c:v>10.004285810000001</c:v>
                </c:pt>
                <c:pt idx="32">
                  <c:v>10</c:v>
                </c:pt>
                <c:pt idx="33">
                  <c:v>10.00857162</c:v>
                </c:pt>
                <c:pt idx="34">
                  <c:v>10.28714289</c:v>
                </c:pt>
                <c:pt idx="35">
                  <c:v>11.01</c:v>
                </c:pt>
                <c:pt idx="36">
                  <c:v>11</c:v>
                </c:pt>
                <c:pt idx="37">
                  <c:v>10.85142858</c:v>
                </c:pt>
                <c:pt idx="38">
                  <c:v>11.15</c:v>
                </c:pt>
                <c:pt idx="39">
                  <c:v>11.005714417142856</c:v>
                </c:pt>
                <c:pt idx="40">
                  <c:v>11.002857208251914</c:v>
                </c:pt>
                <c:pt idx="41">
                  <c:v>11.007142884285715</c:v>
                </c:pt>
                <c:pt idx="42">
                  <c:v>11.01</c:v>
                </c:pt>
                <c:pt idx="43">
                  <c:v>11.01</c:v>
                </c:pt>
                <c:pt idx="44">
                  <c:v>11</c:v>
                </c:pt>
                <c:pt idx="45">
                  <c:v>11.01</c:v>
                </c:pt>
                <c:pt idx="46">
                  <c:v>11.00286</c:v>
                </c:pt>
                <c:pt idx="47">
                  <c:v>10.862857274285714</c:v>
                </c:pt>
                <c:pt idx="48">
                  <c:v>10.5</c:v>
                </c:pt>
                <c:pt idx="49">
                  <c:v>10.51</c:v>
                </c:pt>
                <c:pt idx="50">
                  <c:v>10.5</c:v>
                </c:pt>
                <c:pt idx="51">
                  <c:v>10.507142884285715</c:v>
                </c:pt>
                <c:pt idx="52">
                  <c:v>10.220000000000001</c:v>
                </c:pt>
                <c:pt idx="53">
                  <c:v>10.17</c:v>
                </c:pt>
                <c:pt idx="54">
                  <c:v>10</c:v>
                </c:pt>
                <c:pt idx="55">
                  <c:v>10</c:v>
                </c:pt>
                <c:pt idx="56">
                  <c:v>11.41</c:v>
                </c:pt>
                <c:pt idx="57">
                  <c:v>10.57</c:v>
                </c:pt>
                <c:pt idx="58">
                  <c:v>10</c:v>
                </c:pt>
                <c:pt idx="59">
                  <c:v>9.58</c:v>
                </c:pt>
                <c:pt idx="60">
                  <c:v>9.01</c:v>
                </c:pt>
                <c:pt idx="61">
                  <c:v>10.06</c:v>
                </c:pt>
                <c:pt idx="62">
                  <c:v>26.15</c:v>
                </c:pt>
                <c:pt idx="63">
                  <c:v>12.43</c:v>
                </c:pt>
                <c:pt idx="64">
                  <c:v>11.98</c:v>
                </c:pt>
                <c:pt idx="65">
                  <c:v>28.72</c:v>
                </c:pt>
                <c:pt idx="66">
                  <c:v>16.28</c:v>
                </c:pt>
                <c:pt idx="67">
                  <c:v>15.43</c:v>
                </c:pt>
                <c:pt idx="68">
                  <c:v>12.29</c:v>
                </c:pt>
                <c:pt idx="69">
                  <c:v>11.64</c:v>
                </c:pt>
                <c:pt idx="70">
                  <c:v>11</c:v>
                </c:pt>
                <c:pt idx="71">
                  <c:v>11</c:v>
                </c:pt>
                <c:pt idx="72">
                  <c:v>11.01</c:v>
                </c:pt>
                <c:pt idx="73">
                  <c:v>11</c:v>
                </c:pt>
                <c:pt idx="74">
                  <c:v>11</c:v>
                </c:pt>
                <c:pt idx="75">
                  <c:v>11</c:v>
                </c:pt>
                <c:pt idx="76">
                  <c:v>11</c:v>
                </c:pt>
                <c:pt idx="77">
                  <c:v>12</c:v>
                </c:pt>
                <c:pt idx="78">
                  <c:v>12</c:v>
                </c:pt>
                <c:pt idx="79">
                  <c:v>12</c:v>
                </c:pt>
                <c:pt idx="80">
                  <c:v>10.51</c:v>
                </c:pt>
                <c:pt idx="81">
                  <c:v>12</c:v>
                </c:pt>
                <c:pt idx="82">
                  <c:v>12</c:v>
                </c:pt>
                <c:pt idx="83">
                  <c:v>12</c:v>
                </c:pt>
                <c:pt idx="84">
                  <c:v>12</c:v>
                </c:pt>
                <c:pt idx="85">
                  <c:v>12</c:v>
                </c:pt>
                <c:pt idx="86">
                  <c:v>12.14</c:v>
                </c:pt>
                <c:pt idx="87">
                  <c:v>13</c:v>
                </c:pt>
                <c:pt idx="88">
                  <c:v>13</c:v>
                </c:pt>
                <c:pt idx="89">
                  <c:v>13</c:v>
                </c:pt>
                <c:pt idx="90">
                  <c:v>13</c:v>
                </c:pt>
                <c:pt idx="91">
                  <c:v>13</c:v>
                </c:pt>
                <c:pt idx="92">
                  <c:v>13</c:v>
                </c:pt>
                <c:pt idx="93">
                  <c:v>13</c:v>
                </c:pt>
                <c:pt idx="94">
                  <c:v>13</c:v>
                </c:pt>
                <c:pt idx="95">
                  <c:v>13</c:v>
                </c:pt>
                <c:pt idx="96">
                  <c:v>13</c:v>
                </c:pt>
                <c:pt idx="97">
                  <c:v>13</c:v>
                </c:pt>
                <c:pt idx="98">
                  <c:v>13</c:v>
                </c:pt>
                <c:pt idx="99">
                  <c:v>13.005714417142858</c:v>
                </c:pt>
                <c:pt idx="100">
                  <c:v>13.002857208571429</c:v>
                </c:pt>
                <c:pt idx="101">
                  <c:v>13</c:v>
                </c:pt>
                <c:pt idx="102">
                  <c:v>13.01285743857143</c:v>
                </c:pt>
                <c:pt idx="103">
                  <c:v>13.09681579142857</c:v>
                </c:pt>
                <c:pt idx="104">
                  <c:v>13</c:v>
                </c:pt>
                <c:pt idx="105">
                  <c:v>11.774285724285715</c:v>
                </c:pt>
                <c:pt idx="106">
                  <c:v>11.857142857142858</c:v>
                </c:pt>
                <c:pt idx="107">
                  <c:v>18.734285627142857</c:v>
                </c:pt>
                <c:pt idx="108">
                  <c:v>23.390000208571426</c:v>
                </c:pt>
                <c:pt idx="109">
                  <c:v>20.201017107142857</c:v>
                </c:pt>
                <c:pt idx="110">
                  <c:v>15.283185821428571</c:v>
                </c:pt>
                <c:pt idx="111">
                  <c:v>16.564</c:v>
                </c:pt>
                <c:pt idx="112">
                  <c:v>15.852976190476195</c:v>
                </c:pt>
                <c:pt idx="113">
                  <c:v>14.442</c:v>
                </c:pt>
                <c:pt idx="114">
                  <c:v>18.273</c:v>
                </c:pt>
                <c:pt idx="115">
                  <c:v>23.244</c:v>
                </c:pt>
                <c:pt idx="116">
                  <c:v>23.143392837142859</c:v>
                </c:pt>
                <c:pt idx="117">
                  <c:v>19.16</c:v>
                </c:pt>
                <c:pt idx="118">
                  <c:v>14.377143042857142</c:v>
                </c:pt>
                <c:pt idx="119">
                  <c:v>12.36</c:v>
                </c:pt>
                <c:pt idx="120">
                  <c:v>13.4</c:v>
                </c:pt>
                <c:pt idx="121">
                  <c:v>12.785805702857145</c:v>
                </c:pt>
                <c:pt idx="122">
                  <c:v>11.328391347142857</c:v>
                </c:pt>
                <c:pt idx="123">
                  <c:v>10.899261474285714</c:v>
                </c:pt>
                <c:pt idx="124">
                  <c:v>11.166911400000002</c:v>
                </c:pt>
                <c:pt idx="125">
                  <c:v>10.57333578442857</c:v>
                </c:pt>
                <c:pt idx="126">
                  <c:v>11.341294289999999</c:v>
                </c:pt>
                <c:pt idx="127">
                  <c:v>11.96411841142857</c:v>
                </c:pt>
                <c:pt idx="128">
                  <c:v>11.79</c:v>
                </c:pt>
                <c:pt idx="129">
                  <c:v>10.93</c:v>
                </c:pt>
                <c:pt idx="130">
                  <c:v>12.51</c:v>
                </c:pt>
                <c:pt idx="131">
                  <c:v>12.3</c:v>
                </c:pt>
                <c:pt idx="132">
                  <c:v>12.245714285714286</c:v>
                </c:pt>
                <c:pt idx="133">
                  <c:v>10.995952741142858</c:v>
                </c:pt>
                <c:pt idx="134">
                  <c:v>13.18</c:v>
                </c:pt>
                <c:pt idx="135">
                  <c:v>10.850328444285712</c:v>
                </c:pt>
                <c:pt idx="136">
                  <c:v>10.84</c:v>
                </c:pt>
                <c:pt idx="137">
                  <c:v>10.534582955714285</c:v>
                </c:pt>
                <c:pt idx="138">
                  <c:v>10.92</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'13.Caudales'!$N$4:$O$142</c:f>
              <c:multiLvlStrCache>
                <c:ptCount val="13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0">
                    <c:v>39</c:v>
                  </c:pt>
                  <c:pt idx="94">
                    <c:v>43</c:v>
                  </c:pt>
                  <c:pt idx="99">
                    <c:v>48</c:v>
                  </c:pt>
                  <c:pt idx="103">
                    <c:v>52</c:v>
                  </c:pt>
                  <c:pt idx="104">
                    <c:v>1</c:v>
                  </c:pt>
                  <c:pt idx="107">
                    <c:v>4</c:v>
                  </c:pt>
                  <c:pt idx="111">
                    <c:v>8</c:v>
                  </c:pt>
                  <c:pt idx="115">
                    <c:v>12</c:v>
                  </c:pt>
                  <c:pt idx="119">
                    <c:v>16</c:v>
                  </c:pt>
                  <c:pt idx="123">
                    <c:v>20</c:v>
                  </c:pt>
                  <c:pt idx="127">
                    <c:v>24</c:v>
                  </c:pt>
                  <c:pt idx="131">
                    <c:v>28</c:v>
                  </c:pt>
                  <c:pt idx="135">
                    <c:v>32</c:v>
                  </c:pt>
                  <c:pt idx="138">
                    <c:v>35</c:v>
                  </c:pt>
                </c:lvl>
                <c:lvl>
                  <c:pt idx="0">
                    <c:v>2016</c:v>
                  </c:pt>
                  <c:pt idx="52">
                    <c:v>2017</c:v>
                  </c:pt>
                  <c:pt idx="104">
                    <c:v>2018</c:v>
                  </c:pt>
                </c:lvl>
              </c:multiLvlStrCache>
            </c:multiLvlStrRef>
          </c:cat>
          <c:val>
            <c:numRef>
              <c:f>'13.Caudales'!$W$4:$W$142</c:f>
              <c:numCache>
                <c:formatCode>0.0</c:formatCode>
                <c:ptCount val="139"/>
                <c:pt idx="0">
                  <c:v>1.23</c:v>
                </c:pt>
                <c:pt idx="1">
                  <c:v>1.18</c:v>
                </c:pt>
                <c:pt idx="2">
                  <c:v>1.2529999999999999</c:v>
                </c:pt>
                <c:pt idx="3">
                  <c:v>1.22</c:v>
                </c:pt>
                <c:pt idx="4">
                  <c:v>1.17</c:v>
                </c:pt>
                <c:pt idx="5">
                  <c:v>0.82</c:v>
                </c:pt>
                <c:pt idx="6">
                  <c:v>1.59</c:v>
                </c:pt>
                <c:pt idx="7">
                  <c:v>14.62</c:v>
                </c:pt>
                <c:pt idx="8">
                  <c:v>7.4597144130000004</c:v>
                </c:pt>
                <c:pt idx="9">
                  <c:v>2.1815714495522598</c:v>
                </c:pt>
                <c:pt idx="10">
                  <c:v>1.7041428429739771</c:v>
                </c:pt>
                <c:pt idx="11">
                  <c:v>1.2444285835538544</c:v>
                </c:pt>
                <c:pt idx="12">
                  <c:v>1.0199999809265099</c:v>
                </c:pt>
                <c:pt idx="13">
                  <c:v>1.3691428899764975</c:v>
                </c:pt>
                <c:pt idx="14">
                  <c:v>1.6558571543012313</c:v>
                </c:pt>
                <c:pt idx="15">
                  <c:v>1.27</c:v>
                </c:pt>
                <c:pt idx="16">
                  <c:v>1.7342857122421229</c:v>
                </c:pt>
                <c:pt idx="17">
                  <c:v>1.4345714194433998</c:v>
                </c:pt>
                <c:pt idx="18">
                  <c:v>1.3051428794860784</c:v>
                </c:pt>
                <c:pt idx="19">
                  <c:v>1.6</c:v>
                </c:pt>
                <c:pt idx="20">
                  <c:v>1.2349999972752113</c:v>
                </c:pt>
                <c:pt idx="21">
                  <c:v>1.52</c:v>
                </c:pt>
                <c:pt idx="22">
                  <c:v>1.55</c:v>
                </c:pt>
                <c:pt idx="23">
                  <c:v>1.6</c:v>
                </c:pt>
                <c:pt idx="24">
                  <c:v>1.254714302</c:v>
                </c:pt>
                <c:pt idx="25">
                  <c:v>1.4324285809999999</c:v>
                </c:pt>
                <c:pt idx="26">
                  <c:v>1.455999987</c:v>
                </c:pt>
                <c:pt idx="27">
                  <c:v>1.5508571609999999</c:v>
                </c:pt>
                <c:pt idx="28">
                  <c:v>2.1035714489999999</c:v>
                </c:pt>
                <c:pt idx="29">
                  <c:v>1.8491428750000001</c:v>
                </c:pt>
                <c:pt idx="30">
                  <c:v>1.8019999946866672</c:v>
                </c:pt>
                <c:pt idx="31">
                  <c:v>1.2214285650000001</c:v>
                </c:pt>
                <c:pt idx="32">
                  <c:v>1.3032857349940685</c:v>
                </c:pt>
                <c:pt idx="33">
                  <c:v>1.2842857160000001</c:v>
                </c:pt>
                <c:pt idx="34">
                  <c:v>1.5979999810000001</c:v>
                </c:pt>
                <c:pt idx="35">
                  <c:v>1.63</c:v>
                </c:pt>
                <c:pt idx="36">
                  <c:v>1.59</c:v>
                </c:pt>
                <c:pt idx="37">
                  <c:v>1.5402856890000001</c:v>
                </c:pt>
                <c:pt idx="38">
                  <c:v>1.32</c:v>
                </c:pt>
                <c:pt idx="39">
                  <c:v>1.3828571522857145</c:v>
                </c:pt>
                <c:pt idx="40">
                  <c:v>1.3182857036590543</c:v>
                </c:pt>
                <c:pt idx="41">
                  <c:v>1.2221428497142859</c:v>
                </c:pt>
                <c:pt idx="42">
                  <c:v>1.35</c:v>
                </c:pt>
                <c:pt idx="43">
                  <c:v>1.47</c:v>
                </c:pt>
                <c:pt idx="44">
                  <c:v>1.42</c:v>
                </c:pt>
                <c:pt idx="45">
                  <c:v>1.38</c:v>
                </c:pt>
                <c:pt idx="46">
                  <c:v>1.63</c:v>
                </c:pt>
                <c:pt idx="47">
                  <c:v>1.6007142748571428</c:v>
                </c:pt>
                <c:pt idx="48">
                  <c:v>1.1200000000000001</c:v>
                </c:pt>
                <c:pt idx="49">
                  <c:v>1.1399999999999999</c:v>
                </c:pt>
                <c:pt idx="50">
                  <c:v>1.37</c:v>
                </c:pt>
                <c:pt idx="51">
                  <c:v>1.53</c:v>
                </c:pt>
                <c:pt idx="52">
                  <c:v>3.28</c:v>
                </c:pt>
                <c:pt idx="53">
                  <c:v>6.45</c:v>
                </c:pt>
                <c:pt idx="54">
                  <c:v>9.0500000000000007</c:v>
                </c:pt>
                <c:pt idx="55">
                  <c:v>2.4300000000000002</c:v>
                </c:pt>
                <c:pt idx="56">
                  <c:v>2.87</c:v>
                </c:pt>
                <c:pt idx="57">
                  <c:v>3.01</c:v>
                </c:pt>
                <c:pt idx="58">
                  <c:v>2.88</c:v>
                </c:pt>
                <c:pt idx="59">
                  <c:v>2.0699999999999998</c:v>
                </c:pt>
                <c:pt idx="60">
                  <c:v>7.33</c:v>
                </c:pt>
                <c:pt idx="61">
                  <c:v>3.71</c:v>
                </c:pt>
                <c:pt idx="62">
                  <c:v>8.66</c:v>
                </c:pt>
                <c:pt idx="63">
                  <c:v>5.63</c:v>
                </c:pt>
                <c:pt idx="64">
                  <c:v>5.83</c:v>
                </c:pt>
                <c:pt idx="65">
                  <c:v>4.95</c:v>
                </c:pt>
                <c:pt idx="66">
                  <c:v>1.82</c:v>
                </c:pt>
                <c:pt idx="67">
                  <c:v>2.33</c:v>
                </c:pt>
                <c:pt idx="68">
                  <c:v>1.9</c:v>
                </c:pt>
                <c:pt idx="69">
                  <c:v>1.46</c:v>
                </c:pt>
                <c:pt idx="70">
                  <c:v>1.36</c:v>
                </c:pt>
                <c:pt idx="71">
                  <c:v>1.98</c:v>
                </c:pt>
                <c:pt idx="72">
                  <c:v>1.6</c:v>
                </c:pt>
                <c:pt idx="73">
                  <c:v>1.01</c:v>
                </c:pt>
                <c:pt idx="74">
                  <c:v>1.82</c:v>
                </c:pt>
                <c:pt idx="75">
                  <c:v>1.89</c:v>
                </c:pt>
                <c:pt idx="76">
                  <c:v>1.77</c:v>
                </c:pt>
                <c:pt idx="77">
                  <c:v>1.86</c:v>
                </c:pt>
                <c:pt idx="78">
                  <c:v>1.9</c:v>
                </c:pt>
                <c:pt idx="79">
                  <c:v>1.65</c:v>
                </c:pt>
                <c:pt idx="80">
                  <c:v>1.79</c:v>
                </c:pt>
                <c:pt idx="81">
                  <c:v>1.64</c:v>
                </c:pt>
                <c:pt idx="82">
                  <c:v>1.87</c:v>
                </c:pt>
                <c:pt idx="83">
                  <c:v>1.95</c:v>
                </c:pt>
                <c:pt idx="84">
                  <c:v>1.82</c:v>
                </c:pt>
                <c:pt idx="85">
                  <c:v>1.89</c:v>
                </c:pt>
                <c:pt idx="86">
                  <c:v>1.97</c:v>
                </c:pt>
                <c:pt idx="87">
                  <c:v>1.76</c:v>
                </c:pt>
                <c:pt idx="88">
                  <c:v>1.7</c:v>
                </c:pt>
                <c:pt idx="89">
                  <c:v>1.77</c:v>
                </c:pt>
                <c:pt idx="90">
                  <c:v>1.99</c:v>
                </c:pt>
                <c:pt idx="91">
                  <c:v>1.48</c:v>
                </c:pt>
                <c:pt idx="92">
                  <c:v>1.53</c:v>
                </c:pt>
                <c:pt idx="93">
                  <c:v>1.93</c:v>
                </c:pt>
                <c:pt idx="94">
                  <c:v>1.69</c:v>
                </c:pt>
                <c:pt idx="95">
                  <c:v>1.65</c:v>
                </c:pt>
                <c:pt idx="96">
                  <c:v>1.51</c:v>
                </c:pt>
                <c:pt idx="97">
                  <c:v>1.65</c:v>
                </c:pt>
                <c:pt idx="98">
                  <c:v>1.6</c:v>
                </c:pt>
                <c:pt idx="99">
                  <c:v>1.6</c:v>
                </c:pt>
                <c:pt idx="100">
                  <c:v>1.6</c:v>
                </c:pt>
                <c:pt idx="101">
                  <c:v>1.6000000240000001</c:v>
                </c:pt>
                <c:pt idx="102">
                  <c:v>1.6257142851428572</c:v>
                </c:pt>
                <c:pt idx="103">
                  <c:v>1.644999981</c:v>
                </c:pt>
                <c:pt idx="104">
                  <c:v>1.64</c:v>
                </c:pt>
                <c:pt idx="105">
                  <c:v>1.5914286031428568</c:v>
                </c:pt>
                <c:pt idx="106">
                  <c:v>1.5814286125714285</c:v>
                </c:pt>
                <c:pt idx="107">
                  <c:v>1.5700000519999997</c:v>
                </c:pt>
                <c:pt idx="108">
                  <c:v>1.5700000519999997</c:v>
                </c:pt>
                <c:pt idx="109">
                  <c:v>2.3694285491428571</c:v>
                </c:pt>
                <c:pt idx="110">
                  <c:v>3.1689999100000001</c:v>
                </c:pt>
                <c:pt idx="111">
                  <c:v>3.16</c:v>
                </c:pt>
                <c:pt idx="112">
                  <c:v>3.1689999100000001</c:v>
                </c:pt>
                <c:pt idx="113">
                  <c:v>4.7437142644285712</c:v>
                </c:pt>
                <c:pt idx="114">
                  <c:v>3.0879999738571429</c:v>
                </c:pt>
                <c:pt idx="115">
                  <c:v>4.5095714328571432</c:v>
                </c:pt>
                <c:pt idx="116">
                  <c:v>3.3929999999999998</c:v>
                </c:pt>
                <c:pt idx="117">
                  <c:v>1.736</c:v>
                </c:pt>
                <c:pt idx="118">
                  <c:v>1.8612856864285716</c:v>
                </c:pt>
                <c:pt idx="119">
                  <c:v>1.9</c:v>
                </c:pt>
                <c:pt idx="120">
                  <c:v>1.7940000124285713</c:v>
                </c:pt>
                <c:pt idx="121">
                  <c:v>2.3024285860000004</c:v>
                </c:pt>
                <c:pt idx="122">
                  <c:v>1.8057142665714285</c:v>
                </c:pt>
                <c:pt idx="123">
                  <c:v>1.7767143248571429</c:v>
                </c:pt>
                <c:pt idx="124">
                  <c:v>1.8437143055714282</c:v>
                </c:pt>
                <c:pt idx="125">
                  <c:v>1.8770000252857142</c:v>
                </c:pt>
                <c:pt idx="126">
                  <c:v>1.7928571701428571</c:v>
                </c:pt>
                <c:pt idx="127">
                  <c:v>2.0252857377142854</c:v>
                </c:pt>
                <c:pt idx="128">
                  <c:v>2.0514285564285717</c:v>
                </c:pt>
                <c:pt idx="129">
                  <c:v>2.1038571597142854</c:v>
                </c:pt>
                <c:pt idx="130">
                  <c:v>2.0499999999999998</c:v>
                </c:pt>
                <c:pt idx="131">
                  <c:v>2.2505714212857142</c:v>
                </c:pt>
                <c:pt idx="132">
                  <c:v>1.9771428571428571</c:v>
                </c:pt>
                <c:pt idx="133">
                  <c:v>2.2859999964285715</c:v>
                </c:pt>
                <c:pt idx="134">
                  <c:v>2</c:v>
                </c:pt>
                <c:pt idx="135">
                  <c:v>2.0667142697142857</c:v>
                </c:pt>
                <c:pt idx="136">
                  <c:v>2.0499999999999998</c:v>
                </c:pt>
                <c:pt idx="137">
                  <c:v>1.8788571358571429</c:v>
                </c:pt>
                <c:pt idx="138">
                  <c:v>1.88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'13.Caudales'!$Y$4:$Y$142</c:f>
              <c:numCache>
                <c:formatCode>0.0</c:formatCode>
                <c:ptCount val="139"/>
                <c:pt idx="0">
                  <c:v>37.270000000000003</c:v>
                </c:pt>
                <c:pt idx="1">
                  <c:v>53.34</c:v>
                </c:pt>
                <c:pt idx="2">
                  <c:v>76.69</c:v>
                </c:pt>
                <c:pt idx="3">
                  <c:v>40.92</c:v>
                </c:pt>
                <c:pt idx="4">
                  <c:v>58.97</c:v>
                </c:pt>
                <c:pt idx="5">
                  <c:v>80.41</c:v>
                </c:pt>
                <c:pt idx="6">
                  <c:v>53.36</c:v>
                </c:pt>
                <c:pt idx="7">
                  <c:v>65.55</c:v>
                </c:pt>
                <c:pt idx="8">
                  <c:v>72.96314185</c:v>
                </c:pt>
                <c:pt idx="9">
                  <c:v>47.002858298165428</c:v>
                </c:pt>
                <c:pt idx="10">
                  <c:v>42.29</c:v>
                </c:pt>
                <c:pt idx="11">
                  <c:v>24.915714263915959</c:v>
                </c:pt>
                <c:pt idx="12">
                  <c:v>24.159999847412099</c:v>
                </c:pt>
                <c:pt idx="13">
                  <c:v>22.646999904087572</c:v>
                </c:pt>
                <c:pt idx="14">
                  <c:v>22.742571422031897</c:v>
                </c:pt>
                <c:pt idx="15">
                  <c:v>23.21</c:v>
                </c:pt>
                <c:pt idx="16">
                  <c:v>19.724285806928286</c:v>
                </c:pt>
                <c:pt idx="17">
                  <c:v>14.075714383806471</c:v>
                </c:pt>
                <c:pt idx="18">
                  <c:v>12.797142846243686</c:v>
                </c:pt>
                <c:pt idx="19">
                  <c:v>12.9</c:v>
                </c:pt>
                <c:pt idx="20">
                  <c:v>11.968571390424414</c:v>
                </c:pt>
                <c:pt idx="21">
                  <c:v>9.89</c:v>
                </c:pt>
                <c:pt idx="22">
                  <c:v>8.57</c:v>
                </c:pt>
                <c:pt idx="23">
                  <c:v>9.6</c:v>
                </c:pt>
                <c:pt idx="24">
                  <c:v>7.91285726</c:v>
                </c:pt>
                <c:pt idx="25">
                  <c:v>8.911428656</c:v>
                </c:pt>
                <c:pt idx="26">
                  <c:v>7.2057142259999996</c:v>
                </c:pt>
                <c:pt idx="27">
                  <c:v>9.9999998639999994</c:v>
                </c:pt>
                <c:pt idx="28">
                  <c:v>6.7128572460000004</c:v>
                </c:pt>
                <c:pt idx="29">
                  <c:v>6.0797142300000004</c:v>
                </c:pt>
                <c:pt idx="30">
                  <c:v>4.9059999329703157</c:v>
                </c:pt>
                <c:pt idx="31">
                  <c:v>4.0242800000000001</c:v>
                </c:pt>
                <c:pt idx="32">
                  <c:v>4.354285752</c:v>
                </c:pt>
                <c:pt idx="33">
                  <c:v>4.3511429509999999</c:v>
                </c:pt>
                <c:pt idx="34">
                  <c:v>5.3042856629999999</c:v>
                </c:pt>
                <c:pt idx="35">
                  <c:v>7.46</c:v>
                </c:pt>
                <c:pt idx="36">
                  <c:v>7.79</c:v>
                </c:pt>
                <c:pt idx="37">
                  <c:v>8.5442856379999998</c:v>
                </c:pt>
                <c:pt idx="38">
                  <c:v>6.81</c:v>
                </c:pt>
                <c:pt idx="39">
                  <c:v>6.2752857208571422</c:v>
                </c:pt>
                <c:pt idx="40">
                  <c:v>9.9285714966910028</c:v>
                </c:pt>
                <c:pt idx="41">
                  <c:v>9.6800000322857152</c:v>
                </c:pt>
                <c:pt idx="42">
                  <c:v>10.33</c:v>
                </c:pt>
                <c:pt idx="43">
                  <c:v>11.29</c:v>
                </c:pt>
                <c:pt idx="44">
                  <c:v>9</c:v>
                </c:pt>
                <c:pt idx="45">
                  <c:v>8.81</c:v>
                </c:pt>
                <c:pt idx="46">
                  <c:v>9.3542860000000001</c:v>
                </c:pt>
                <c:pt idx="47">
                  <c:v>14.194285802</c:v>
                </c:pt>
                <c:pt idx="48">
                  <c:v>22.62</c:v>
                </c:pt>
                <c:pt idx="49">
                  <c:v>22.62</c:v>
                </c:pt>
                <c:pt idx="50">
                  <c:v>17.489999999999998</c:v>
                </c:pt>
                <c:pt idx="51">
                  <c:v>18.608285904285712</c:v>
                </c:pt>
                <c:pt idx="52">
                  <c:v>25.43</c:v>
                </c:pt>
                <c:pt idx="53">
                  <c:v>55.67</c:v>
                </c:pt>
                <c:pt idx="54">
                  <c:v>58.31</c:v>
                </c:pt>
                <c:pt idx="55">
                  <c:v>47.49</c:v>
                </c:pt>
                <c:pt idx="56">
                  <c:v>45.46</c:v>
                </c:pt>
                <c:pt idx="57">
                  <c:v>28.56</c:v>
                </c:pt>
                <c:pt idx="58">
                  <c:v>25.04</c:v>
                </c:pt>
                <c:pt idx="59">
                  <c:v>58.84</c:v>
                </c:pt>
                <c:pt idx="60">
                  <c:v>102.26</c:v>
                </c:pt>
                <c:pt idx="61">
                  <c:v>83.74</c:v>
                </c:pt>
                <c:pt idx="62">
                  <c:v>62.42</c:v>
                </c:pt>
                <c:pt idx="63">
                  <c:v>52.01</c:v>
                </c:pt>
                <c:pt idx="64">
                  <c:v>65.430000000000007</c:v>
                </c:pt>
                <c:pt idx="65">
                  <c:v>71.06</c:v>
                </c:pt>
                <c:pt idx="66">
                  <c:v>77.099999999999994</c:v>
                </c:pt>
                <c:pt idx="67">
                  <c:v>48.77</c:v>
                </c:pt>
                <c:pt idx="68">
                  <c:v>34.409999999999997</c:v>
                </c:pt>
                <c:pt idx="69">
                  <c:v>28.8</c:v>
                </c:pt>
                <c:pt idx="70">
                  <c:v>22.78</c:v>
                </c:pt>
                <c:pt idx="71">
                  <c:v>17.8</c:v>
                </c:pt>
                <c:pt idx="72">
                  <c:v>17.84</c:v>
                </c:pt>
                <c:pt idx="73">
                  <c:v>16.37</c:v>
                </c:pt>
                <c:pt idx="74">
                  <c:v>13.15</c:v>
                </c:pt>
                <c:pt idx="75">
                  <c:v>10.85</c:v>
                </c:pt>
                <c:pt idx="76">
                  <c:v>8.98</c:v>
                </c:pt>
                <c:pt idx="77">
                  <c:v>9.41</c:v>
                </c:pt>
                <c:pt idx="78">
                  <c:v>8.58</c:v>
                </c:pt>
                <c:pt idx="79">
                  <c:v>6.64</c:v>
                </c:pt>
                <c:pt idx="80">
                  <c:v>6.49</c:v>
                </c:pt>
                <c:pt idx="81">
                  <c:v>6.15</c:v>
                </c:pt>
                <c:pt idx="82">
                  <c:v>5.51</c:v>
                </c:pt>
                <c:pt idx="83">
                  <c:v>5.16</c:v>
                </c:pt>
                <c:pt idx="84">
                  <c:v>5.27</c:v>
                </c:pt>
                <c:pt idx="85">
                  <c:v>5.0599999999999996</c:v>
                </c:pt>
                <c:pt idx="86">
                  <c:v>4.84</c:v>
                </c:pt>
                <c:pt idx="87">
                  <c:v>4.8899999999999997</c:v>
                </c:pt>
                <c:pt idx="88">
                  <c:v>8.4</c:v>
                </c:pt>
                <c:pt idx="89">
                  <c:v>6.42</c:v>
                </c:pt>
                <c:pt idx="90">
                  <c:v>7.98</c:v>
                </c:pt>
                <c:pt idx="91">
                  <c:v>5.32</c:v>
                </c:pt>
                <c:pt idx="92">
                  <c:v>4.95</c:v>
                </c:pt>
                <c:pt idx="93">
                  <c:v>7.39</c:v>
                </c:pt>
                <c:pt idx="94">
                  <c:v>6.18</c:v>
                </c:pt>
                <c:pt idx="95">
                  <c:v>8.7899999999999991</c:v>
                </c:pt>
                <c:pt idx="96">
                  <c:v>11.45</c:v>
                </c:pt>
                <c:pt idx="97">
                  <c:v>14.58</c:v>
                </c:pt>
                <c:pt idx="98">
                  <c:v>12.14</c:v>
                </c:pt>
                <c:pt idx="99">
                  <c:v>12.516714369142859</c:v>
                </c:pt>
                <c:pt idx="100">
                  <c:v>18.826999800000003</c:v>
                </c:pt>
                <c:pt idx="101">
                  <c:v>20.280285972857143</c:v>
                </c:pt>
                <c:pt idx="102">
                  <c:v>34.849000112857141</c:v>
                </c:pt>
                <c:pt idx="103">
                  <c:v>35.335714887142856</c:v>
                </c:pt>
                <c:pt idx="104">
                  <c:v>63.23</c:v>
                </c:pt>
                <c:pt idx="105">
                  <c:v>56.654285431428562</c:v>
                </c:pt>
                <c:pt idx="106">
                  <c:v>68.516428267142857</c:v>
                </c:pt>
                <c:pt idx="107">
                  <c:v>58.935427530000005</c:v>
                </c:pt>
                <c:pt idx="108">
                  <c:v>45.332857951428579</c:v>
                </c:pt>
                <c:pt idx="109">
                  <c:v>65.987571171428584</c:v>
                </c:pt>
                <c:pt idx="110">
                  <c:v>97.722999031428586</c:v>
                </c:pt>
                <c:pt idx="111">
                  <c:v>142.13</c:v>
                </c:pt>
                <c:pt idx="112">
                  <c:v>142.13857270714286</c:v>
                </c:pt>
                <c:pt idx="113">
                  <c:v>72.30971418</c:v>
                </c:pt>
                <c:pt idx="114">
                  <c:v>119.7894287057143</c:v>
                </c:pt>
                <c:pt idx="115">
                  <c:v>152.80443028571429</c:v>
                </c:pt>
                <c:pt idx="116">
                  <c:v>107.32928468714286</c:v>
                </c:pt>
                <c:pt idx="117">
                  <c:v>80.936570849999995</c:v>
                </c:pt>
                <c:pt idx="118">
                  <c:v>42.693143572857146</c:v>
                </c:pt>
                <c:pt idx="119">
                  <c:v>33.717142651428574</c:v>
                </c:pt>
                <c:pt idx="120">
                  <c:v>27.06</c:v>
                </c:pt>
                <c:pt idx="121">
                  <c:v>22.269714081428571</c:v>
                </c:pt>
                <c:pt idx="122">
                  <c:v>17.565999711428571</c:v>
                </c:pt>
                <c:pt idx="123">
                  <c:v>14.502285821428572</c:v>
                </c:pt>
                <c:pt idx="124">
                  <c:v>12.214999879999999</c:v>
                </c:pt>
                <c:pt idx="125">
                  <c:v>10.894571441428569</c:v>
                </c:pt>
                <c:pt idx="126">
                  <c:v>13.860571451428571</c:v>
                </c:pt>
                <c:pt idx="127">
                  <c:v>13.392856871428572</c:v>
                </c:pt>
                <c:pt idx="128">
                  <c:v>10.749428476857142</c:v>
                </c:pt>
                <c:pt idx="129">
                  <c:v>9.1145714351428584</c:v>
                </c:pt>
                <c:pt idx="130">
                  <c:v>7.6487142698571438</c:v>
                </c:pt>
                <c:pt idx="131">
                  <c:v>7.0544285774285713</c:v>
                </c:pt>
                <c:pt idx="132">
                  <c:v>6.3400000000000007</c:v>
                </c:pt>
                <c:pt idx="133">
                  <c:v>9.4385714285714304</c:v>
                </c:pt>
                <c:pt idx="134">
                  <c:v>8.5770238095238049</c:v>
                </c:pt>
                <c:pt idx="135">
                  <c:v>9.7962856299999999</c:v>
                </c:pt>
                <c:pt idx="136">
                  <c:v>8.7822855541428577</c:v>
                </c:pt>
                <c:pt idx="137">
                  <c:v>11.383714402571428</c:v>
                </c:pt>
                <c:pt idx="138">
                  <c:v>7.88</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circle"/>
            <c:size val="3"/>
            <c:spPr>
              <a:solidFill>
                <a:schemeClr val="bg1"/>
              </a:solidFill>
              <a:ln w="0">
                <a:solidFill>
                  <a:srgbClr val="002060"/>
                </a:solidFill>
                <a:prstDash val="solid"/>
              </a:ln>
            </c:spPr>
          </c:marker>
          <c:val>
            <c:numRef>
              <c:f>'13.Caudales'!$X$4:$X$142</c:f>
              <c:numCache>
                <c:formatCode>0.0</c:formatCode>
                <c:ptCount val="139"/>
                <c:pt idx="0">
                  <c:v>109.19</c:v>
                </c:pt>
                <c:pt idx="1">
                  <c:v>177.91</c:v>
                </c:pt>
                <c:pt idx="2">
                  <c:v>248.28</c:v>
                </c:pt>
                <c:pt idx="3">
                  <c:v>142.55000000000001</c:v>
                </c:pt>
                <c:pt idx="4">
                  <c:v>251.59399999999999</c:v>
                </c:pt>
                <c:pt idx="5">
                  <c:v>388.05428210000002</c:v>
                </c:pt>
                <c:pt idx="6">
                  <c:v>283.21000240000001</c:v>
                </c:pt>
                <c:pt idx="7">
                  <c:v>414.29357470000002</c:v>
                </c:pt>
                <c:pt idx="8">
                  <c:v>382.60643219999997</c:v>
                </c:pt>
                <c:pt idx="9">
                  <c:v>245.78571646554084</c:v>
                </c:pt>
                <c:pt idx="10">
                  <c:v>239.62</c:v>
                </c:pt>
                <c:pt idx="11">
                  <c:v>150.27357046944684</c:v>
                </c:pt>
                <c:pt idx="12">
                  <c:v>116.33999633789</c:v>
                </c:pt>
                <c:pt idx="13">
                  <c:v>126.18428475516127</c:v>
                </c:pt>
                <c:pt idx="14">
                  <c:v>140.54571315220355</c:v>
                </c:pt>
                <c:pt idx="15">
                  <c:v>141.29</c:v>
                </c:pt>
                <c:pt idx="16">
                  <c:v>105.73500061035119</c:v>
                </c:pt>
                <c:pt idx="17">
                  <c:v>72.620000566754968</c:v>
                </c:pt>
                <c:pt idx="18">
                  <c:v>60.497857775006928</c:v>
                </c:pt>
                <c:pt idx="19">
                  <c:v>56.6</c:v>
                </c:pt>
                <c:pt idx="20">
                  <c:v>52.17071369716097</c:v>
                </c:pt>
                <c:pt idx="21">
                  <c:v>46.88</c:v>
                </c:pt>
                <c:pt idx="22">
                  <c:v>43.39</c:v>
                </c:pt>
                <c:pt idx="23">
                  <c:v>40.28</c:v>
                </c:pt>
                <c:pt idx="24">
                  <c:v>37.560714179999998</c:v>
                </c:pt>
                <c:pt idx="25">
                  <c:v>37.759999409999999</c:v>
                </c:pt>
                <c:pt idx="26">
                  <c:v>35.967143470000003</c:v>
                </c:pt>
                <c:pt idx="27">
                  <c:v>47.66357095</c:v>
                </c:pt>
                <c:pt idx="28">
                  <c:v>44.25</c:v>
                </c:pt>
                <c:pt idx="29">
                  <c:v>42.498571668352326</c:v>
                </c:pt>
                <c:pt idx="30">
                  <c:v>39.98428617204933</c:v>
                </c:pt>
                <c:pt idx="31">
                  <c:v>36.654999320000002</c:v>
                </c:pt>
                <c:pt idx="32">
                  <c:v>35.152857099999999</c:v>
                </c:pt>
                <c:pt idx="33">
                  <c:v>34.115715029999997</c:v>
                </c:pt>
                <c:pt idx="34">
                  <c:v>30.92</c:v>
                </c:pt>
                <c:pt idx="35">
                  <c:v>30.922143120000001</c:v>
                </c:pt>
                <c:pt idx="36">
                  <c:v>29.33</c:v>
                </c:pt>
                <c:pt idx="37">
                  <c:v>34.179286410000003</c:v>
                </c:pt>
                <c:pt idx="38">
                  <c:v>38.82</c:v>
                </c:pt>
                <c:pt idx="39">
                  <c:v>43.879284992857151</c:v>
                </c:pt>
                <c:pt idx="40">
                  <c:v>45.627857753208637</c:v>
                </c:pt>
                <c:pt idx="41">
                  <c:v>52.615000045714282</c:v>
                </c:pt>
                <c:pt idx="42">
                  <c:v>50.71</c:v>
                </c:pt>
                <c:pt idx="43">
                  <c:v>48.41</c:v>
                </c:pt>
                <c:pt idx="44">
                  <c:v>47.24</c:v>
                </c:pt>
                <c:pt idx="45">
                  <c:v>40.61</c:v>
                </c:pt>
                <c:pt idx="46">
                  <c:v>41.625</c:v>
                </c:pt>
                <c:pt idx="47">
                  <c:v>41.014285495714283</c:v>
                </c:pt>
                <c:pt idx="48">
                  <c:v>83.6</c:v>
                </c:pt>
                <c:pt idx="49">
                  <c:v>66.8</c:v>
                </c:pt>
                <c:pt idx="50">
                  <c:v>55.42</c:v>
                </c:pt>
                <c:pt idx="51">
                  <c:v>59.550713675714292</c:v>
                </c:pt>
                <c:pt idx="52">
                  <c:v>89.46</c:v>
                </c:pt>
                <c:pt idx="53">
                  <c:v>178.14</c:v>
                </c:pt>
                <c:pt idx="54">
                  <c:v>174.94</c:v>
                </c:pt>
                <c:pt idx="55">
                  <c:v>141.31</c:v>
                </c:pt>
                <c:pt idx="56">
                  <c:v>123.59</c:v>
                </c:pt>
                <c:pt idx="57">
                  <c:v>85.48</c:v>
                </c:pt>
                <c:pt idx="58">
                  <c:v>100.57</c:v>
                </c:pt>
                <c:pt idx="59">
                  <c:v>163.72999999999999</c:v>
                </c:pt>
                <c:pt idx="60">
                  <c:v>285.31</c:v>
                </c:pt>
                <c:pt idx="61">
                  <c:v>374.33</c:v>
                </c:pt>
                <c:pt idx="62">
                  <c:v>219.86</c:v>
                </c:pt>
                <c:pt idx="63">
                  <c:v>190.11</c:v>
                </c:pt>
                <c:pt idx="64">
                  <c:v>272.08999999999997</c:v>
                </c:pt>
                <c:pt idx="65">
                  <c:v>301.82</c:v>
                </c:pt>
                <c:pt idx="66">
                  <c:v>203.49</c:v>
                </c:pt>
                <c:pt idx="67">
                  <c:v>155.33000000000001</c:v>
                </c:pt>
                <c:pt idx="68">
                  <c:v>111.37</c:v>
                </c:pt>
                <c:pt idx="69">
                  <c:v>117.05</c:v>
                </c:pt>
                <c:pt idx="70">
                  <c:v>79.2</c:v>
                </c:pt>
                <c:pt idx="71">
                  <c:v>69.37</c:v>
                </c:pt>
                <c:pt idx="72">
                  <c:v>68.8</c:v>
                </c:pt>
                <c:pt idx="73">
                  <c:v>69.05</c:v>
                </c:pt>
                <c:pt idx="74">
                  <c:v>54.09</c:v>
                </c:pt>
                <c:pt idx="75">
                  <c:v>45.31</c:v>
                </c:pt>
                <c:pt idx="76">
                  <c:v>40.42</c:v>
                </c:pt>
                <c:pt idx="77">
                  <c:v>37.89</c:v>
                </c:pt>
                <c:pt idx="78">
                  <c:v>38.229999999999997</c:v>
                </c:pt>
                <c:pt idx="79">
                  <c:v>33.9</c:v>
                </c:pt>
                <c:pt idx="80">
                  <c:v>31.97</c:v>
                </c:pt>
                <c:pt idx="81">
                  <c:v>31.76</c:v>
                </c:pt>
                <c:pt idx="82">
                  <c:v>31.68</c:v>
                </c:pt>
                <c:pt idx="83">
                  <c:v>31.01</c:v>
                </c:pt>
                <c:pt idx="84">
                  <c:v>30.23</c:v>
                </c:pt>
                <c:pt idx="85">
                  <c:v>32.17</c:v>
                </c:pt>
                <c:pt idx="86">
                  <c:v>31.63</c:v>
                </c:pt>
                <c:pt idx="87">
                  <c:v>34.090000000000003</c:v>
                </c:pt>
                <c:pt idx="88">
                  <c:v>38.06</c:v>
                </c:pt>
                <c:pt idx="89">
                  <c:v>41.12</c:v>
                </c:pt>
                <c:pt idx="90">
                  <c:v>33.06</c:v>
                </c:pt>
                <c:pt idx="91">
                  <c:v>35.54</c:v>
                </c:pt>
                <c:pt idx="92">
                  <c:v>37.47</c:v>
                </c:pt>
                <c:pt idx="93">
                  <c:v>52.42</c:v>
                </c:pt>
                <c:pt idx="94">
                  <c:v>43.93</c:v>
                </c:pt>
                <c:pt idx="95">
                  <c:v>40.229999999999997</c:v>
                </c:pt>
                <c:pt idx="96">
                  <c:v>41.85</c:v>
                </c:pt>
                <c:pt idx="97">
                  <c:v>70.849999999999994</c:v>
                </c:pt>
                <c:pt idx="98">
                  <c:v>64.819999999999993</c:v>
                </c:pt>
                <c:pt idx="99">
                  <c:v>47.846427917142854</c:v>
                </c:pt>
                <c:pt idx="100">
                  <c:v>57.322143555714298</c:v>
                </c:pt>
                <c:pt idx="101">
                  <c:v>51.470714571428573</c:v>
                </c:pt>
                <c:pt idx="102">
                  <c:v>65.58357184285714</c:v>
                </c:pt>
                <c:pt idx="103">
                  <c:v>104.27285767571428</c:v>
                </c:pt>
                <c:pt idx="104">
                  <c:v>201.2428571428571</c:v>
                </c:pt>
                <c:pt idx="105">
                  <c:v>229.4250030571429</c:v>
                </c:pt>
                <c:pt idx="106">
                  <c:v>261.56357028571426</c:v>
                </c:pt>
                <c:pt idx="107">
                  <c:v>261.98000009999998</c:v>
                </c:pt>
                <c:pt idx="108">
                  <c:v>141.83571514285714</c:v>
                </c:pt>
                <c:pt idx="109">
                  <c:v>164.55714089999998</c:v>
                </c:pt>
                <c:pt idx="110">
                  <c:v>355.31285748571423</c:v>
                </c:pt>
                <c:pt idx="111">
                  <c:v>437.78</c:v>
                </c:pt>
                <c:pt idx="112">
                  <c:v>424.14571271428576</c:v>
                </c:pt>
                <c:pt idx="113">
                  <c:v>293.69142804285718</c:v>
                </c:pt>
                <c:pt idx="114">
                  <c:v>511.54500034285724</c:v>
                </c:pt>
                <c:pt idx="115">
                  <c:v>433.89143152857145</c:v>
                </c:pt>
                <c:pt idx="116">
                  <c:v>281.79928587142859</c:v>
                </c:pt>
                <c:pt idx="117">
                  <c:v>176.23214502857144</c:v>
                </c:pt>
                <c:pt idx="118">
                  <c:v>130.09</c:v>
                </c:pt>
                <c:pt idx="119">
                  <c:v>96.9</c:v>
                </c:pt>
                <c:pt idx="120">
                  <c:v>89.59</c:v>
                </c:pt>
                <c:pt idx="121">
                  <c:v>89.602142331428567</c:v>
                </c:pt>
                <c:pt idx="122">
                  <c:v>75.568572998571426</c:v>
                </c:pt>
                <c:pt idx="123">
                  <c:v>62.208570752857149</c:v>
                </c:pt>
                <c:pt idx="124">
                  <c:v>54.38714218285714</c:v>
                </c:pt>
                <c:pt idx="125">
                  <c:v>48.837857382857138</c:v>
                </c:pt>
                <c:pt idx="126">
                  <c:v>58.175000328571436</c:v>
                </c:pt>
                <c:pt idx="127">
                  <c:v>61.988572801428582</c:v>
                </c:pt>
                <c:pt idx="128">
                  <c:v>51.970714024285719</c:v>
                </c:pt>
                <c:pt idx="129">
                  <c:v>44.390714371428579</c:v>
                </c:pt>
                <c:pt idx="130">
                  <c:v>39.173571994285716</c:v>
                </c:pt>
                <c:pt idx="131">
                  <c:v>36.999285560000011</c:v>
                </c:pt>
                <c:pt idx="132">
                  <c:v>38.677142857142861</c:v>
                </c:pt>
                <c:pt idx="133">
                  <c:v>56.166428702857139</c:v>
                </c:pt>
                <c:pt idx="134">
                  <c:v>50.215000000000003</c:v>
                </c:pt>
                <c:pt idx="135">
                  <c:v>50.460713522857141</c:v>
                </c:pt>
                <c:pt idx="136">
                  <c:v>44.64</c:v>
                </c:pt>
                <c:pt idx="137">
                  <c:v>35.627857751428571</c:v>
                </c:pt>
                <c:pt idx="138">
                  <c:v>32.979999999999997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91419763301439938"/>
              <c:y val="0.92770168283747612"/>
            </c:manualLayout>
          </c:layout>
          <c:overlay val="0"/>
        </c:title>
        <c:numFmt formatCode="General" sourceLinked="1"/>
        <c:majorTickMark val="out"/>
        <c:minorTickMark val="none"/>
        <c:tickLblPos val="nextTo"/>
        <c:crossAx val="351623424"/>
        <c:crosses val="autoZero"/>
        <c:auto val="1"/>
        <c:lblAlgn val="ctr"/>
        <c:lblOffset val="100"/>
        <c:tickLblSkip val="5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0.16908948927484632"/>
          <c:y val="0.15512966001237669"/>
          <c:w val="0.6785949544844444"/>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Julio 2017
INFSGI-MES-07-2017
10/08/2017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CAJAMARCA 220</c:v>
                </c:pt>
                <c:pt idx="3">
                  <c:v>TRUJILLO 220</c:v>
                </c:pt>
                <c:pt idx="4">
                  <c:v>CHIMBOTE1 138</c:v>
                </c:pt>
              </c:strCache>
            </c:strRef>
          </c:cat>
          <c:val>
            <c:numRef>
              <c:f>'14. CMg'!$C$9:$G$9</c:f>
              <c:numCache>
                <c:formatCode>0.00</c:formatCode>
                <c:ptCount val="5"/>
                <c:pt idx="0">
                  <c:v>15.443938623399994</c:v>
                </c:pt>
                <c:pt idx="1">
                  <c:v>15.328575957773326</c:v>
                </c:pt>
                <c:pt idx="2">
                  <c:v>15.219981892332889</c:v>
                </c:pt>
                <c:pt idx="3">
                  <c:v>15.092317548677247</c:v>
                </c:pt>
                <c:pt idx="4">
                  <c:v>14.995132262465996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SANTA ROSA 220</c:v>
                </c:pt>
                <c:pt idx="1">
                  <c:v>CHAVARRIA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14.615099851775625</c:v>
                </c:pt>
                <c:pt idx="1">
                  <c:v>14.62147023672704</c:v>
                </c:pt>
                <c:pt idx="2">
                  <c:v>14.572844080723495</c:v>
                </c:pt>
                <c:pt idx="3">
                  <c:v>14.527304048926679</c:v>
                </c:pt>
                <c:pt idx="4">
                  <c:v>14.418228728351183</c:v>
                </c:pt>
                <c:pt idx="5">
                  <c:v>14.214349853405809</c:v>
                </c:pt>
                <c:pt idx="6">
                  <c:v>14.105013107080213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AREA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PUNO 138</c:v>
                </c:pt>
                <c:pt idx="2">
                  <c:v>SOCABAYA 220</c:v>
                </c:pt>
                <c:pt idx="3">
                  <c:v>MOQUEGUA 138</c:v>
                </c:pt>
                <c:pt idx="4">
                  <c:v>DOLORESPATA 138</c:v>
                </c:pt>
                <c:pt idx="5">
                  <c:v>SAN GABAN 138</c:v>
                </c:pt>
                <c:pt idx="6">
                  <c:v>COTARUSE 220</c:v>
                </c:pt>
              </c:strCache>
            </c:strRef>
          </c:cat>
          <c:val>
            <c:numRef>
              <c:f>'14. CMg'!$C$46:$I$46</c:f>
              <c:numCache>
                <c:formatCode>0.00</c:formatCode>
                <c:ptCount val="7"/>
                <c:pt idx="0">
                  <c:v>15.412459596317687</c:v>
                </c:pt>
                <c:pt idx="1">
                  <c:v>15.071414866740623</c:v>
                </c:pt>
                <c:pt idx="2">
                  <c:v>14.865367680885146</c:v>
                </c:pt>
                <c:pt idx="3">
                  <c:v>14.823371997406447</c:v>
                </c:pt>
                <c:pt idx="4">
                  <c:v>14.437413073131601</c:v>
                </c:pt>
                <c:pt idx="5">
                  <c:v>14.40147320223406</c:v>
                </c:pt>
                <c:pt idx="6">
                  <c:v>14.333801947009309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3.5913179272011722E-2"/>
          <c:y val="0.1175050040415628"/>
          <c:w val="0.93112961596945032"/>
          <c:h val="0.79909868940686513"/>
        </c:manualLayout>
      </c:layout>
      <c:barChart>
        <c:barDir val="col"/>
        <c:grouping val="clustered"/>
        <c:varyColors val="0"/>
        <c:ser>
          <c:idx val="2"/>
          <c:order val="0"/>
          <c:tx>
            <c:strRef>
              <c:f>'16. Congestiones'!$F$6</c:f>
              <c:strCache>
                <c:ptCount val="1"/>
                <c:pt idx="0">
                  <c:v>AGOSTO
 2016</c:v>
                </c:pt>
              </c:strCache>
            </c:strRef>
          </c:tx>
          <c:spPr>
            <a:solidFill>
              <a:schemeClr val="accent6"/>
            </a:solidFill>
          </c:spPr>
          <c:invertIfNegative val="0"/>
          <c:cat>
            <c:strRef>
              <c:f>'16. Congestiones'!$C$7:$C$15</c:f>
              <c:strCache>
                <c:ptCount val="6"/>
                <c:pt idx="0">
                  <c:v>ENLACE CENTRO - SUR</c:v>
                </c:pt>
                <c:pt idx="1">
                  <c:v>SAN JUAN - SANTA ROSA N.</c:v>
                </c:pt>
                <c:pt idx="2">
                  <c:v>POMACOCHA - SAN JUAN</c:v>
                </c:pt>
                <c:pt idx="3">
                  <c:v>TRUJILLO NORTE - CHIMBOTE 1</c:v>
                </c:pt>
                <c:pt idx="4">
                  <c:v>CHAVARRÍA - VENTANILLA</c:v>
                </c:pt>
                <c:pt idx="5">
                  <c:v>MARCONA</c:v>
                </c:pt>
              </c:strCache>
            </c:strRef>
          </c:cat>
          <c:val>
            <c:numRef>
              <c:f>'16. Congestiones'!$F$7:$F$15</c:f>
              <c:numCache>
                <c:formatCode>#,##0.00</c:formatCode>
                <c:ptCount val="6"/>
                <c:pt idx="0">
                  <c:v>616.38333333333333</c:v>
                </c:pt>
                <c:pt idx="3">
                  <c:v>2.7500000000000009</c:v>
                </c:pt>
                <c:pt idx="4">
                  <c:v>12.849999999999998</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AGOSTO
 2017</c:v>
                </c:pt>
              </c:strCache>
            </c:strRef>
          </c:tx>
          <c:invertIfNegative val="0"/>
          <c:cat>
            <c:strRef>
              <c:f>'16. Congestiones'!$C$7:$C$15</c:f>
              <c:strCache>
                <c:ptCount val="6"/>
                <c:pt idx="0">
                  <c:v>ENLACE CENTRO - SUR</c:v>
                </c:pt>
                <c:pt idx="1">
                  <c:v>SAN JUAN - SANTA ROSA N.</c:v>
                </c:pt>
                <c:pt idx="2">
                  <c:v>POMACOCHA - SAN JUAN</c:v>
                </c:pt>
                <c:pt idx="3">
                  <c:v>TRUJILLO NORTE - CHIMBOTE 1</c:v>
                </c:pt>
                <c:pt idx="4">
                  <c:v>CHAVARRÍA - VENTANILLA</c:v>
                </c:pt>
                <c:pt idx="5">
                  <c:v>MARCONA</c:v>
                </c:pt>
              </c:strCache>
            </c:strRef>
          </c:cat>
          <c:val>
            <c:numRef>
              <c:f>'16. Congestiones'!$E$7:$E$15</c:f>
              <c:numCache>
                <c:formatCode>#,##0.00</c:formatCode>
                <c:ptCount val="6"/>
                <c:pt idx="0">
                  <c:v>728</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AGOSTO
 2018</c:v>
                </c:pt>
              </c:strCache>
            </c:strRef>
          </c:tx>
          <c:invertIfNegative val="0"/>
          <c:cat>
            <c:strRef>
              <c:f>'16. Congestiones'!$C$7:$C$15</c:f>
              <c:strCache>
                <c:ptCount val="6"/>
                <c:pt idx="0">
                  <c:v>ENLACE CENTRO - SUR</c:v>
                </c:pt>
                <c:pt idx="1">
                  <c:v>SAN JUAN - SANTA ROSA N.</c:v>
                </c:pt>
                <c:pt idx="2">
                  <c:v>POMACOCHA - SAN JUAN</c:v>
                </c:pt>
                <c:pt idx="3">
                  <c:v>TRUJILLO NORTE - CHIMBOTE 1</c:v>
                </c:pt>
                <c:pt idx="4">
                  <c:v>CHAVARRÍA - VENTANILLA</c:v>
                </c:pt>
                <c:pt idx="5">
                  <c:v>MARCONA</c:v>
                </c:pt>
              </c:strCache>
            </c:strRef>
          </c:cat>
          <c:val>
            <c:numRef>
              <c:f>'16. Congestiones'!$D$7:$D$15</c:f>
              <c:numCache>
                <c:formatCode>#,##0.00</c:formatCode>
                <c:ptCount val="6"/>
                <c:pt idx="1">
                  <c:v>7.2500000000000009</c:v>
                </c:pt>
                <c:pt idx="2">
                  <c:v>10.466666666666661</c:v>
                </c:pt>
                <c:pt idx="5">
                  <c:v>8.2833333333333314</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3.9859184398062441E-3"/>
              <c:y val="6.277616991279529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5906788488835297"/>
          <c:y val="1.7497032427713666E-2"/>
          <c:w val="0.6652715560880558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Agosto 2018
INFSGI-MES-08-2018
07/08/2018
Versión: 01</c:oddHeader>
    </c:headerFooter>
    <c:pageMargins b="0.75" l="0.7" r="0.7" t="0.75" header="0.3" footer="0.3"/>
    <c:pageSetup orientation="portrait"/>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359459538747166"/>
          <c:y val="0.12872505532273043"/>
          <c:w val="0.57525123234360975"/>
          <c:h val="0.80570103107869762"/>
        </c:manualLayout>
      </c:layout>
      <c:pieChart>
        <c:varyColors val="1"/>
        <c:ser>
          <c:idx val="0"/>
          <c:order val="0"/>
          <c:explosion val="10"/>
          <c:dPt>
            <c:idx val="0"/>
            <c:bubble3D val="0"/>
            <c:spPr>
              <a:solidFill>
                <a:srgbClr val="6DA6D9"/>
              </a:solidFill>
            </c:spPr>
            <c:extLst>
              <c:ext xmlns:c16="http://schemas.microsoft.com/office/drawing/2014/chart" uri="{C3380CC4-5D6E-409C-BE32-E72D297353CC}">
                <c16:uniqueId val="{00000001-E0CC-4AD3-904F-2124A98CD904}"/>
              </c:ext>
            </c:extLst>
          </c:dPt>
          <c:dPt>
            <c:idx val="1"/>
            <c:bubble3D val="0"/>
            <c:explosion val="9"/>
            <c:extLst>
              <c:ext xmlns:c16="http://schemas.microsoft.com/office/drawing/2014/chart" uri="{C3380CC4-5D6E-409C-BE32-E72D297353CC}">
                <c16:uniqueId val="{00000003-E0CC-4AD3-904F-2124A98CD904}"/>
              </c:ext>
            </c:extLst>
          </c:dPt>
          <c:dPt>
            <c:idx val="2"/>
            <c:bubble3D val="0"/>
            <c:spPr>
              <a:solidFill>
                <a:srgbClr val="FF0000"/>
              </a:solidFill>
            </c:spPr>
            <c:extLst>
              <c:ext xmlns:c16="http://schemas.microsoft.com/office/drawing/2014/chart" uri="{C3380CC4-5D6E-409C-BE32-E72D297353CC}">
                <c16:uniqueId val="{00000004-E0CC-4AD3-904F-2124A98CD904}"/>
              </c:ext>
            </c:extLst>
          </c:dPt>
          <c:dLbls>
            <c:dLbl>
              <c:idx val="0"/>
              <c:layout>
                <c:manualLayout>
                  <c:x val="4.7374026295469225E-2"/>
                  <c:y val="-7.282405493340048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3284693861543531"/>
                      <c:h val="0.13577546691592818"/>
                    </c:manualLayout>
                  </c15:layout>
                </c:ext>
                <c:ext xmlns:c16="http://schemas.microsoft.com/office/drawing/2014/chart" uri="{C3380CC4-5D6E-409C-BE32-E72D297353CC}">
                  <c16:uniqueId val="{00000001-E0CC-4AD3-904F-2124A98CD904}"/>
                </c:ext>
              </c:extLst>
            </c:dLbl>
            <c:dLbl>
              <c:idx val="1"/>
              <c:layout>
                <c:manualLayout>
                  <c:x val="0.11997896153289714"/>
                  <c:y val="-9.3233937368863207E-2"/>
                </c:manualLayout>
              </c:layout>
              <c:numFmt formatCode="General" sourceLinked="0"/>
              <c:spPr/>
              <c:txPr>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170500478464"/>
                      <c:h val="0.13577546691592818"/>
                    </c:manualLayout>
                  </c15:layout>
                </c:ext>
                <c:ext xmlns:c16="http://schemas.microsoft.com/office/drawing/2014/chart" uri="{C3380CC4-5D6E-409C-BE32-E72D297353CC}">
                  <c16:uniqueId val="{00000003-E0CC-4AD3-904F-2124A98CD904}"/>
                </c:ext>
              </c:extLst>
            </c:dLbl>
            <c:dLbl>
              <c:idx val="2"/>
              <c:layout>
                <c:manualLayout>
                  <c:x val="9.7362609397414368E-2"/>
                  <c:y val="0.13977138141930429"/>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5310191019520281"/>
                      <c:h val="0.11294646869551149"/>
                    </c:manualLayout>
                  </c15:layout>
                </c:ext>
                <c:ext xmlns:c16="http://schemas.microsoft.com/office/drawing/2014/chart" uri="{C3380CC4-5D6E-409C-BE32-E72D297353CC}">
                  <c16:uniqueId val="{00000004-E0CC-4AD3-904F-2124A98CD904}"/>
                </c:ext>
              </c:extLst>
            </c:dLbl>
            <c:dLbl>
              <c:idx val="3"/>
              <c:layout>
                <c:manualLayout>
                  <c:x val="-6.2155858960347629E-2"/>
                  <c:y val="4.7609709354285726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325113166733774"/>
                      <c:h val="0.15450648019988855"/>
                    </c:manualLayout>
                  </c15:layout>
                </c:ext>
                <c:ext xmlns:c16="http://schemas.microsoft.com/office/drawing/2014/chart" uri="{C3380CC4-5D6E-409C-BE32-E72D297353CC}">
                  <c16:uniqueId val="{00000005-E0CC-4AD3-904F-2124A98CD904}"/>
                </c:ext>
              </c:extLst>
            </c:dLbl>
            <c:dLbl>
              <c:idx val="4"/>
              <c:layout>
                <c:manualLayout>
                  <c:x val="-6.0188545493586917E-2"/>
                  <c:y val="-3.8203360785059495E-2"/>
                </c:manualLayout>
              </c:layout>
              <c:numFmt formatCode="General" sourceLinked="0"/>
              <c:spPr>
                <a:noFill/>
                <a:ln>
                  <a:noFill/>
                </a:ln>
                <a:effectLst/>
              </c:spPr>
              <c:txPr>
                <a:bodyPr wrap="square" lIns="38100" tIns="19050" rIns="38100" bIns="19050" anchor="ctr">
                  <a:noAutofit/>
                </a:bodyPr>
                <a:lstStyle/>
                <a:p>
                  <a:pPr>
                    <a:defRPr sz="600"/>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1624450289431439"/>
                      <c:h val="0.11294646869551149"/>
                    </c:manualLayout>
                  </c15:layout>
                </c:ext>
                <c:ext xmlns:c16="http://schemas.microsoft.com/office/drawing/2014/chart" uri="{C3380CC4-5D6E-409C-BE32-E72D297353CC}">
                  <c16:uniqueId val="{00000006-E0CC-4AD3-904F-2124A98CD904}"/>
                </c:ext>
              </c:extLst>
            </c:dLbl>
            <c:dLbl>
              <c:idx val="5"/>
              <c:layout>
                <c:manualLayout>
                  <c:x val="-6.2575931087254733E-2"/>
                  <c:y val="-1.8465873343998861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4756776495482918"/>
                      <c:h val="0.14718996602613652"/>
                    </c:manualLayout>
                  </c15:layout>
                </c:ext>
                <c:ext xmlns:c16="http://schemas.microsoft.com/office/drawing/2014/chart" uri="{C3380CC4-5D6E-409C-BE32-E72D297353CC}">
                  <c16:uniqueId val="{00000007-E0CC-4AD3-904F-2124A98CD904}"/>
                </c:ext>
              </c:extLst>
            </c:dLbl>
            <c:dLbl>
              <c:idx val="6"/>
              <c:layout>
                <c:manualLayout>
                  <c:x val="8.6243552938674584E-2"/>
                  <c:y val="-3.0152702629828707E-2"/>
                </c:manualLayout>
              </c:layout>
              <c:numFmt formatCode="General" sourceLinked="0"/>
              <c:spPr/>
              <c:txPr>
                <a:bodyPr/>
                <a:lstStyle/>
                <a:p>
                  <a:pPr>
                    <a:defRPr sz="600">
                      <a:solidFill>
                        <a:schemeClr val="tx1"/>
                      </a:solidFill>
                    </a:defRPr>
                  </a:pPr>
                  <a:endParaRPr lang="es-PE"/>
                </a:p>
              </c:txPr>
              <c:showLegendKey val="0"/>
              <c:showVal val="0"/>
              <c:showCatName val="1"/>
              <c:showSerName val="0"/>
              <c:showPercent val="1"/>
              <c:showBubbleSize val="0"/>
              <c:extLst>
                <c:ext xmlns:c15="http://schemas.microsoft.com/office/drawing/2012/chart" uri="{CE6537A1-D6FC-4f65-9D91-7224C49458BB}">
                  <c15:layout>
                    <c:manualLayout>
                      <c:w val="0.12913949706385269"/>
                      <c:h val="0.12436096780571983"/>
                    </c:manualLayout>
                  </c15:layout>
                </c:ext>
                <c:ext xmlns:c16="http://schemas.microsoft.com/office/drawing/2014/chart" uri="{C3380CC4-5D6E-409C-BE32-E72D297353CC}">
                  <c16:uniqueId val="{00000008-E0CC-4AD3-904F-2124A98CD904}"/>
                </c:ext>
              </c:extLst>
            </c:dLbl>
            <c:numFmt formatCode="General" sourceLinked="0"/>
            <c:spPr>
              <a:noFill/>
              <a:ln>
                <a:noFill/>
              </a:ln>
              <a:effectLst/>
            </c:spPr>
            <c:txPr>
              <a:bodyPr wrap="square" lIns="38100" tIns="19050" rIns="38100" bIns="19050" anchor="ctr">
                <a:spAutoFit/>
              </a:bodyPr>
              <a:lstStyle/>
              <a:p>
                <a:pPr>
                  <a:defRPr sz="600"/>
                </a:pPr>
                <a:endParaRPr lang="es-PE"/>
              </a:p>
            </c:txPr>
            <c:showLegendKey val="0"/>
            <c:showVal val="0"/>
            <c:showCatName val="1"/>
            <c:showSerName val="0"/>
            <c:showPercent val="1"/>
            <c:showBubbleSize val="0"/>
            <c:showLeaderLines val="1"/>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9</c:v>
                </c:pt>
                <c:pt idx="1">
                  <c:v>2</c:v>
                </c:pt>
                <c:pt idx="2">
                  <c:v>2</c:v>
                </c:pt>
                <c:pt idx="3">
                  <c:v>11</c:v>
                </c:pt>
                <c:pt idx="4">
                  <c:v>4</c:v>
                </c:pt>
                <c:pt idx="5">
                  <c:v>2</c:v>
                </c:pt>
                <c:pt idx="6">
                  <c:v>2</c:v>
                </c:pt>
              </c:numCache>
            </c:numRef>
          </c:val>
          <c:extLst>
            <c:ext xmlns:c16="http://schemas.microsoft.com/office/drawing/2014/chart" uri="{C3380CC4-5D6E-409C-BE32-E72D297353CC}">
              <c16:uniqueId val="{00000009-E0CC-4AD3-904F-2124A98CD904}"/>
            </c:ext>
          </c:extLst>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767046320672438"/>
          <c:y val="0.15411433058476062"/>
          <c:w val="0.85404588316134722"/>
          <c:h val="0.63039276869020633"/>
        </c:manualLayout>
      </c:layout>
      <c:barChart>
        <c:barDir val="col"/>
        <c:grouping val="stacked"/>
        <c:varyColors val="0"/>
        <c:ser>
          <c:idx val="0"/>
          <c:order val="0"/>
          <c:tx>
            <c:strRef>
              <c:f>'17. Eventos'!$B$6</c:f>
              <c:strCache>
                <c:ptCount val="1"/>
                <c:pt idx="0">
                  <c:v>FNA</c:v>
                </c:pt>
              </c:strCache>
            </c:strRef>
          </c:tx>
          <c:spPr>
            <a:solidFill>
              <a:srgbClr val="6DA6D9"/>
            </a:solidFill>
            <a:effectLst>
              <a:outerShdw blurRad="50800" dist="50800" dir="5400000" algn="ctr" rotWithShape="0">
                <a:srgbClr val="6DA6D9"/>
              </a:outerShdw>
            </a:effectLst>
          </c:spPr>
          <c:invertIfNegative val="0"/>
          <c:cat>
            <c:strRef>
              <c:f>'17. Eventos'!$A$7:$A$11</c:f>
              <c:strCache>
                <c:ptCount val="5"/>
                <c:pt idx="0">
                  <c:v>LINEA DE TRANSMISION</c:v>
                </c:pt>
                <c:pt idx="1">
                  <c:v>BARRA</c:v>
                </c:pt>
                <c:pt idx="2">
                  <c:v>CELDA</c:v>
                </c:pt>
                <c:pt idx="3">
                  <c:v>TRANSFORMADOR 2D</c:v>
                </c:pt>
                <c:pt idx="4">
                  <c:v>SUBESTACION</c:v>
                </c:pt>
              </c:strCache>
            </c:strRef>
          </c:cat>
          <c:val>
            <c:numRef>
              <c:f>'17. Eventos'!$B$7:$B$11</c:f>
              <c:numCache>
                <c:formatCode>General</c:formatCode>
                <c:ptCount val="5"/>
                <c:pt idx="0">
                  <c:v>9</c:v>
                </c:pt>
              </c:numCache>
            </c:numRef>
          </c:val>
          <c:extLst>
            <c:ext xmlns:c16="http://schemas.microsoft.com/office/drawing/2014/chart" uri="{C3380CC4-5D6E-409C-BE32-E72D297353CC}">
              <c16:uniqueId val="{00000000-3A39-4F5B-963C-EC345192568E}"/>
            </c:ext>
          </c:extLst>
        </c:ser>
        <c:ser>
          <c:idx val="1"/>
          <c:order val="1"/>
          <c:tx>
            <c:strRef>
              <c:f>'17. Eventos'!$C$6</c:f>
              <c:strCache>
                <c:ptCount val="1"/>
                <c:pt idx="0">
                  <c:v>FEC</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Eventos'!$C$7:$C$11</c:f>
              <c:numCache>
                <c:formatCode>General</c:formatCode>
                <c:ptCount val="5"/>
                <c:pt idx="0">
                  <c:v>2</c:v>
                </c:pt>
              </c:numCache>
            </c:numRef>
          </c:val>
          <c:extLst>
            <c:ext xmlns:c16="http://schemas.microsoft.com/office/drawing/2014/chart" uri="{C3380CC4-5D6E-409C-BE32-E72D297353CC}">
              <c16:uniqueId val="{00000001-3A39-4F5B-963C-EC345192568E}"/>
            </c:ext>
          </c:extLst>
        </c:ser>
        <c:ser>
          <c:idx val="2"/>
          <c:order val="2"/>
          <c:tx>
            <c:strRef>
              <c:f>'17. Eventos'!$D$6</c:f>
              <c:strCache>
                <c:ptCount val="1"/>
                <c:pt idx="0">
                  <c:v>EXT</c:v>
                </c:pt>
              </c:strCache>
            </c:strRef>
          </c:tx>
          <c:spPr>
            <a:solidFill>
              <a:srgbClr val="FF0000"/>
            </a:solidFill>
          </c:spPr>
          <c:invertIfNegative val="0"/>
          <c:cat>
            <c:strRef>
              <c:f>'17. Eventos'!$A$7:$A$11</c:f>
              <c:strCache>
                <c:ptCount val="5"/>
                <c:pt idx="0">
                  <c:v>LINEA DE TRANSMISION</c:v>
                </c:pt>
                <c:pt idx="1">
                  <c:v>BARRA</c:v>
                </c:pt>
                <c:pt idx="2">
                  <c:v>CELDA</c:v>
                </c:pt>
                <c:pt idx="3">
                  <c:v>TRANSFORMADOR 2D</c:v>
                </c:pt>
                <c:pt idx="4">
                  <c:v>SUBESTACION</c:v>
                </c:pt>
              </c:strCache>
            </c:strRef>
          </c:cat>
          <c:val>
            <c:numRef>
              <c:f>'17. Eventos'!$D$7:$D$11</c:f>
              <c:numCache>
                <c:formatCode>General</c:formatCode>
                <c:ptCount val="5"/>
                <c:pt idx="1">
                  <c:v>2</c:v>
                </c:pt>
              </c:numCache>
            </c:numRef>
          </c:val>
          <c:extLst>
            <c:ext xmlns:c16="http://schemas.microsoft.com/office/drawing/2014/chart" uri="{C3380CC4-5D6E-409C-BE32-E72D297353CC}">
              <c16:uniqueId val="{00000002-3A39-4F5B-963C-EC345192568E}"/>
            </c:ext>
          </c:extLst>
        </c:ser>
        <c:ser>
          <c:idx val="3"/>
          <c:order val="3"/>
          <c:tx>
            <c:strRef>
              <c:f>'17. Eventos'!$E$6</c:f>
              <c:strCache>
                <c:ptCount val="1"/>
                <c:pt idx="0">
                  <c:v>OTR</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Eventos'!$E$7:$E$11</c:f>
              <c:numCache>
                <c:formatCode>General</c:formatCode>
                <c:ptCount val="5"/>
                <c:pt idx="0">
                  <c:v>5</c:v>
                </c:pt>
                <c:pt idx="1">
                  <c:v>4</c:v>
                </c:pt>
                <c:pt idx="3">
                  <c:v>1</c:v>
                </c:pt>
                <c:pt idx="4">
                  <c:v>1</c:v>
                </c:pt>
              </c:numCache>
            </c:numRef>
          </c:val>
          <c:extLst>
            <c:ext xmlns:c16="http://schemas.microsoft.com/office/drawing/2014/chart" uri="{C3380CC4-5D6E-409C-BE32-E72D297353CC}">
              <c16:uniqueId val="{00000003-3A39-4F5B-963C-EC345192568E}"/>
            </c:ext>
          </c:extLst>
        </c:ser>
        <c:ser>
          <c:idx val="4"/>
          <c:order val="4"/>
          <c:tx>
            <c:strRef>
              <c:f>'17. Eventos'!$F$6</c:f>
              <c:strCache>
                <c:ptCount val="1"/>
                <c:pt idx="0">
                  <c:v>FNI</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Eventos'!$F$7:$F$11</c:f>
              <c:numCache>
                <c:formatCode>General</c:formatCode>
                <c:ptCount val="5"/>
                <c:pt idx="0">
                  <c:v>4</c:v>
                </c:pt>
              </c:numCache>
            </c:numRef>
          </c:val>
          <c:extLst>
            <c:ext xmlns:c16="http://schemas.microsoft.com/office/drawing/2014/chart" uri="{C3380CC4-5D6E-409C-BE32-E72D297353CC}">
              <c16:uniqueId val="{00000004-3A39-4F5B-963C-EC345192568E}"/>
            </c:ext>
          </c:extLst>
        </c:ser>
        <c:ser>
          <c:idx val="5"/>
          <c:order val="5"/>
          <c:tx>
            <c:strRef>
              <c:f>'17. Eventos'!$G$6</c:f>
              <c:strCache>
                <c:ptCount val="1"/>
                <c:pt idx="0">
                  <c:v>FEP</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Eventos'!$G$7:$G$11</c:f>
              <c:numCache>
                <c:formatCode>General</c:formatCode>
                <c:ptCount val="5"/>
                <c:pt idx="1">
                  <c:v>2</c:v>
                </c:pt>
              </c:numCache>
            </c:numRef>
          </c:val>
          <c:extLst>
            <c:ext xmlns:c16="http://schemas.microsoft.com/office/drawing/2014/chart" uri="{C3380CC4-5D6E-409C-BE32-E72D297353CC}">
              <c16:uniqueId val="{00000005-3A39-4F5B-963C-EC345192568E}"/>
            </c:ext>
          </c:extLst>
        </c:ser>
        <c:ser>
          <c:idx val="6"/>
          <c:order val="6"/>
          <c:tx>
            <c:strRef>
              <c:f>'17. Eventos'!$H$6</c:f>
              <c:strCache>
                <c:ptCount val="1"/>
                <c:pt idx="0">
                  <c:v>FHU</c:v>
                </c:pt>
              </c:strCache>
            </c:strRef>
          </c:tx>
          <c:invertIfNegative val="0"/>
          <c:cat>
            <c:strRef>
              <c:f>'17. Eventos'!$A$7:$A$11</c:f>
              <c:strCache>
                <c:ptCount val="5"/>
                <c:pt idx="0">
                  <c:v>LINEA DE TRANSMISION</c:v>
                </c:pt>
                <c:pt idx="1">
                  <c:v>BARRA</c:v>
                </c:pt>
                <c:pt idx="2">
                  <c:v>CELDA</c:v>
                </c:pt>
                <c:pt idx="3">
                  <c:v>TRANSFORMADOR 2D</c:v>
                </c:pt>
                <c:pt idx="4">
                  <c:v>SUBESTACION</c:v>
                </c:pt>
              </c:strCache>
            </c:strRef>
          </c:cat>
          <c:val>
            <c:numRef>
              <c:f>'17. Eventos'!$H$7:$H$11</c:f>
              <c:numCache>
                <c:formatCode>General</c:formatCode>
                <c:ptCount val="5"/>
                <c:pt idx="2">
                  <c:v>1</c:v>
                </c:pt>
                <c:pt idx="3">
                  <c:v>1</c:v>
                </c:pt>
              </c:numCache>
            </c:numRef>
          </c:val>
          <c:extLst>
            <c:ext xmlns:c16="http://schemas.microsoft.com/office/drawing/2014/chart" uri="{C3380CC4-5D6E-409C-BE32-E72D297353CC}">
              <c16:uniqueId val="{00000006-3A39-4F5B-963C-EC345192568E}"/>
            </c:ext>
          </c:extLst>
        </c:ser>
        <c:dLbls>
          <c:showLegendKey val="0"/>
          <c:showVal val="0"/>
          <c:showCatName val="0"/>
          <c:showSerName val="0"/>
          <c:showPercent val="0"/>
          <c:showBubbleSize val="0"/>
        </c:dLbls>
        <c:gapWidth val="150"/>
        <c:overlap val="100"/>
        <c:axId val="352867840"/>
        <c:axId val="352869376"/>
      </c:barChart>
      <c:catAx>
        <c:axId val="352867840"/>
        <c:scaling>
          <c:orientation val="minMax"/>
        </c:scaling>
        <c:delete val="0"/>
        <c:axPos val="b"/>
        <c:numFmt formatCode="General" sourceLinked="0"/>
        <c:majorTickMark val="out"/>
        <c:minorTickMark val="none"/>
        <c:tickLblPos val="nextTo"/>
        <c:txPr>
          <a:bodyPr/>
          <a:lstStyle/>
          <a:p>
            <a:pPr>
              <a:defRPr sz="500"/>
            </a:pPr>
            <a:endParaRPr lang="es-PE"/>
          </a:p>
        </c:txPr>
        <c:crossAx val="352869376"/>
        <c:crosses val="autoZero"/>
        <c:auto val="1"/>
        <c:lblAlgn val="ctr"/>
        <c:lblOffset val="100"/>
        <c:noMultiLvlLbl val="0"/>
      </c:catAx>
      <c:valAx>
        <c:axId val="352869376"/>
        <c:scaling>
          <c:orientation val="minMax"/>
        </c:scaling>
        <c:delete val="0"/>
        <c:axPos val="l"/>
        <c:majorGridlines/>
        <c:title>
          <c:tx>
            <c:rich>
              <a:bodyPr rot="0" vert="horz"/>
              <a:lstStyle/>
              <a:p>
                <a:pPr>
                  <a:defRPr sz="600"/>
                </a:pPr>
                <a:r>
                  <a:rPr lang="en-US" sz="600"/>
                  <a:t>N° DE FALLAS</a:t>
                </a:r>
              </a:p>
            </c:rich>
          </c:tx>
          <c:layout>
            <c:manualLayout>
              <c:xMode val="edge"/>
              <c:yMode val="edge"/>
              <c:x val="2.4597092847016402E-2"/>
              <c:y val="3.8461376330487934E-2"/>
            </c:manualLayout>
          </c:layout>
          <c:overlay val="0"/>
        </c:title>
        <c:numFmt formatCode="General" sourceLinked="1"/>
        <c:majorTickMark val="out"/>
        <c:minorTickMark val="none"/>
        <c:tickLblPos val="nextTo"/>
        <c:txPr>
          <a:bodyPr/>
          <a:lstStyle/>
          <a:p>
            <a:pPr>
              <a:defRPr sz="700"/>
            </a:pPr>
            <a:endParaRPr lang="es-PE"/>
          </a:p>
        </c:txPr>
        <c:crossAx val="352867840"/>
        <c:crosses val="autoZero"/>
        <c:crossBetween val="between"/>
      </c:valAx>
    </c:plotArea>
    <c:legend>
      <c:legendPos val="r"/>
      <c:layout>
        <c:manualLayout>
          <c:xMode val="edge"/>
          <c:yMode val="edge"/>
          <c:x val="0.22390875865547152"/>
          <c:y val="5.7345558014543156E-2"/>
          <c:w val="0.72708896216522545"/>
          <c:h val="7.1763471867969358E-2"/>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4817540936162034E-2"/>
          <c:y val="9.4498598583222973E-2"/>
          <c:w val="0.66250934144560814"/>
          <c:h val="0.75611868754961753"/>
        </c:manualLayout>
      </c:layout>
      <c:barChart>
        <c:barDir val="bar"/>
        <c:grouping val="stacked"/>
        <c:varyColors val="0"/>
        <c:ser>
          <c:idx val="0"/>
          <c:order val="0"/>
          <c:tx>
            <c:strRef>
              <c:f>'2. Oferta de generación'!$B$41:$C$41</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generación'!$D$40:$E$40</c:f>
              <c:strCache>
                <c:ptCount val="2"/>
                <c:pt idx="0">
                  <c:v>AGOSTO 2018</c:v>
                </c:pt>
                <c:pt idx="1">
                  <c:v>AGOSTO 2017</c:v>
                </c:pt>
              </c:strCache>
            </c:strRef>
          </c:cat>
          <c:val>
            <c:numRef>
              <c:f>'2. Oferta de generación'!$D$41:$E$41</c:f>
              <c:numCache>
                <c:formatCode>#,##0.0</c:formatCode>
                <c:ptCount val="2"/>
                <c:pt idx="0">
                  <c:v>4967.6492474999995</c:v>
                </c:pt>
                <c:pt idx="1">
                  <c:v>4874.137248</c:v>
                </c:pt>
              </c:numCache>
            </c:numRef>
          </c:val>
          <c:extLst>
            <c:ext xmlns:c16="http://schemas.microsoft.com/office/drawing/2014/chart" uri="{C3380CC4-5D6E-409C-BE32-E72D297353CC}">
              <c16:uniqueId val="{00000004-54B0-402D-913D-0304413B844F}"/>
            </c:ext>
          </c:extLst>
        </c:ser>
        <c:ser>
          <c:idx val="1"/>
          <c:order val="1"/>
          <c:tx>
            <c:strRef>
              <c:f>'2. Oferta de generación'!$B$42:$C$42</c:f>
              <c:strCache>
                <c:ptCount val="2"/>
                <c:pt idx="0">
                  <c:v>TERMOELÉCTRICA</c:v>
                </c:pt>
              </c:strCache>
            </c:strRef>
          </c:tx>
          <c:spPr>
            <a:solidFill>
              <a:schemeClr val="accent2"/>
            </a:solidFill>
          </c:spPr>
          <c:invertIfNegative val="0"/>
          <c:cat>
            <c:strRef>
              <c:f>'2. Oferta de generación'!$D$40:$E$40</c:f>
              <c:strCache>
                <c:ptCount val="2"/>
                <c:pt idx="0">
                  <c:v>AGOSTO 2018</c:v>
                </c:pt>
                <c:pt idx="1">
                  <c:v>AGOSTO 2017</c:v>
                </c:pt>
              </c:strCache>
            </c:strRef>
          </c:cat>
          <c:val>
            <c:numRef>
              <c:f>'2. Oferta de generación'!$D$42:$E$42</c:f>
              <c:numCache>
                <c:formatCode>#,##0.0</c:formatCode>
                <c:ptCount val="2"/>
                <c:pt idx="0">
                  <c:v>7395.9645</c:v>
                </c:pt>
                <c:pt idx="1">
                  <c:v>7373.58</c:v>
                </c:pt>
              </c:numCache>
            </c:numRef>
          </c:val>
          <c:extLst>
            <c:ext xmlns:c16="http://schemas.microsoft.com/office/drawing/2014/chart" uri="{C3380CC4-5D6E-409C-BE32-E72D297353CC}">
              <c16:uniqueId val="{00000005-54B0-402D-913D-0304413B844F}"/>
            </c:ext>
          </c:extLst>
        </c:ser>
        <c:ser>
          <c:idx val="2"/>
          <c:order val="2"/>
          <c:tx>
            <c:strRef>
              <c:f>'2. Oferta de generación'!$B$43:$C$43</c:f>
              <c:strCache>
                <c:ptCount val="2"/>
                <c:pt idx="0">
                  <c:v>EÓLICA</c:v>
                </c:pt>
              </c:strCache>
            </c:strRef>
          </c:tx>
          <c:spPr>
            <a:solidFill>
              <a:srgbClr val="6DA6D9"/>
            </a:solidFill>
          </c:spPr>
          <c:invertIfNegative val="0"/>
          <c:cat>
            <c:strRef>
              <c:f>'2. Oferta de generación'!$D$40:$E$40</c:f>
              <c:strCache>
                <c:ptCount val="2"/>
                <c:pt idx="0">
                  <c:v>AGOSTO 2018</c:v>
                </c:pt>
                <c:pt idx="1">
                  <c:v>AGOSTO 2017</c:v>
                </c:pt>
              </c:strCache>
            </c:strRef>
          </c:cat>
          <c:val>
            <c:numRef>
              <c:f>'2. Oferta de generación'!$D$43:$E$43</c:f>
              <c:numCache>
                <c:formatCode>#,##0.0</c:formatCode>
                <c:ptCount val="2"/>
                <c:pt idx="0">
                  <c:v>375.46</c:v>
                </c:pt>
                <c:pt idx="1">
                  <c:v>96</c:v>
                </c:pt>
              </c:numCache>
            </c:numRef>
          </c:val>
          <c:extLst>
            <c:ext xmlns:c16="http://schemas.microsoft.com/office/drawing/2014/chart" uri="{C3380CC4-5D6E-409C-BE32-E72D297353CC}">
              <c16:uniqueId val="{00000006-54B0-402D-913D-0304413B844F}"/>
            </c:ext>
          </c:extLst>
        </c:ser>
        <c:ser>
          <c:idx val="3"/>
          <c:order val="3"/>
          <c:tx>
            <c:strRef>
              <c:f>'2. Oferta de generación'!$B$44:$C$44</c:f>
              <c:strCache>
                <c:ptCount val="2"/>
                <c:pt idx="0">
                  <c:v>SOLAR</c:v>
                </c:pt>
              </c:strCache>
            </c:strRef>
          </c:tx>
          <c:invertIfNegative val="0"/>
          <c:cat>
            <c:strRef>
              <c:f>'2. Oferta de generación'!$D$40:$E$40</c:f>
              <c:strCache>
                <c:ptCount val="2"/>
                <c:pt idx="0">
                  <c:v>AGOSTO 2018</c:v>
                </c:pt>
                <c:pt idx="1">
                  <c:v>AGOSTO 2017</c:v>
                </c:pt>
              </c:strCache>
            </c:strRef>
          </c:cat>
          <c:val>
            <c:numRef>
              <c:f>'2. Oferta de generación'!$D$44:$E$44</c:f>
              <c:numCache>
                <c:formatCode>#,##0.0</c:formatCode>
                <c:ptCount val="2"/>
                <c:pt idx="0">
                  <c:v>285.02</c:v>
                </c:pt>
                <c:pt idx="1">
                  <c:v>243.16</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78598738032030491"/>
          <c:y val="0.33306767186314951"/>
          <c:w val="0.15376585619403896"/>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8581869765562986"/>
        </c:manualLayout>
      </c:layout>
      <c:barChart>
        <c:barDir val="col"/>
        <c:grouping val="clustered"/>
        <c:varyColors val="0"/>
        <c:ser>
          <c:idx val="0"/>
          <c:order val="0"/>
          <c:invertIfNegative val="0"/>
          <c:cat>
            <c:strRef>
              <c:f>'17. Eventos'!$A$7:$A$11</c:f>
              <c:strCache>
                <c:ptCount val="5"/>
                <c:pt idx="0">
                  <c:v>LINEA DE TRANSMISION</c:v>
                </c:pt>
                <c:pt idx="1">
                  <c:v>BARRA</c:v>
                </c:pt>
                <c:pt idx="2">
                  <c:v>CELDA</c:v>
                </c:pt>
                <c:pt idx="3">
                  <c:v>TRANSFORMADOR 2D</c:v>
                </c:pt>
                <c:pt idx="4">
                  <c:v>SUBESTACION</c:v>
                </c:pt>
              </c:strCache>
            </c:strRef>
          </c:cat>
          <c:val>
            <c:numRef>
              <c:f>'17. Eventos'!$J$7:$J$11</c:f>
              <c:numCache>
                <c:formatCode>#,##0.00</c:formatCode>
                <c:ptCount val="5"/>
                <c:pt idx="0">
                  <c:v>250.10000000000002</c:v>
                </c:pt>
                <c:pt idx="1">
                  <c:v>0.9900000000000001</c:v>
                </c:pt>
                <c:pt idx="2">
                  <c:v>0.04</c:v>
                </c:pt>
                <c:pt idx="3">
                  <c:v>20.990000000000002</c:v>
                </c:pt>
                <c:pt idx="4">
                  <c:v>1.2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6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8.224621700770593E-2"/>
          <c:y val="0.17877646799271954"/>
          <c:w val="0.88604204608575698"/>
          <c:h val="0.66960073004778409"/>
        </c:manualLayout>
      </c:layout>
      <c:barChart>
        <c:barDir val="col"/>
        <c:grouping val="clustered"/>
        <c:varyColors val="0"/>
        <c:ser>
          <c:idx val="0"/>
          <c:order val="0"/>
          <c:tx>
            <c:strRef>
              <c:f>'2. Oferta de generación'!$L$20:$L$24</c:f>
              <c:strCache>
                <c:ptCount val="5"/>
                <c:pt idx="0">
                  <c:v>Central Solar</c:v>
                </c:pt>
                <c:pt idx="1">
                  <c:v>Central Hidroeléctrica</c:v>
                </c:pt>
                <c:pt idx="2">
                  <c:v>Turbina de Vapor (*)</c:v>
                </c:pt>
                <c:pt idx="3">
                  <c:v>Central Eólica</c:v>
                </c:pt>
                <c:pt idx="4">
                  <c:v>Central a Biogás</c:v>
                </c:pt>
              </c:strCache>
            </c:strRef>
          </c:tx>
          <c:spPr>
            <a:solidFill>
              <a:schemeClr val="accent1"/>
            </a:solidFill>
            <a:ln>
              <a:noFill/>
            </a:ln>
            <a:effectLst/>
          </c:spPr>
          <c:invertIfNegative val="0"/>
          <c:dPt>
            <c:idx val="0"/>
            <c:invertIfNegative val="0"/>
            <c:bubble3D val="0"/>
            <c:spPr>
              <a:solidFill>
                <a:schemeClr val="accent4">
                  <a:lumMod val="75000"/>
                </a:schemeClr>
              </a:solidFill>
              <a:ln>
                <a:noFill/>
              </a:ln>
              <a:effectLst/>
            </c:spPr>
            <c:extLst>
              <c:ext xmlns:c16="http://schemas.microsoft.com/office/drawing/2014/chart" uri="{C3380CC4-5D6E-409C-BE32-E72D297353CC}">
                <c16:uniqueId val="{00000001-97B6-4FBD-B93B-1DCD19285F24}"/>
              </c:ext>
            </c:extLst>
          </c:dPt>
          <c:dPt>
            <c:idx val="1"/>
            <c:invertIfNegative val="0"/>
            <c:bubble3D val="0"/>
            <c:spPr>
              <a:solidFill>
                <a:srgbClr val="0077A5"/>
              </a:solidFill>
              <a:ln>
                <a:noFill/>
              </a:ln>
              <a:effectLst/>
            </c:spPr>
            <c:extLst>
              <c:ext xmlns:c16="http://schemas.microsoft.com/office/drawing/2014/chart" uri="{C3380CC4-5D6E-409C-BE32-E72D297353CC}">
                <c16:uniqueId val="{00000006-062F-457A-90B8-0383FC90D336}"/>
              </c:ext>
            </c:extLst>
          </c:dPt>
          <c:dPt>
            <c:idx val="2"/>
            <c:invertIfNegative val="0"/>
            <c:bubble3D val="0"/>
            <c:spPr>
              <a:solidFill>
                <a:srgbClr val="C00000"/>
              </a:solidFill>
              <a:ln>
                <a:noFill/>
              </a:ln>
              <a:effectLst/>
            </c:spPr>
            <c:extLst>
              <c:ext xmlns:c16="http://schemas.microsoft.com/office/drawing/2014/chart" uri="{C3380CC4-5D6E-409C-BE32-E72D297353CC}">
                <c16:uniqueId val="{00000003-C9D3-4E91-B7E1-0582E6522F1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4-AD22-45F6-B9A6-5508A0BEF6F5}"/>
              </c:ext>
            </c:extLst>
          </c:dPt>
          <c:dPt>
            <c:idx val="4"/>
            <c:invertIfNegative val="0"/>
            <c:bubble3D val="0"/>
            <c:spPr>
              <a:solidFill>
                <a:srgbClr val="00B0F0"/>
              </a:solidFill>
              <a:ln>
                <a:noFill/>
              </a:ln>
              <a:effectLst/>
            </c:spPr>
            <c:extLst>
              <c:ext xmlns:c16="http://schemas.microsoft.com/office/drawing/2014/chart" uri="{C3380CC4-5D6E-409C-BE32-E72D297353CC}">
                <c16:uniqueId val="{00000008-17BC-4B09-A0A0-3DBF2EC3D019}"/>
              </c:ext>
            </c:extLst>
          </c:dPt>
          <c:dLbls>
            <c:delete val="1"/>
          </c:dLbls>
          <c:cat>
            <c:strRef>
              <c:f>'2. Oferta de generación'!$L$20:$L$24</c:f>
              <c:strCache>
                <c:ptCount val="5"/>
                <c:pt idx="0">
                  <c:v>Central Solar</c:v>
                </c:pt>
                <c:pt idx="1">
                  <c:v>Central Hidroeléctrica</c:v>
                </c:pt>
                <c:pt idx="2">
                  <c:v>Turbina de Vapor (*)</c:v>
                </c:pt>
                <c:pt idx="3">
                  <c:v>Central Eólica</c:v>
                </c:pt>
                <c:pt idx="4">
                  <c:v>Central a Biogás</c:v>
                </c:pt>
              </c:strCache>
            </c:strRef>
          </c:cat>
          <c:val>
            <c:numRef>
              <c:f>'2. Oferta de generación'!$M$20:$M$24</c:f>
              <c:numCache>
                <c:formatCode>#,##0.00</c:formatCode>
                <c:ptCount val="5"/>
                <c:pt idx="0">
                  <c:v>189.01999999999998</c:v>
                </c:pt>
                <c:pt idx="1">
                  <c:v>81.179999999999993</c:v>
                </c:pt>
                <c:pt idx="2">
                  <c:v>103.95113000000001</c:v>
                </c:pt>
                <c:pt idx="3" formatCode="General">
                  <c:v>132.30000000000001</c:v>
                </c:pt>
                <c:pt idx="4" formatCode="General">
                  <c:v>2.4</c:v>
                </c:pt>
              </c:numCache>
            </c:numRef>
          </c:val>
          <c:extLst>
            <c:ext xmlns:c16="http://schemas.microsoft.com/office/drawing/2014/chart" uri="{C3380CC4-5D6E-409C-BE32-E72D297353CC}">
              <c16:uniqueId val="{00000000-97B6-4FBD-B93B-1DCD19285F24}"/>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2016</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15585.306706963949</c:v>
                </c:pt>
                <c:pt idx="1">
                  <c:v>15462.868722449131</c:v>
                </c:pt>
                <c:pt idx="2">
                  <c:v>654.54863129121634</c:v>
                </c:pt>
                <c:pt idx="3">
                  <c:v>151.84658156524992</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2017</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19043.000136334569</c:v>
                </c:pt>
                <c:pt idx="1">
                  <c:v>12736.775339703676</c:v>
                </c:pt>
                <c:pt idx="2">
                  <c:v>653.16893138224395</c:v>
                </c:pt>
                <c:pt idx="3">
                  <c:v>141.71379225200801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2018</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20299.991030210003</c:v>
                </c:pt>
                <c:pt idx="1">
                  <c:v>11874.844318445001</c:v>
                </c:pt>
                <c:pt idx="2">
                  <c:v>923.2971126525</c:v>
                </c:pt>
                <c:pt idx="3">
                  <c:v>445.21042083750001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ax val="22000"/>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7326946354"/>
          <c:y val="2.7011847548981793E-3"/>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2018</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20299.991030210003</c:v>
                </c:pt>
                <c:pt idx="1">
                  <c:v>11039.305630004999</c:v>
                </c:pt>
                <c:pt idx="2">
                  <c:v>359.9173524775</c:v>
                </c:pt>
                <c:pt idx="3">
                  <c:v>240.61071660500002</c:v>
                </c:pt>
                <c:pt idx="4">
                  <c:v>0</c:v>
                </c:pt>
                <c:pt idx="5">
                  <c:v>43.120710160000002</c:v>
                </c:pt>
                <c:pt idx="6">
                  <c:v>5.2548035325000013</c:v>
                </c:pt>
                <c:pt idx="7">
                  <c:v>2.4329590024999996</c:v>
                </c:pt>
                <c:pt idx="8">
                  <c:v>97.775765842499993</c:v>
                </c:pt>
                <c:pt idx="9">
                  <c:v>57.940617664999998</c:v>
                </c:pt>
                <c:pt idx="10">
                  <c:v>28.485763154999997</c:v>
                </c:pt>
                <c:pt idx="11">
                  <c:v>445.21042083750001</c:v>
                </c:pt>
                <c:pt idx="12">
                  <c:v>923.2971126525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2017</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19043.000136334569</c:v>
                </c:pt>
                <c:pt idx="1">
                  <c:v>11057.227463209447</c:v>
                </c:pt>
                <c:pt idx="2">
                  <c:v>294.47979799465082</c:v>
                </c:pt>
                <c:pt idx="3">
                  <c:v>52.993444373126401</c:v>
                </c:pt>
                <c:pt idx="4">
                  <c:v>9.7034091828799998</c:v>
                </c:pt>
                <c:pt idx="5">
                  <c:v>560.49201917651203</c:v>
                </c:pt>
                <c:pt idx="6">
                  <c:v>102.91590530752154</c:v>
                </c:pt>
                <c:pt idx="7">
                  <c:v>0.27508084889600004</c:v>
                </c:pt>
                <c:pt idx="8">
                  <c:v>576.26981531268029</c:v>
                </c:pt>
                <c:pt idx="9">
                  <c:v>56.240760592263506</c:v>
                </c:pt>
                <c:pt idx="10">
                  <c:v>26.177643705696624</c:v>
                </c:pt>
                <c:pt idx="11">
                  <c:v>141.71379225200801</c:v>
                </c:pt>
                <c:pt idx="12">
                  <c:v>653.16893138224395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2016</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15585.306706963949</c:v>
                </c:pt>
                <c:pt idx="1">
                  <c:v>13482.612915017886</c:v>
                </c:pt>
                <c:pt idx="2">
                  <c:v>410.25848185415185</c:v>
                </c:pt>
                <c:pt idx="3">
                  <c:v>312.75691015534215</c:v>
                </c:pt>
                <c:pt idx="4">
                  <c:v>83.153949073798003</c:v>
                </c:pt>
                <c:pt idx="5">
                  <c:v>495.46995311074272</c:v>
                </c:pt>
                <c:pt idx="6">
                  <c:v>153.53573092696857</c:v>
                </c:pt>
                <c:pt idx="7">
                  <c:v>3.1951939469593698</c:v>
                </c:pt>
                <c:pt idx="8">
                  <c:v>426.90611401658487</c:v>
                </c:pt>
                <c:pt idx="9">
                  <c:v>63.051722924671395</c:v>
                </c:pt>
                <c:pt idx="10">
                  <c:v>31.927751422025</c:v>
                </c:pt>
                <c:pt idx="11">
                  <c:v>151.84658156524992</c:v>
                </c:pt>
                <c:pt idx="12">
                  <c:v>654.54863129121634</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ax val="22000"/>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&amp;L&amp;"Calibri Light,Regular"&amp;10 &amp;C&amp;"Calibri Light,Regular"&amp;10 &amp;R&amp;"Tahoma,Negrita"&amp;9Informe de la Operación Mensual - Setiembre 2017
INFSGI-MES-09-2017
05/10/2017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2016</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580.67280870292677</c:v>
                </c:pt>
                <c:pt idx="1">
                  <c:v>654.54863129121634</c:v>
                </c:pt>
                <c:pt idx="2">
                  <c:v>151.84658156524992</c:v>
                </c:pt>
                <c:pt idx="3">
                  <c:v>63.051722924671395</c:v>
                </c:pt>
                <c:pt idx="4">
                  <c:v>31.927751422025</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2017</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717.64797787661189</c:v>
                </c:pt>
                <c:pt idx="1">
                  <c:v>653.16893138224395</c:v>
                </c:pt>
                <c:pt idx="2">
                  <c:v>141.71379225200801</c:v>
                </c:pt>
                <c:pt idx="3">
                  <c:v>56.240760592263506</c:v>
                </c:pt>
                <c:pt idx="4">
                  <c:v>26.177643705696624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2018</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828.38801107250015</c:v>
                </c:pt>
                <c:pt idx="1">
                  <c:v>923.2971126525</c:v>
                </c:pt>
                <c:pt idx="2">
                  <c:v>445.21042083750001</c:v>
                </c:pt>
                <c:pt idx="3">
                  <c:v>57.940617664999998</c:v>
                </c:pt>
                <c:pt idx="4">
                  <c:v>28.485763154999997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7.3503247505281019E-2"/>
                  <c:y val="-8.7357171498368164E-2"/>
                </c:manualLayout>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7851341358547358E-2"/>
                  <c:y val="2.8363963641490523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1.4280734838135646E-2"/>
                  <c:y val="-0.14377635138399877"/>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6.2722198975415436E-3"/>
                  <c:y val="-2.6207833484720149E-3"/>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7,03%</a:t>
                    </a:r>
                  </a:p>
                </c:rich>
              </c:tx>
              <c:numFmt formatCode="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3925.0036752400019</c:v>
                </c:pt>
                <c:pt idx="1">
                  <c:v>87.314617757499988</c:v>
                </c:pt>
                <c:pt idx="2">
                  <c:v>134.3830846825</c:v>
                </c:pt>
                <c:pt idx="3">
                  <c:v>65.050804804999999</c:v>
                </c:pt>
                <c:pt idx="4">
                  <c:v>7.4378331324999998</c:v>
                </c:pt>
                <c:pt idx="5">
                  <c:v>2.6808198999999999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0337761820090295E-2"/>
          <c:y val="0.15413722949669401"/>
          <c:w val="0.87180267690761371"/>
          <c:h val="0.31539921760078976"/>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RER'!$L$6:$L$28</c:f>
              <c:strCache>
                <c:ptCount val="23"/>
                <c:pt idx="0">
                  <c:v>C.H. RENOVANDES H1</c:v>
                </c:pt>
                <c:pt idx="1">
                  <c:v>C.H. YARUCAYA</c:v>
                </c:pt>
                <c:pt idx="2">
                  <c:v>C.H. RUNATULLO III</c:v>
                </c:pt>
                <c:pt idx="3">
                  <c:v>C.H. CARHUAQUERO IV</c:v>
                </c:pt>
                <c:pt idx="4">
                  <c:v>C.H. RUNATULLO II</c:v>
                </c:pt>
                <c:pt idx="5">
                  <c:v>C.H. LA JOYA</c:v>
                </c:pt>
                <c:pt idx="6">
                  <c:v>C.H. POECHOS II</c:v>
                </c:pt>
                <c:pt idx="7">
                  <c:v>C.H. HUASAHUASI II</c:v>
                </c:pt>
                <c:pt idx="8">
                  <c:v>C.H. HUASAHUASI I</c:v>
                </c:pt>
                <c:pt idx="9">
                  <c:v>C.H. CANCHAYLLO</c:v>
                </c:pt>
                <c:pt idx="10">
                  <c:v>C.H. IMPERIAL</c:v>
                </c:pt>
                <c:pt idx="11">
                  <c:v>C.H. LAS PIZARRAS</c:v>
                </c:pt>
                <c:pt idx="12">
                  <c:v>C.H. YANAPAMPA</c:v>
                </c:pt>
                <c:pt idx="13">
                  <c:v>C.H. RONCADOR</c:v>
                </c:pt>
                <c:pt idx="14">
                  <c:v>C.H. POTRERO</c:v>
                </c:pt>
                <c:pt idx="15">
                  <c:v>C.H. SANTA CRUZ II</c:v>
                </c:pt>
                <c:pt idx="16">
                  <c:v>C.H. SANTA CRUZ I</c:v>
                </c:pt>
                <c:pt idx="17">
                  <c:v>C.H. CAÑA BRAVA</c:v>
                </c:pt>
                <c:pt idx="18">
                  <c:v>C.H. ÁNGEL II</c:v>
                </c:pt>
                <c:pt idx="19">
                  <c:v>C.H. ÁNGEL III</c:v>
                </c:pt>
                <c:pt idx="20">
                  <c:v>C.H. ÁNGEL I</c:v>
                </c:pt>
                <c:pt idx="21">
                  <c:v>C.H. PURMACANA</c:v>
                </c:pt>
                <c:pt idx="22">
                  <c:v>C.H. HER 1</c:v>
                </c:pt>
              </c:strCache>
            </c:strRef>
          </c:cat>
          <c:val>
            <c:numRef>
              <c:f>'6. FP RER'!$O$6:$O$28</c:f>
              <c:numCache>
                <c:formatCode>0.00</c:formatCode>
                <c:ptCount val="23"/>
                <c:pt idx="0">
                  <c:v>14.74453653</c:v>
                </c:pt>
                <c:pt idx="1">
                  <c:v>10.9556863025</c:v>
                </c:pt>
                <c:pt idx="2">
                  <c:v>7.8021295400000001</c:v>
                </c:pt>
                <c:pt idx="3">
                  <c:v>6.0585698424999999</c:v>
                </c:pt>
                <c:pt idx="4">
                  <c:v>5.4051990724999994</c:v>
                </c:pt>
                <c:pt idx="5">
                  <c:v>4.9531025</c:v>
                </c:pt>
                <c:pt idx="6">
                  <c:v>3.2195525324999998</c:v>
                </c:pt>
                <c:pt idx="7">
                  <c:v>3.1398369824999999</c:v>
                </c:pt>
                <c:pt idx="8">
                  <c:v>2.909497295</c:v>
                </c:pt>
                <c:pt idx="9">
                  <c:v>2.5635129825000003</c:v>
                </c:pt>
                <c:pt idx="10">
                  <c:v>2.339</c:v>
                </c:pt>
                <c:pt idx="11">
                  <c:v>1.8440929650000002</c:v>
                </c:pt>
                <c:pt idx="12">
                  <c:v>1.8385223449999999</c:v>
                </c:pt>
                <c:pt idx="13">
                  <c:v>1.4575312825000002</c:v>
                </c:pt>
                <c:pt idx="14">
                  <c:v>1.2879379774999999</c:v>
                </c:pt>
                <c:pt idx="15">
                  <c:v>1.1752434825</c:v>
                </c:pt>
                <c:pt idx="16">
                  <c:v>0.96047411500000002</c:v>
                </c:pt>
                <c:pt idx="17">
                  <c:v>0.84253854500000003</c:v>
                </c:pt>
                <c:pt idx="18">
                  <c:v>0.33590999999999999</c:v>
                </c:pt>
                <c:pt idx="19">
                  <c:v>0.317413</c:v>
                </c:pt>
                <c:pt idx="20">
                  <c:v>0.28944600000000004</c:v>
                </c:pt>
                <c:pt idx="21">
                  <c:v>0.2063930725</c:v>
                </c:pt>
                <c:pt idx="22">
                  <c:v>2.2539E-2</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RER'!$L$6:$L$28</c:f>
              <c:strCache>
                <c:ptCount val="23"/>
                <c:pt idx="0">
                  <c:v>C.H. RENOVANDES H1</c:v>
                </c:pt>
                <c:pt idx="1">
                  <c:v>C.H. YARUCAYA</c:v>
                </c:pt>
                <c:pt idx="2">
                  <c:v>C.H. RUNATULLO III</c:v>
                </c:pt>
                <c:pt idx="3">
                  <c:v>C.H. CARHUAQUERO IV</c:v>
                </c:pt>
                <c:pt idx="4">
                  <c:v>C.H. RUNATULLO II</c:v>
                </c:pt>
                <c:pt idx="5">
                  <c:v>C.H. LA JOYA</c:v>
                </c:pt>
                <c:pt idx="6">
                  <c:v>C.H. POECHOS II</c:v>
                </c:pt>
                <c:pt idx="7">
                  <c:v>C.H. HUASAHUASI II</c:v>
                </c:pt>
                <c:pt idx="8">
                  <c:v>C.H. HUASAHUASI I</c:v>
                </c:pt>
                <c:pt idx="9">
                  <c:v>C.H. CANCHAYLLO</c:v>
                </c:pt>
                <c:pt idx="10">
                  <c:v>C.H. IMPERIAL</c:v>
                </c:pt>
                <c:pt idx="11">
                  <c:v>C.H. LAS PIZARRAS</c:v>
                </c:pt>
                <c:pt idx="12">
                  <c:v>C.H. YANAPAMPA</c:v>
                </c:pt>
                <c:pt idx="13">
                  <c:v>C.H. RONCADOR</c:v>
                </c:pt>
                <c:pt idx="14">
                  <c:v>C.H. POTRERO</c:v>
                </c:pt>
                <c:pt idx="15">
                  <c:v>C.H. SANTA CRUZ II</c:v>
                </c:pt>
                <c:pt idx="16">
                  <c:v>C.H. SANTA CRUZ I</c:v>
                </c:pt>
                <c:pt idx="17">
                  <c:v>C.H. CAÑA BRAVA</c:v>
                </c:pt>
                <c:pt idx="18">
                  <c:v>C.H. ÁNGEL II</c:v>
                </c:pt>
                <c:pt idx="19">
                  <c:v>C.H. ÁNGEL III</c:v>
                </c:pt>
                <c:pt idx="20">
                  <c:v>C.H. ÁNGEL I</c:v>
                </c:pt>
                <c:pt idx="21">
                  <c:v>C.H. PURMACANA</c:v>
                </c:pt>
                <c:pt idx="22">
                  <c:v>C.H. HER 1</c:v>
                </c:pt>
              </c:strCache>
            </c:strRef>
          </c:cat>
          <c:val>
            <c:numRef>
              <c:f>'6. FP RER'!$P$6:$P$28</c:f>
              <c:numCache>
                <c:formatCode>0.00</c:formatCode>
                <c:ptCount val="23"/>
                <c:pt idx="0">
                  <c:v>0.99089627217741927</c:v>
                </c:pt>
                <c:pt idx="1">
                  <c:v>0.98169232101254478</c:v>
                </c:pt>
                <c:pt idx="2">
                  <c:v>0.52522955287429485</c:v>
                </c:pt>
                <c:pt idx="3">
                  <c:v>0.81571061160155056</c:v>
                </c:pt>
                <c:pt idx="4">
                  <c:v>0.36385298326243681</c:v>
                </c:pt>
                <c:pt idx="5">
                  <c:v>0.85957338067570477</c:v>
                </c:pt>
                <c:pt idx="6">
                  <c:v>0.4523683414630445</c:v>
                </c:pt>
                <c:pt idx="7">
                  <c:v>0.41285570318762188</c:v>
                </c:pt>
                <c:pt idx="8">
                  <c:v>0.39701671510834563</c:v>
                </c:pt>
                <c:pt idx="9">
                  <c:v>0.66401656691574618</c:v>
                </c:pt>
                <c:pt idx="10">
                  <c:v>0.79309213024749636</c:v>
                </c:pt>
                <c:pt idx="11">
                  <c:v>0.12909813154576441</c:v>
                </c:pt>
                <c:pt idx="12">
                  <c:v>0.63100093818763159</c:v>
                </c:pt>
                <c:pt idx="13">
                  <c:v>0.56294466169972812</c:v>
                </c:pt>
                <c:pt idx="14">
                  <c:v>8.6989921212244026E-2</c:v>
                </c:pt>
                <c:pt idx="15">
                  <c:v>0.21277321345548875</c:v>
                </c:pt>
                <c:pt idx="16">
                  <c:v>0.18553604943794871</c:v>
                </c:pt>
                <c:pt idx="17">
                  <c:v>0.19972562273615144</c:v>
                </c:pt>
                <c:pt idx="18">
                  <c:v>0.34712921626984122</c:v>
                </c:pt>
                <c:pt idx="19">
                  <c:v>0.32801442625661376</c:v>
                </c:pt>
                <c:pt idx="20">
                  <c:v>0.29911334325396827</c:v>
                </c:pt>
                <c:pt idx="21">
                  <c:v>0.16184950039836388</c:v>
                </c:pt>
                <c:pt idx="22">
                  <c:v>0.67080357142857161</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valAx>
      <c:valAx>
        <c:axId val="370145920"/>
        <c:scaling>
          <c:orientation val="minMax"/>
          <c:max val="1.1000000000000001"/>
          <c:min val="0"/>
        </c:scaling>
        <c:delete val="0"/>
        <c:axPos val="r"/>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Factor</a:t>
                </a:r>
                <a:r>
                  <a:rPr lang="es-PA" sz="800" baseline="0">
                    <a:latin typeface="Arial" panose="020B0604020202020204" pitchFamily="34" charset="0"/>
                    <a:cs typeface="Arial" panose="020B0604020202020204" pitchFamily="34" charset="0"/>
                  </a:rPr>
                  <a:t> de Planta</a:t>
                </a:r>
                <a:endParaRPr lang="es-PA" sz="800">
                  <a:latin typeface="Arial" panose="020B0604020202020204" pitchFamily="34" charset="0"/>
                  <a:cs typeface="Arial" panose="020B0604020202020204" pitchFamily="34" charset="0"/>
                </a:endParaRPr>
              </a:p>
            </c:rich>
          </c:tx>
          <c:layout>
            <c:manualLayout>
              <c:xMode val="edge"/>
              <c:yMode val="edge"/>
              <c:x val="0.85854942532626366"/>
              <c:y val="3.8413333173692846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1082676</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78675" cy="1087120"/>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10 de setiembre de 2018</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a:solidFill>
                <a:srgbClr val="1F2532"/>
              </a:solidFill>
              <a:effectLst/>
              <a:ea typeface="Calibri" panose="020F0502020204030204" pitchFamily="34" charset="0"/>
              <a:cs typeface="Arial" panose="020B0604020202020204" pitchFamily="34" charset="0"/>
            </a:rPr>
            <a:t>Agosto 2018</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INFSGI-MES-08-2018</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62</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66262</xdr:colOff>
      <xdr:row>35</xdr:row>
      <xdr:rowOff>112797</xdr:rowOff>
    </xdr:from>
    <xdr:to>
      <xdr:col>8</xdr:col>
      <xdr:colOff>472109</xdr:colOff>
      <xdr:row>59</xdr:row>
      <xdr:rowOff>65171</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16</xdr:row>
      <xdr:rowOff>57978</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478478</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129762</xdr:colOff>
      <xdr:row>47</xdr:row>
      <xdr:rowOff>134399</xdr:rowOff>
    </xdr:from>
    <xdr:to>
      <xdr:col>8</xdr:col>
      <xdr:colOff>383274</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5720"/>
          <a:ext cx="6507493" cy="8801886"/>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(15,22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(15,33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103904</xdr:colOff>
      <xdr:row>14</xdr:row>
      <xdr:rowOff>95106</xdr:rowOff>
    </xdr:from>
    <xdr:to>
      <xdr:col>4</xdr:col>
      <xdr:colOff>97972</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48933" y="2266806"/>
          <a:ext cx="1039096"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A878E5-8AAA-4FE5-B31D-9C6268F2A1DF}" type="TxLink">
            <a:rPr lang="en-US" sz="500" b="1" i="0" u="none" strike="noStrike">
              <a:solidFill>
                <a:srgbClr val="000000"/>
              </a:solidFill>
              <a:latin typeface="Arial"/>
              <a:cs typeface="Arial"/>
            </a:rPr>
            <a:pPr algn="ctr"/>
            <a:t>PIURA OESTE 220
 (15,44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(14,33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(14,44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(15,09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(15,07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(14,57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(14,87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(14,4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3</xdr:col>
      <xdr:colOff>59871</xdr:colOff>
      <xdr:row>42</xdr:row>
      <xdr:rowOff>43597</xdr:rowOff>
    </xdr:from>
    <xdr:to>
      <xdr:col>4</xdr:col>
      <xdr:colOff>508135</xdr:colOff>
      <xdr:row>45</xdr:row>
      <xdr:rowOff>10885</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627414" y="6177697"/>
          <a:ext cx="970778" cy="391831"/>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(14,62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(14,42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(14,11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506732</xdr:colOff>
      <xdr:row>48</xdr:row>
      <xdr:rowOff>89836</xdr:rowOff>
    </xdr:from>
    <xdr:to>
      <xdr:col>11</xdr:col>
      <xdr:colOff>364388</xdr:colOff>
      <xdr:row>51</xdr:row>
      <xdr:rowOff>17773</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299539" y="7138336"/>
          <a:ext cx="1039622" cy="391198"/>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(15,41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(14,21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(14,53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(14,62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(14,82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101780</xdr:colOff>
      <xdr:row>17</xdr:row>
      <xdr:rowOff>135639</xdr:rowOff>
    </xdr:from>
    <xdr:to>
      <xdr:col>7</xdr:col>
      <xdr:colOff>654327</xdr:colOff>
      <xdr:row>53</xdr:row>
      <xdr:rowOff>82826</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0.29313</cdr:x>
      <cdr:y>0.5313</cdr:y>
    </cdr:from>
    <cdr:to>
      <cdr:x>0.39473</cdr:x>
      <cdr:y>0.61718</cdr:y>
    </cdr:to>
    <cdr:sp macro="" textlink="">
      <cdr:nvSpPr>
        <cdr:cNvPr id="4" name="TextBox 1"/>
        <cdr:cNvSpPr txBox="1"/>
      </cdr:nvSpPr>
      <cdr:spPr>
        <a:xfrm xmlns:a="http://schemas.openxmlformats.org/drawingml/2006/main">
          <a:off x="2685912" y="2173603"/>
          <a:ext cx="930961" cy="3513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-100,0%</a:t>
          </a:r>
        </a:p>
      </cdr:txBody>
    </cdr:sp>
  </cdr:relSizeAnchor>
  <cdr:relSizeAnchor xmlns:cdr="http://schemas.openxmlformats.org/drawingml/2006/chartDrawing">
    <cdr:from>
      <cdr:x>0.49298</cdr:x>
      <cdr:y>0.52474</cdr:y>
    </cdr:from>
    <cdr:to>
      <cdr:x>0.59458</cdr:x>
      <cdr:y>0.61061</cdr:y>
    </cdr:to>
    <cdr:sp macro="" textlink="">
      <cdr:nvSpPr>
        <cdr:cNvPr id="5" name="TextBox 1"/>
        <cdr:cNvSpPr txBox="1"/>
      </cdr:nvSpPr>
      <cdr:spPr>
        <a:xfrm xmlns:a="http://schemas.openxmlformats.org/drawingml/2006/main">
          <a:off x="3089804" y="3010309"/>
          <a:ext cx="636783"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-95,7%</a:t>
          </a:r>
        </a:p>
      </cdr:txBody>
    </cdr:sp>
  </cdr:relSizeAnchor>
  <cdr:relSizeAnchor xmlns:cdr="http://schemas.openxmlformats.org/drawingml/2006/chartDrawing">
    <cdr:from>
      <cdr:x>0.83869</cdr:x>
      <cdr:y>0.47132</cdr:y>
    </cdr:from>
    <cdr:to>
      <cdr:x>0.94028</cdr:x>
      <cdr:y>0.55719</cdr:y>
    </cdr:to>
    <cdr:sp macro="" textlink="">
      <cdr:nvSpPr>
        <cdr:cNvPr id="7" name="TextBox 1"/>
        <cdr:cNvSpPr txBox="1"/>
      </cdr:nvSpPr>
      <cdr:spPr>
        <a:xfrm xmlns:a="http://schemas.openxmlformats.org/drawingml/2006/main">
          <a:off x="5256554" y="2703853"/>
          <a:ext cx="636720" cy="492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PE" sz="1100" b="1">
              <a:solidFill>
                <a:schemeClr val="bg1"/>
              </a:solidFill>
              <a:latin typeface="Symbol" panose="05050102010706020507" pitchFamily="18" charset="2"/>
            </a:rPr>
            <a:t>D</a:t>
          </a:r>
          <a:r>
            <a:rPr lang="es-PE" sz="1100" b="1">
              <a:solidFill>
                <a:schemeClr val="bg1"/>
              </a:solidFill>
            </a:rPr>
            <a:t>= 39,4%</a:t>
          </a: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300272</xdr:colOff>
      <xdr:row>16</xdr:row>
      <xdr:rowOff>57264</xdr:rowOff>
    </xdr:from>
    <xdr:to>
      <xdr:col>3</xdr:col>
      <xdr:colOff>256564</xdr:colOff>
      <xdr:row>31</xdr:row>
      <xdr:rowOff>114746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289770</xdr:colOff>
      <xdr:row>17</xdr:row>
      <xdr:rowOff>13082</xdr:rowOff>
    </xdr:from>
    <xdr:to>
      <xdr:col>9</xdr:col>
      <xdr:colOff>643958</xdr:colOff>
      <xdr:row>33</xdr:row>
      <xdr:rowOff>97971</xdr:rowOff>
    </xdr:to>
    <xdr:graphicFrame macro="">
      <xdr:nvGraphicFramePr>
        <xdr:cNvPr id="3" name="Chart 2">
          <a:extLst>
            <a:ext uri="{FF2B5EF4-FFF2-40B4-BE49-F238E27FC236}">
              <a16:creationId xmlns:a16="http://schemas.microsoft.com/office/drawing/2014/main" id="{0C1AFE6C-4365-4A87-BD3D-A2294714A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773906</xdr:colOff>
      <xdr:row>38</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36635</xdr:colOff>
      <xdr:row>20</xdr:row>
      <xdr:rowOff>87923</xdr:rowOff>
    </xdr:from>
    <xdr:to>
      <xdr:col>12</xdr:col>
      <xdr:colOff>504265</xdr:colOff>
      <xdr:row>45</xdr:row>
      <xdr:rowOff>95250</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endParaRPr lang="en-GB" sz="120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Jaime Guerra Montes de Oca</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Tomás Montesinos Yépez</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a:t>
          </a:r>
          <a:r>
            <a:rPr lang="en-US" sz="1200" b="1" baseline="0">
              <a:effectLst/>
              <a:latin typeface="Arial" panose="020B0604020202020204" pitchFamily="34" charset="0"/>
              <a:ea typeface="Wingdings-Regular"/>
              <a:cs typeface="Arial" panose="020B0604020202020204" pitchFamily="34" charset="0"/>
            </a:rPr>
            <a:t> de Gestión de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Jorge Izquierdo Ríos</a:t>
          </a: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Anexos: 548 - 627  </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253778</xdr:colOff>
      <xdr:row>52</xdr:row>
      <xdr:rowOff>96557</xdr:rowOff>
    </xdr:from>
    <xdr:to>
      <xdr:col>7</xdr:col>
      <xdr:colOff>344365</xdr:colOff>
      <xdr:row>67</xdr:row>
      <xdr:rowOff>93918</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58374" y="7731211"/>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163474</xdr:colOff>
      <xdr:row>46</xdr:row>
      <xdr:rowOff>61560</xdr:rowOff>
    </xdr:from>
    <xdr:to>
      <xdr:col>9</xdr:col>
      <xdr:colOff>321129</xdr:colOff>
      <xdr:row>57</xdr:row>
      <xdr:rowOff>38100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19707</xdr:colOff>
      <xdr:row>22</xdr:row>
      <xdr:rowOff>70757</xdr:rowOff>
    </xdr:from>
    <xdr:to>
      <xdr:col>8</xdr:col>
      <xdr:colOff>429240</xdr:colOff>
      <xdr:row>33</xdr:row>
      <xdr:rowOff>138633</xdr:rowOff>
    </xdr:to>
    <xdr:graphicFrame macro="">
      <xdr:nvGraphicFramePr>
        <xdr:cNvPr id="6" name="Chart 5">
          <a:extLst>
            <a:ext uri="{FF2B5EF4-FFF2-40B4-BE49-F238E27FC236}">
              <a16:creationId xmlns:a16="http://schemas.microsoft.com/office/drawing/2014/main" id="{504A3D1A-9E3E-4FE7-89D7-C712B9B00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49891</xdr:colOff>
      <xdr:row>22</xdr:row>
      <xdr:rowOff>46561</xdr:rowOff>
    </xdr:from>
    <xdr:to>
      <xdr:col>1</xdr:col>
      <xdr:colOff>568389</xdr:colOff>
      <xdr:row>23</xdr:row>
      <xdr:rowOff>80234</xdr:rowOff>
    </xdr:to>
    <xdr:sp macro="" textlink="">
      <xdr:nvSpPr>
        <xdr:cNvPr id="7" name="Rectangle 6">
          <a:extLst>
            <a:ext uri="{FF2B5EF4-FFF2-40B4-BE49-F238E27FC236}">
              <a16:creationId xmlns:a16="http://schemas.microsoft.com/office/drawing/2014/main" id="{844F8771-1BB7-4887-885E-C502B78E1000}"/>
            </a:ext>
          </a:extLst>
        </xdr:cNvPr>
        <xdr:cNvSpPr/>
      </xdr:nvSpPr>
      <xdr:spPr>
        <a:xfrm>
          <a:off x="735691" y="4313761"/>
          <a:ext cx="518498" cy="17518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95250</xdr:colOff>
      <xdr:row>14</xdr:row>
      <xdr:rowOff>136922</xdr:rowOff>
    </xdr:from>
    <xdr:to>
      <xdr:col>10</xdr:col>
      <xdr:colOff>445077</xdr:colOff>
      <xdr:row>32</xdr:row>
      <xdr:rowOff>51289</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139212</xdr:colOff>
      <xdr:row>36</xdr:row>
      <xdr:rowOff>80597</xdr:rowOff>
    </xdr:from>
    <xdr:to>
      <xdr:col>10</xdr:col>
      <xdr:colOff>410308</xdr:colOff>
      <xdr:row>58</xdr:row>
      <xdr:rowOff>43965</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549258</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156130</xdr:colOff>
      <xdr:row>4</xdr:row>
      <xdr:rowOff>26276</xdr:rowOff>
    </xdr:from>
    <xdr:to>
      <xdr:col>9</xdr:col>
      <xdr:colOff>479534</xdr:colOff>
      <xdr:row>62</xdr:row>
      <xdr:rowOff>39414</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266140</xdr:colOff>
      <xdr:row>23</xdr:row>
      <xdr:rowOff>139412</xdr:rowOff>
    </xdr:from>
    <xdr:to>
      <xdr:col>10</xdr:col>
      <xdr:colOff>546652</xdr:colOff>
      <xdr:row>56</xdr:row>
      <xdr:rowOff>43962</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B4F7-0D18-4727-8445-7BFD890D7197}">
  <sheetPr>
    <tabColor theme="4"/>
  </sheetPr>
  <dimension ref="A1:L66"/>
  <sheetViews>
    <sheetView showGridLines="0" tabSelected="1" view="pageBreakPreview" zoomScale="70" zoomScaleNormal="70" zoomScaleSheetLayoutView="70" zoomScalePageLayoutView="85" workbookViewId="0">
      <selection activeCell="Q15" sqref="Q15"/>
    </sheetView>
  </sheetViews>
  <sheetFormatPr defaultRowHeight="11.25"/>
  <cols>
    <col min="9" max="9" width="14.6640625" customWidth="1"/>
    <col min="12" max="12" width="20.5" customWidth="1"/>
  </cols>
  <sheetData>
    <row r="1" spans="1:12">
      <c r="A1" s="1"/>
      <c r="B1" s="1"/>
      <c r="C1" s="1"/>
      <c r="D1" s="1"/>
      <c r="E1" s="1"/>
      <c r="F1" s="1"/>
      <c r="G1" s="1"/>
      <c r="H1" s="1"/>
      <c r="I1" s="1"/>
      <c r="J1" s="1"/>
      <c r="K1" s="1"/>
      <c r="L1" s="1"/>
    </row>
    <row r="2" spans="1:12">
      <c r="A2" s="1"/>
      <c r="B2" s="1"/>
      <c r="C2" s="1"/>
      <c r="D2" s="1"/>
      <c r="E2" s="1"/>
      <c r="F2" s="1"/>
      <c r="G2" s="1"/>
      <c r="H2" s="1"/>
      <c r="I2" s="1"/>
      <c r="J2" s="1"/>
      <c r="K2" s="1"/>
      <c r="L2" s="1"/>
    </row>
    <row r="3" spans="1:12">
      <c r="A3" s="1"/>
      <c r="B3" s="1"/>
      <c r="C3" s="1"/>
      <c r="D3" s="1"/>
      <c r="E3" s="1"/>
      <c r="F3" s="1"/>
      <c r="G3" s="1"/>
      <c r="H3" s="1"/>
      <c r="I3" s="1"/>
      <c r="J3" s="1"/>
      <c r="K3" s="1"/>
      <c r="L3" s="1"/>
    </row>
    <row r="4" spans="1:12">
      <c r="A4" s="1"/>
      <c r="B4" s="1"/>
      <c r="C4" s="1"/>
      <c r="D4" s="1"/>
      <c r="E4" s="1"/>
      <c r="F4" s="1"/>
      <c r="G4" s="1"/>
      <c r="H4" s="1"/>
      <c r="I4" s="1"/>
      <c r="J4" s="1"/>
      <c r="K4" s="1"/>
      <c r="L4" s="1"/>
    </row>
    <row r="5" spans="1:12">
      <c r="A5" s="1"/>
      <c r="B5" s="1"/>
      <c r="C5" s="1"/>
      <c r="D5" s="1"/>
      <c r="E5" s="1"/>
      <c r="F5" s="1"/>
      <c r="G5" s="1"/>
      <c r="H5" s="1"/>
      <c r="I5" s="1"/>
      <c r="J5" s="1"/>
      <c r="K5" s="1"/>
      <c r="L5" s="1"/>
    </row>
    <row r="6" spans="1:12">
      <c r="A6" s="1"/>
      <c r="B6" s="1"/>
      <c r="C6" s="1"/>
      <c r="D6" s="1"/>
      <c r="E6" s="1"/>
      <c r="F6" s="1"/>
      <c r="G6" s="1"/>
      <c r="H6" s="1"/>
      <c r="I6" s="1"/>
      <c r="J6" s="1"/>
      <c r="K6" s="1"/>
      <c r="L6" s="1"/>
    </row>
    <row r="7" spans="1:12">
      <c r="A7" s="1"/>
      <c r="B7" s="1"/>
      <c r="C7" s="1"/>
      <c r="D7" s="1"/>
      <c r="E7" s="1"/>
      <c r="F7" s="1"/>
      <c r="G7" s="1"/>
      <c r="H7" s="1"/>
      <c r="I7" s="1"/>
      <c r="J7" s="1"/>
      <c r="K7" s="1"/>
      <c r="L7" s="1"/>
    </row>
    <row r="8" spans="1:12">
      <c r="A8" s="1"/>
      <c r="B8" s="1"/>
      <c r="C8" s="1"/>
      <c r="D8" s="1"/>
      <c r="E8" s="1"/>
      <c r="F8" s="1"/>
      <c r="G8" s="1"/>
      <c r="H8" s="1"/>
      <c r="I8" s="1"/>
      <c r="J8" s="1"/>
      <c r="K8" s="1"/>
      <c r="L8" s="1"/>
    </row>
    <row r="9" spans="1:12">
      <c r="A9" s="1"/>
      <c r="B9" s="1"/>
      <c r="C9" s="1"/>
      <c r="D9" s="1"/>
      <c r="E9" s="1"/>
      <c r="F9" s="1"/>
      <c r="G9" s="1"/>
      <c r="H9" s="1"/>
      <c r="I9" s="1"/>
      <c r="J9" s="1"/>
      <c r="K9" s="1"/>
      <c r="L9" s="1"/>
    </row>
    <row r="10" spans="1:12">
      <c r="A10" s="1"/>
      <c r="B10" s="1"/>
      <c r="C10" s="1"/>
      <c r="D10" s="1"/>
      <c r="E10" s="1"/>
      <c r="F10" s="1"/>
      <c r="G10" s="1"/>
      <c r="H10" s="1"/>
      <c r="I10" s="1"/>
      <c r="J10" s="1"/>
      <c r="K10" s="1"/>
      <c r="L10" s="1"/>
    </row>
    <row r="11" spans="1:12" ht="15.75">
      <c r="A11" s="1"/>
      <c r="B11" s="1"/>
      <c r="C11" s="1"/>
      <c r="D11" s="1"/>
      <c r="E11" s="1"/>
      <c r="F11" s="1"/>
      <c r="H11" s="1"/>
      <c r="I11" s="769"/>
      <c r="J11" s="1"/>
      <c r="L11" s="1"/>
    </row>
    <row r="12" spans="1:12" ht="15.75">
      <c r="A12" s="1"/>
      <c r="B12" s="1"/>
      <c r="C12" s="1"/>
      <c r="D12" s="1"/>
      <c r="E12" s="1"/>
      <c r="F12" s="1"/>
      <c r="H12" s="1"/>
      <c r="I12" s="769"/>
      <c r="J12" s="1"/>
      <c r="L12" s="1"/>
    </row>
    <row r="13" spans="1:12" ht="15.75">
      <c r="A13" s="1"/>
      <c r="B13" s="1"/>
      <c r="C13" s="1"/>
      <c r="D13" s="1"/>
      <c r="E13" s="1"/>
      <c r="F13" s="1"/>
      <c r="H13" s="1"/>
      <c r="I13" s="769"/>
      <c r="J13" s="1"/>
      <c r="L13" s="1"/>
    </row>
    <row r="14" spans="1:12" ht="15.75">
      <c r="A14" s="1"/>
      <c r="B14" s="1"/>
      <c r="C14" s="1"/>
      <c r="D14" s="1"/>
      <c r="E14" s="1"/>
      <c r="F14" s="1"/>
      <c r="H14" s="1"/>
      <c r="I14" s="769"/>
      <c r="J14" s="1"/>
      <c r="L14" s="1"/>
    </row>
    <row r="15" spans="1:12" ht="15.75">
      <c r="A15" s="1"/>
      <c r="B15" s="1"/>
      <c r="C15" s="1"/>
      <c r="D15" s="1"/>
      <c r="E15" s="1"/>
      <c r="F15" s="1"/>
      <c r="H15" s="1"/>
      <c r="I15" s="769"/>
      <c r="J15" s="1"/>
      <c r="L15" s="1"/>
    </row>
    <row r="16" spans="1:12">
      <c r="A16" s="1"/>
      <c r="B16" s="1"/>
      <c r="C16" s="1"/>
      <c r="D16" s="1"/>
      <c r="E16" s="1"/>
      <c r="F16" s="1"/>
      <c r="G16" s="1"/>
      <c r="H16" s="1"/>
      <c r="I16" s="1"/>
      <c r="J16" s="1"/>
      <c r="K16" s="1"/>
      <c r="L16" s="1"/>
    </row>
    <row r="17" spans="1:12">
      <c r="A17" s="1"/>
      <c r="B17" s="1"/>
      <c r="C17" s="1"/>
      <c r="D17" s="1"/>
      <c r="E17" s="1"/>
      <c r="F17" s="1"/>
      <c r="G17" s="1"/>
      <c r="H17" s="1"/>
      <c r="I17" s="1"/>
      <c r="J17" s="1"/>
      <c r="K17" s="1"/>
      <c r="L17" s="1"/>
    </row>
    <row r="18" spans="1:12">
      <c r="A18" s="1"/>
      <c r="B18" s="1"/>
      <c r="C18" s="1"/>
      <c r="D18" s="1"/>
      <c r="E18" s="1"/>
      <c r="F18" s="1"/>
      <c r="G18" s="1"/>
      <c r="H18" s="1"/>
      <c r="I18" s="1"/>
      <c r="J18" s="1"/>
      <c r="K18" s="1"/>
      <c r="L18" s="1"/>
    </row>
    <row r="19" spans="1:12">
      <c r="A19" s="1"/>
      <c r="B19" s="1"/>
      <c r="C19" s="1"/>
      <c r="D19" s="1"/>
      <c r="E19" s="1"/>
      <c r="F19" s="1"/>
      <c r="G19" s="1"/>
      <c r="H19" s="1"/>
      <c r="I19" s="1"/>
      <c r="J19" s="1"/>
      <c r="K19" s="1"/>
      <c r="L19" s="1"/>
    </row>
    <row r="20" spans="1:12">
      <c r="A20" s="1"/>
      <c r="B20" s="1"/>
      <c r="C20" s="1"/>
      <c r="D20" s="1"/>
      <c r="E20" s="1"/>
      <c r="F20" s="1"/>
      <c r="G20" s="1"/>
      <c r="H20" s="1"/>
      <c r="I20" s="1"/>
      <c r="J20" s="1"/>
      <c r="K20" s="1"/>
      <c r="L20" s="1"/>
    </row>
    <row r="21" spans="1:12">
      <c r="A21" s="1"/>
      <c r="B21" s="1"/>
      <c r="C21" s="1"/>
      <c r="D21" s="1"/>
      <c r="E21" s="1"/>
      <c r="F21" s="1"/>
      <c r="G21" s="1"/>
      <c r="H21" s="1"/>
      <c r="I21" s="1"/>
      <c r="J21" s="1"/>
      <c r="K21" s="1"/>
      <c r="L21" s="1"/>
    </row>
    <row r="22" spans="1:12">
      <c r="A22" s="1"/>
      <c r="B22" s="1"/>
      <c r="C22" s="1"/>
      <c r="D22" s="1"/>
      <c r="E22" s="1"/>
      <c r="F22" s="1"/>
      <c r="G22" s="1"/>
      <c r="H22" s="1"/>
      <c r="I22" s="1"/>
      <c r="J22" s="1"/>
      <c r="K22" s="1"/>
      <c r="L22" s="1"/>
    </row>
    <row r="23" spans="1:12">
      <c r="A23" s="1"/>
      <c r="B23" s="1"/>
      <c r="C23" s="1"/>
      <c r="D23" s="1"/>
      <c r="E23" s="1"/>
      <c r="F23" s="1"/>
      <c r="G23" s="1"/>
      <c r="H23" s="1"/>
      <c r="I23" s="1"/>
      <c r="J23" s="1"/>
      <c r="K23" s="1"/>
      <c r="L23" s="1"/>
    </row>
    <row r="24" spans="1:12">
      <c r="A24" s="1"/>
      <c r="B24" s="1"/>
      <c r="C24" s="1"/>
      <c r="D24" s="1"/>
      <c r="E24" s="1"/>
      <c r="F24" s="1"/>
      <c r="G24" s="1"/>
      <c r="H24" s="1"/>
      <c r="I24" s="1"/>
      <c r="J24" s="1"/>
      <c r="K24" s="1"/>
      <c r="L24" s="1"/>
    </row>
    <row r="25" spans="1:12">
      <c r="A25" s="1"/>
      <c r="B25" s="1"/>
      <c r="C25" s="1"/>
      <c r="D25" s="1"/>
      <c r="E25" s="1"/>
      <c r="F25" s="1"/>
      <c r="G25" s="1"/>
      <c r="H25" s="1"/>
      <c r="I25" s="1"/>
      <c r="J25" s="1"/>
      <c r="K25" s="1"/>
      <c r="L25" s="1"/>
    </row>
    <row r="26" spans="1:12">
      <c r="A26" s="1"/>
      <c r="B26" s="1"/>
      <c r="C26" s="1"/>
      <c r="D26" s="1"/>
      <c r="E26" s="1"/>
      <c r="F26" s="1"/>
      <c r="G26" s="1"/>
      <c r="H26" s="1"/>
      <c r="I26" s="1"/>
      <c r="J26" s="1"/>
      <c r="K26" s="1"/>
      <c r="L26" s="1"/>
    </row>
    <row r="27" spans="1:12">
      <c r="A27" s="1"/>
      <c r="B27" s="1"/>
      <c r="C27" s="1"/>
      <c r="D27" s="1"/>
      <c r="E27" s="1"/>
      <c r="F27" s="1"/>
      <c r="G27" s="1"/>
      <c r="H27" s="1"/>
      <c r="I27" s="1"/>
      <c r="J27" s="1"/>
      <c r="K27" s="1"/>
      <c r="L27" s="1"/>
    </row>
    <row r="28" spans="1:12">
      <c r="A28" s="1"/>
      <c r="B28" s="1"/>
      <c r="C28" s="1"/>
      <c r="D28" s="1"/>
      <c r="E28" s="1"/>
      <c r="F28" s="1"/>
      <c r="G28" s="1"/>
      <c r="H28" s="1"/>
      <c r="I28" s="1"/>
      <c r="J28" s="1"/>
      <c r="K28" s="1"/>
      <c r="L28" s="1"/>
    </row>
    <row r="29" spans="1:12">
      <c r="A29" s="1"/>
      <c r="B29" s="1"/>
      <c r="C29" s="1"/>
      <c r="D29" s="1"/>
      <c r="E29" s="1"/>
      <c r="F29" s="1"/>
      <c r="G29" s="1"/>
      <c r="H29" s="1"/>
      <c r="I29" s="1"/>
      <c r="J29" s="1"/>
      <c r="K29" s="1"/>
      <c r="L29" s="1"/>
    </row>
    <row r="30" spans="1:12">
      <c r="A30" s="1"/>
      <c r="B30" s="1"/>
      <c r="C30" s="1"/>
      <c r="D30" s="1"/>
      <c r="E30" s="1"/>
      <c r="F30" s="1"/>
      <c r="G30" s="1"/>
      <c r="H30" s="1"/>
      <c r="I30" s="1"/>
      <c r="J30" s="1"/>
      <c r="K30" s="1"/>
      <c r="L30" s="1"/>
    </row>
    <row r="31" spans="1:12">
      <c r="A31" s="1"/>
      <c r="B31" s="1"/>
      <c r="C31" s="1"/>
      <c r="D31" s="1"/>
      <c r="E31" s="1"/>
      <c r="F31" s="1"/>
      <c r="G31" s="1"/>
      <c r="H31" s="1"/>
      <c r="I31" s="1"/>
      <c r="J31" s="1"/>
      <c r="K31" s="1"/>
      <c r="L31" s="1"/>
    </row>
    <row r="32" spans="1:12">
      <c r="A32" s="1"/>
      <c r="B32" s="1"/>
      <c r="C32" s="1"/>
      <c r="D32" s="1"/>
      <c r="E32" s="1"/>
      <c r="F32" s="1"/>
      <c r="G32" s="1"/>
      <c r="H32" s="1"/>
      <c r="I32" s="1"/>
      <c r="J32" s="1"/>
      <c r="K32" s="1"/>
      <c r="L32" s="1"/>
    </row>
    <row r="33" spans="1:12">
      <c r="A33" s="1"/>
      <c r="B33" s="1"/>
      <c r="C33" s="1"/>
      <c r="D33" s="1"/>
      <c r="E33" s="1"/>
      <c r="F33" s="1"/>
      <c r="G33" s="1"/>
      <c r="H33" s="1"/>
      <c r="I33" s="1"/>
      <c r="J33" s="1"/>
      <c r="K33" s="1"/>
      <c r="L33" s="1"/>
    </row>
    <row r="34" spans="1:12">
      <c r="A34" s="1"/>
      <c r="B34" s="1"/>
      <c r="C34" s="1"/>
      <c r="D34" s="1"/>
      <c r="E34" s="1"/>
      <c r="F34" s="1"/>
      <c r="G34" s="1"/>
      <c r="H34" s="1"/>
      <c r="I34" s="1"/>
      <c r="J34" s="1"/>
      <c r="K34" s="1"/>
      <c r="L34" s="1"/>
    </row>
    <row r="35" spans="1:12">
      <c r="A35" s="1"/>
      <c r="B35" s="1"/>
      <c r="C35" s="1"/>
      <c r="D35" s="1"/>
      <c r="E35" s="1"/>
      <c r="F35" s="1"/>
      <c r="G35" s="1"/>
      <c r="H35" s="1"/>
      <c r="I35" s="1"/>
      <c r="J35" s="1"/>
      <c r="K35" s="1"/>
      <c r="L35" s="1"/>
    </row>
    <row r="36" spans="1:12">
      <c r="A36" s="1"/>
      <c r="B36" s="1"/>
      <c r="C36" s="1"/>
      <c r="D36" s="1"/>
      <c r="E36" s="1"/>
      <c r="F36" s="1"/>
      <c r="G36" s="1"/>
      <c r="H36" s="1"/>
      <c r="I36" s="1"/>
      <c r="J36" s="1"/>
      <c r="K36" s="1"/>
      <c r="L36" s="1"/>
    </row>
    <row r="37" spans="1:12">
      <c r="A37" s="1"/>
      <c r="B37" s="1"/>
      <c r="C37" s="1"/>
      <c r="D37" s="1"/>
      <c r="E37" s="1"/>
      <c r="F37" s="1"/>
      <c r="G37" s="1"/>
      <c r="H37" s="1"/>
      <c r="I37" s="1"/>
      <c r="J37" s="1"/>
      <c r="K37" s="1"/>
      <c r="L37" s="1"/>
    </row>
    <row r="38" spans="1:12">
      <c r="A38" s="1"/>
      <c r="B38" s="1"/>
      <c r="C38" s="1"/>
      <c r="D38" s="1"/>
      <c r="E38" s="1"/>
      <c r="F38" s="1"/>
      <c r="G38" s="1"/>
      <c r="H38" s="1"/>
      <c r="I38" s="1"/>
      <c r="J38" s="1"/>
      <c r="K38" s="1"/>
      <c r="L38" s="1"/>
    </row>
    <row r="39" spans="1:12">
      <c r="A39" s="1"/>
      <c r="B39" s="1"/>
      <c r="C39" s="1"/>
      <c r="D39" s="1"/>
      <c r="E39" s="1"/>
      <c r="F39" s="1"/>
      <c r="G39" s="1"/>
      <c r="H39" s="1"/>
      <c r="I39" s="1"/>
      <c r="J39" s="1"/>
      <c r="K39" s="1"/>
      <c r="L39" s="1"/>
    </row>
    <row r="40" spans="1:12">
      <c r="A40" s="1"/>
      <c r="B40" s="1"/>
      <c r="C40" s="1"/>
      <c r="D40" s="1"/>
      <c r="E40" s="1"/>
      <c r="F40" s="1"/>
      <c r="G40" s="1"/>
      <c r="H40" s="1"/>
      <c r="I40" s="1"/>
      <c r="J40" s="1"/>
      <c r="K40" s="1"/>
      <c r="L40" s="1"/>
    </row>
    <row r="41" spans="1:12">
      <c r="A41" s="1"/>
      <c r="B41" s="1"/>
      <c r="C41" s="1"/>
      <c r="D41" s="1"/>
      <c r="E41" s="1"/>
      <c r="F41" s="1"/>
      <c r="G41" s="1"/>
      <c r="H41" s="1"/>
      <c r="I41" s="1"/>
      <c r="J41" s="1"/>
      <c r="K41" s="1"/>
      <c r="L41" s="1"/>
    </row>
    <row r="42" spans="1:12">
      <c r="A42" s="1"/>
      <c r="B42" s="1"/>
      <c r="C42" s="1"/>
      <c r="D42" s="1"/>
      <c r="E42" s="1"/>
      <c r="F42" s="1"/>
      <c r="G42" s="1"/>
      <c r="H42" s="1"/>
      <c r="I42" s="1"/>
      <c r="J42" s="1"/>
      <c r="K42" s="1"/>
      <c r="L42" s="1"/>
    </row>
    <row r="43" spans="1:12">
      <c r="A43" s="1"/>
      <c r="B43" s="1"/>
      <c r="C43" s="1"/>
      <c r="D43" s="1"/>
      <c r="E43" s="1"/>
      <c r="F43" s="1"/>
      <c r="G43" s="1"/>
      <c r="H43" s="1"/>
      <c r="I43" s="1"/>
      <c r="J43" s="1"/>
      <c r="K43" s="1"/>
      <c r="L43" s="1"/>
    </row>
    <row r="44" spans="1:12">
      <c r="A44" s="1"/>
      <c r="B44" s="1"/>
      <c r="C44" s="1"/>
      <c r="D44" s="1"/>
      <c r="E44" s="1"/>
      <c r="F44" s="1"/>
      <c r="G44" s="1"/>
      <c r="H44" s="1"/>
      <c r="I44" s="1"/>
      <c r="J44" s="1"/>
      <c r="K44" s="1"/>
      <c r="L44" s="1"/>
    </row>
    <row r="45" spans="1:12">
      <c r="A45" s="1"/>
      <c r="B45" s="1"/>
      <c r="C45" s="1"/>
      <c r="D45" s="1"/>
      <c r="E45" s="1"/>
      <c r="F45" s="1"/>
      <c r="G45" s="1"/>
      <c r="H45" s="1"/>
      <c r="I45" s="1"/>
      <c r="J45" s="1"/>
      <c r="K45" s="1"/>
      <c r="L45" s="1"/>
    </row>
    <row r="46" spans="1:12">
      <c r="A46" s="1"/>
      <c r="B46" s="1"/>
      <c r="C46" s="1"/>
      <c r="D46" s="1"/>
      <c r="E46" s="1"/>
      <c r="F46" s="1"/>
      <c r="G46" s="1"/>
      <c r="H46" s="1"/>
      <c r="I46" s="1"/>
      <c r="J46" s="1"/>
      <c r="K46" s="1"/>
      <c r="L46" s="1"/>
    </row>
    <row r="47" spans="1:12">
      <c r="A47" s="1"/>
      <c r="B47" s="1"/>
      <c r="C47" s="1"/>
      <c r="D47" s="1"/>
      <c r="E47" s="1"/>
      <c r="F47" s="1"/>
      <c r="G47" s="1"/>
      <c r="H47" s="1"/>
      <c r="I47" s="1"/>
      <c r="J47" s="1"/>
      <c r="K47" s="1"/>
      <c r="L47" s="1"/>
    </row>
    <row r="48" spans="1:12">
      <c r="A48" s="1"/>
      <c r="B48" s="1"/>
      <c r="C48" s="1"/>
      <c r="D48" s="1"/>
      <c r="E48" s="1"/>
      <c r="F48" s="1"/>
      <c r="G48" s="1"/>
      <c r="H48" s="1"/>
      <c r="I48" s="1"/>
      <c r="J48" s="1"/>
      <c r="K48" s="1"/>
      <c r="L48" s="1"/>
    </row>
    <row r="49" spans="1:12">
      <c r="A49" s="1"/>
      <c r="B49" s="1"/>
      <c r="C49" s="1"/>
      <c r="D49" s="1"/>
      <c r="E49" s="1"/>
      <c r="F49" s="1"/>
      <c r="G49" s="1"/>
      <c r="H49" s="1"/>
      <c r="I49" s="1"/>
      <c r="J49" s="1"/>
      <c r="K49" s="1"/>
      <c r="L49" s="1"/>
    </row>
    <row r="50" spans="1:12">
      <c r="A50" s="1"/>
      <c r="B50" s="1"/>
      <c r="C50" s="1"/>
      <c r="D50" s="1"/>
      <c r="E50" s="1"/>
      <c r="F50" s="1"/>
      <c r="G50" s="1"/>
      <c r="H50" s="1"/>
      <c r="I50" s="1"/>
      <c r="J50" s="1"/>
      <c r="K50" s="1"/>
      <c r="L50" s="1"/>
    </row>
    <row r="51" spans="1:12">
      <c r="A51" s="1"/>
      <c r="B51" s="1"/>
      <c r="C51" s="1"/>
      <c r="D51" s="1"/>
      <c r="E51" s="1"/>
      <c r="F51" s="1"/>
      <c r="G51" s="1"/>
      <c r="H51" s="1"/>
      <c r="I51" s="1"/>
      <c r="J51" s="1"/>
      <c r="K51" s="1"/>
      <c r="L51" s="1"/>
    </row>
    <row r="52" spans="1:12">
      <c r="A52" s="1"/>
      <c r="B52" s="1"/>
      <c r="C52" s="1"/>
      <c r="D52" s="1"/>
      <c r="E52" s="1"/>
      <c r="F52" s="1"/>
      <c r="G52" s="1"/>
      <c r="H52" s="1"/>
      <c r="I52" s="1"/>
      <c r="J52" s="1"/>
      <c r="K52" s="1"/>
      <c r="L52" s="1"/>
    </row>
    <row r="53" spans="1:12">
      <c r="A53" s="1"/>
      <c r="B53" s="1"/>
      <c r="C53" s="1"/>
      <c r="D53" s="1"/>
      <c r="E53" s="1"/>
      <c r="F53" s="1"/>
      <c r="G53" s="1"/>
      <c r="H53" s="1"/>
      <c r="I53" s="1"/>
      <c r="J53" s="1"/>
      <c r="K53" s="1"/>
      <c r="L53" s="1"/>
    </row>
    <row r="54" spans="1:12">
      <c r="A54" s="1"/>
      <c r="B54" s="1"/>
      <c r="C54" s="1"/>
      <c r="D54" s="1"/>
      <c r="E54" s="1"/>
      <c r="F54" s="1"/>
      <c r="G54" s="1"/>
      <c r="H54" s="1"/>
      <c r="I54" s="1"/>
      <c r="J54" s="1"/>
      <c r="K54" s="1"/>
      <c r="L54" s="1"/>
    </row>
    <row r="55" spans="1:12">
      <c r="A55" s="1"/>
      <c r="B55" s="1"/>
      <c r="C55" s="1"/>
      <c r="D55" s="1"/>
      <c r="E55" s="1"/>
      <c r="F55" s="1"/>
      <c r="G55" s="1"/>
      <c r="H55" s="1"/>
      <c r="I55" s="1"/>
      <c r="J55" s="1"/>
      <c r="K55" s="1"/>
      <c r="L55" s="1"/>
    </row>
    <row r="56" spans="1:12">
      <c r="A56" s="1"/>
      <c r="B56" s="1"/>
      <c r="C56" s="1"/>
      <c r="D56" s="1"/>
      <c r="E56" s="1"/>
      <c r="F56" s="1"/>
      <c r="G56" s="1"/>
      <c r="H56" s="1"/>
      <c r="I56" s="1"/>
      <c r="J56" s="1"/>
      <c r="K56" s="1"/>
      <c r="L56" s="1"/>
    </row>
    <row r="57" spans="1:12">
      <c r="A57" s="1"/>
      <c r="B57" s="1"/>
      <c r="C57" s="1"/>
      <c r="D57" s="1"/>
      <c r="E57" s="1"/>
      <c r="F57" s="1"/>
      <c r="G57" s="1"/>
      <c r="H57" s="1"/>
      <c r="I57" s="1"/>
      <c r="J57" s="1"/>
      <c r="K57" s="1"/>
      <c r="L57" s="1"/>
    </row>
    <row r="58" spans="1:12">
      <c r="A58" s="1"/>
      <c r="B58" s="1"/>
      <c r="C58" s="1"/>
      <c r="D58" s="1"/>
      <c r="E58" s="1"/>
      <c r="F58" s="1"/>
      <c r="G58" s="1"/>
      <c r="H58" s="1"/>
      <c r="I58" s="1"/>
      <c r="J58" s="1"/>
      <c r="K58" s="1"/>
      <c r="L58" s="1"/>
    </row>
    <row r="59" spans="1:12">
      <c r="A59" s="1"/>
      <c r="B59" s="1"/>
      <c r="C59" s="1"/>
      <c r="D59" s="1"/>
      <c r="E59" s="1"/>
      <c r="F59" s="1"/>
      <c r="G59" s="1"/>
      <c r="H59" s="1"/>
      <c r="I59" s="1"/>
      <c r="J59" s="1"/>
      <c r="K59" s="1"/>
      <c r="L59" s="1"/>
    </row>
    <row r="60" spans="1:12">
      <c r="A60" s="1"/>
      <c r="B60" s="1"/>
      <c r="C60" s="1"/>
      <c r="D60" s="1"/>
      <c r="E60" s="1"/>
      <c r="F60" s="1"/>
      <c r="G60" s="1"/>
      <c r="H60" s="1"/>
      <c r="I60" s="1"/>
      <c r="J60" s="1"/>
      <c r="K60" s="1"/>
      <c r="L60" s="1"/>
    </row>
    <row r="61" spans="1:12">
      <c r="A61" s="1"/>
      <c r="B61" s="1"/>
      <c r="C61" s="1"/>
      <c r="D61" s="1"/>
      <c r="E61" s="1"/>
      <c r="F61" s="1"/>
      <c r="G61" s="1"/>
      <c r="H61" s="1"/>
      <c r="I61" s="1"/>
      <c r="J61" s="1"/>
      <c r="K61" s="1"/>
      <c r="L61" s="1"/>
    </row>
    <row r="62" spans="1:12">
      <c r="A62" s="1"/>
      <c r="B62" s="1"/>
      <c r="C62" s="1"/>
      <c r="D62" s="1"/>
      <c r="E62" s="1"/>
      <c r="F62" s="1"/>
      <c r="G62" s="1"/>
      <c r="H62" s="1"/>
      <c r="I62" s="1"/>
      <c r="J62" s="1"/>
      <c r="K62" s="1"/>
      <c r="L62" s="1"/>
    </row>
    <row r="63" spans="1:12">
      <c r="A63" s="1"/>
      <c r="B63" s="1"/>
      <c r="C63" s="1"/>
      <c r="D63" s="1"/>
      <c r="E63" s="1"/>
      <c r="F63" s="1"/>
      <c r="G63" s="1"/>
      <c r="H63" s="1"/>
      <c r="I63" s="1"/>
      <c r="J63" s="1"/>
      <c r="K63" s="1"/>
      <c r="L63" s="1"/>
    </row>
    <row r="64" spans="1:12">
      <c r="A64" s="1"/>
      <c r="B64" s="1"/>
      <c r="C64" s="1"/>
      <c r="D64" s="1"/>
      <c r="E64" s="1"/>
      <c r="F64" s="1"/>
      <c r="G64" s="1"/>
      <c r="H64" s="1"/>
      <c r="I64" s="1"/>
      <c r="J64" s="1"/>
      <c r="K64" s="1"/>
      <c r="L64" s="1"/>
    </row>
    <row r="65" spans="1:12">
      <c r="A65" s="1"/>
      <c r="B65" s="1"/>
      <c r="C65" s="1"/>
      <c r="D65" s="1"/>
      <c r="E65" s="1"/>
      <c r="F65" s="1"/>
      <c r="G65" s="1"/>
      <c r="H65" s="1"/>
      <c r="I65" s="1"/>
      <c r="J65" s="1"/>
      <c r="K65" s="1"/>
      <c r="L65" s="1"/>
    </row>
    <row r="66" spans="1:12">
      <c r="A66" s="1"/>
      <c r="B66" s="1"/>
      <c r="C66" s="1"/>
      <c r="D66" s="1"/>
      <c r="E66" s="1"/>
      <c r="F66" s="1"/>
      <c r="G66" s="1"/>
      <c r="H66" s="1"/>
      <c r="I66" s="1"/>
      <c r="J66" s="1"/>
      <c r="K66" s="1"/>
      <c r="L66" s="1"/>
    </row>
  </sheetData>
  <pageMargins left="0.26960784313725489" right="0.22058823529411764" top="0.36764705882352944" bottom="0.26960784313725489"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29D01-64F8-4321-AE6B-6BCC10510F33}">
  <sheetPr>
    <tabColor theme="4"/>
  </sheetPr>
  <dimension ref="A1:L62"/>
  <sheetViews>
    <sheetView showGridLines="0" view="pageBreakPreview" zoomScale="115" zoomScaleNormal="100" zoomScaleSheetLayoutView="115" zoomScalePageLayoutView="145" workbookViewId="0">
      <selection activeCell="Q15" sqref="Q15"/>
    </sheetView>
  </sheetViews>
  <sheetFormatPr defaultRowHeight="11.25"/>
  <cols>
    <col min="1" max="1" width="15" style="3" customWidth="1"/>
    <col min="2" max="4" width="10" style="3" customWidth="1"/>
    <col min="5" max="5" width="11" style="3" customWidth="1"/>
    <col min="6" max="6" width="9.33203125" style="3" customWidth="1"/>
    <col min="7" max="8" width="10" style="3" customWidth="1"/>
    <col min="9" max="9" width="9.6640625" style="3" customWidth="1"/>
    <col min="10" max="11" width="10.6640625" style="3" customWidth="1"/>
    <col min="12" max="16384" width="9.33203125" style="3"/>
  </cols>
  <sheetData>
    <row r="1" spans="1:12" ht="11.25" customHeight="1"/>
    <row r="2" spans="1:12" ht="11.25" customHeight="1">
      <c r="A2" s="931" t="s">
        <v>280</v>
      </c>
      <c r="B2" s="931"/>
      <c r="C2" s="931"/>
      <c r="D2" s="931"/>
      <c r="E2" s="931"/>
      <c r="F2" s="931"/>
      <c r="G2" s="931"/>
      <c r="H2" s="931"/>
      <c r="I2" s="931"/>
      <c r="J2" s="931"/>
      <c r="K2" s="931"/>
    </row>
    <row r="3" spans="1:12" ht="11.25" customHeight="1">
      <c r="A3" s="84"/>
      <c r="B3" s="84"/>
      <c r="C3" s="84"/>
      <c r="D3" s="84"/>
      <c r="E3" s="84"/>
      <c r="F3" s="84"/>
      <c r="G3" s="84"/>
      <c r="H3" s="84"/>
      <c r="I3" s="84"/>
      <c r="J3" s="84"/>
      <c r="K3" s="84"/>
      <c r="L3" s="45"/>
    </row>
    <row r="4" spans="1:12" ht="11.25" customHeight="1">
      <c r="A4" s="932" t="s">
        <v>487</v>
      </c>
      <c r="B4" s="932"/>
      <c r="C4" s="932"/>
      <c r="D4" s="932"/>
      <c r="E4" s="932"/>
      <c r="F4" s="932"/>
      <c r="G4" s="932"/>
      <c r="H4" s="932"/>
      <c r="I4" s="932"/>
      <c r="J4" s="932"/>
      <c r="K4" s="932"/>
      <c r="L4" s="45"/>
    </row>
    <row r="5" spans="1:12" ht="11.25" customHeight="1">
      <c r="A5" s="84"/>
      <c r="B5" s="85"/>
      <c r="C5" s="86"/>
      <c r="D5" s="87"/>
      <c r="E5" s="87"/>
      <c r="F5" s="87"/>
      <c r="G5" s="87"/>
      <c r="H5" s="88"/>
      <c r="I5" s="83"/>
      <c r="J5" s="83"/>
      <c r="K5" s="89"/>
      <c r="L5" s="10"/>
    </row>
    <row r="6" spans="1:12" ht="12.75" customHeight="1">
      <c r="A6" s="914" t="s">
        <v>229</v>
      </c>
      <c r="B6" s="911" t="s">
        <v>283</v>
      </c>
      <c r="C6" s="912"/>
      <c r="D6" s="912"/>
      <c r="E6" s="912" t="s">
        <v>34</v>
      </c>
      <c r="F6" s="912"/>
      <c r="G6" s="913" t="s">
        <v>282</v>
      </c>
      <c r="H6" s="913"/>
      <c r="I6" s="913"/>
      <c r="J6" s="913"/>
      <c r="K6" s="913"/>
      <c r="L6" s="20"/>
    </row>
    <row r="7" spans="1:12" ht="12.75" customHeight="1">
      <c r="A7" s="914"/>
      <c r="B7" s="793">
        <f>+'5. RER'!B5</f>
        <v>43255</v>
      </c>
      <c r="C7" s="793">
        <f>+'5. RER'!C5</f>
        <v>43285</v>
      </c>
      <c r="D7" s="793">
        <f>+'5. RER'!D5</f>
        <v>43313</v>
      </c>
      <c r="E7" s="793">
        <f>+'5. RER'!E5</f>
        <v>42948</v>
      </c>
      <c r="F7" s="933" t="s">
        <v>130</v>
      </c>
      <c r="G7" s="794">
        <v>2018</v>
      </c>
      <c r="H7" s="794">
        <v>2017</v>
      </c>
      <c r="I7" s="933" t="s">
        <v>43</v>
      </c>
      <c r="J7" s="794">
        <v>2016</v>
      </c>
      <c r="K7" s="933" t="s">
        <v>36</v>
      </c>
      <c r="L7" s="17"/>
    </row>
    <row r="8" spans="1:12" ht="12.75" customHeight="1">
      <c r="A8" s="914"/>
      <c r="B8" s="795">
        <v>43256.78125</v>
      </c>
      <c r="C8" s="795">
        <v>43294.791666666664</v>
      </c>
      <c r="D8" s="795">
        <v>43340.833333333336</v>
      </c>
      <c r="E8" s="795">
        <v>42971.791666666664</v>
      </c>
      <c r="F8" s="934"/>
      <c r="G8" s="796">
        <v>43214.78125</v>
      </c>
      <c r="H8" s="796">
        <v>42801.8125</v>
      </c>
      <c r="I8" s="934"/>
      <c r="J8" s="796">
        <v>42459.791666666664</v>
      </c>
      <c r="K8" s="934"/>
      <c r="L8" s="19"/>
    </row>
    <row r="9" spans="1:12" ht="12.75" customHeight="1">
      <c r="A9" s="914"/>
      <c r="B9" s="797">
        <v>43256.78125</v>
      </c>
      <c r="C9" s="797">
        <v>43294.791666666664</v>
      </c>
      <c r="D9" s="797">
        <v>43340.833333333336</v>
      </c>
      <c r="E9" s="797">
        <v>42971.791666666664</v>
      </c>
      <c r="F9" s="934"/>
      <c r="G9" s="797">
        <v>43214.78125</v>
      </c>
      <c r="H9" s="798">
        <v>42801.8125</v>
      </c>
      <c r="I9" s="934"/>
      <c r="J9" s="799">
        <v>42459.791666666664</v>
      </c>
      <c r="K9" s="934"/>
      <c r="L9" s="18"/>
    </row>
    <row r="10" spans="1:12" ht="12.75" customHeight="1">
      <c r="A10" s="360" t="s">
        <v>37</v>
      </c>
      <c r="B10" s="447">
        <v>4072.4372500000009</v>
      </c>
      <c r="C10" s="448">
        <v>3444.4161900000004</v>
      </c>
      <c r="D10" s="449">
        <v>3192.9275000000007</v>
      </c>
      <c r="E10" s="447">
        <v>2824.2071499999993</v>
      </c>
      <c r="F10" s="361">
        <f>+IF(E10=0,"",D10/E10-1)</f>
        <v>0.13055711936711201</v>
      </c>
      <c r="G10" s="447">
        <v>4457.8647499999988</v>
      </c>
      <c r="H10" s="448">
        <v>4181.7234999999982</v>
      </c>
      <c r="I10" s="361">
        <f>+IF(H10=0,"",G10/H10-1)</f>
        <v>6.6035272298611059E-2</v>
      </c>
      <c r="J10" s="447">
        <v>3527.2958100000001</v>
      </c>
      <c r="K10" s="361">
        <f t="shared" ref="K10:K20" si="0">+IF(J10=0,"",H10/J10-1)</f>
        <v>0.18553240931613213</v>
      </c>
      <c r="L10" s="18"/>
    </row>
    <row r="11" spans="1:12" ht="12.75" customHeight="1">
      <c r="A11" s="187" t="s">
        <v>38</v>
      </c>
      <c r="B11" s="450">
        <v>2235.7231999999999</v>
      </c>
      <c r="C11" s="335">
        <v>2790.9961800000005</v>
      </c>
      <c r="D11" s="451">
        <v>3171.9691700000003</v>
      </c>
      <c r="E11" s="450">
        <v>3365.0917999999992</v>
      </c>
      <c r="F11" s="177">
        <f>+IF(E11=0,"",D11/E11-1)</f>
        <v>-5.7390003446562421E-2</v>
      </c>
      <c r="G11" s="450">
        <v>1943.7948299999998</v>
      </c>
      <c r="H11" s="335">
        <v>2286.1302900000001</v>
      </c>
      <c r="I11" s="177">
        <f>+IF(H11=0,"",G11/H11-1)</f>
        <v>-0.14974450996841493</v>
      </c>
      <c r="J11" s="450">
        <v>2770.9643299999998</v>
      </c>
      <c r="K11" s="177">
        <f t="shared" si="0"/>
        <v>-0.1749694266183498</v>
      </c>
      <c r="L11" s="18"/>
    </row>
    <row r="12" spans="1:12" ht="12.75" customHeight="1">
      <c r="A12" s="188" t="s">
        <v>39</v>
      </c>
      <c r="B12" s="452">
        <v>234.07465999999999</v>
      </c>
      <c r="C12" s="336">
        <v>185.59888999999998</v>
      </c>
      <c r="D12" s="453">
        <v>154.37610000000001</v>
      </c>
      <c r="E12" s="452">
        <v>114.56331</v>
      </c>
      <c r="F12" s="178">
        <f>+IF(E12=0,"",D12/E12-1)</f>
        <v>0.34751780478409722</v>
      </c>
      <c r="G12" s="452">
        <v>309.01528000000002</v>
      </c>
      <c r="H12" s="336">
        <v>91.209550000000007</v>
      </c>
      <c r="I12" s="178">
        <f>+IF(H12=0,"",G12/H12-1)</f>
        <v>2.3879706675452295</v>
      </c>
      <c r="J12" s="452">
        <v>146.64738</v>
      </c>
      <c r="K12" s="178">
        <f t="shared" si="0"/>
        <v>-0.37803491613692652</v>
      </c>
      <c r="L12" s="17"/>
    </row>
    <row r="13" spans="1:12" ht="12.75" customHeight="1">
      <c r="A13" s="189" t="s">
        <v>30</v>
      </c>
      <c r="B13" s="454">
        <v>0</v>
      </c>
      <c r="C13" s="455">
        <v>0</v>
      </c>
      <c r="D13" s="456">
        <v>0</v>
      </c>
      <c r="E13" s="454">
        <v>0</v>
      </c>
      <c r="F13" s="179" t="str">
        <f>+IF(E13=0,"",D13/E13-1)</f>
        <v/>
      </c>
      <c r="G13" s="454">
        <v>0</v>
      </c>
      <c r="H13" s="455">
        <v>0</v>
      </c>
      <c r="I13" s="179" t="str">
        <f>+IF(H13=0,"",G13/H13-1)</f>
        <v/>
      </c>
      <c r="J13" s="454">
        <v>0</v>
      </c>
      <c r="K13" s="179" t="str">
        <f t="shared" si="0"/>
        <v/>
      </c>
      <c r="L13" s="19"/>
    </row>
    <row r="14" spans="1:12" ht="12.75" customHeight="1">
      <c r="A14" s="190" t="s">
        <v>44</v>
      </c>
      <c r="B14" s="457">
        <f>+SUM(B10:B13)</f>
        <v>6542.2351100000014</v>
      </c>
      <c r="C14" s="458">
        <f>+SUM(C10:C13)</f>
        <v>6421.0112600000011</v>
      </c>
      <c r="D14" s="459">
        <f>+SUM(D10:D13)</f>
        <v>6519.2727700000014</v>
      </c>
      <c r="E14" s="457">
        <f>+SUM(E10:E13)</f>
        <v>6303.8622599999981</v>
      </c>
      <c r="F14" s="180">
        <f>+IF(E14=0,"",D14/E14-1)</f>
        <v>3.4171195548933664E-2</v>
      </c>
      <c r="G14" s="457">
        <f>+SUM(G10:G13)</f>
        <v>6710.6748599999983</v>
      </c>
      <c r="H14" s="458">
        <f>+SUM(H10:H13)</f>
        <v>6559.0633399999979</v>
      </c>
      <c r="I14" s="180">
        <f>+IF(H14=0,"",G14/H14-1)</f>
        <v>2.3114812609813962E-2</v>
      </c>
      <c r="J14" s="457">
        <f>+SUM(J10:J13)</f>
        <v>6444.9075200000007</v>
      </c>
      <c r="K14" s="180">
        <f t="shared" si="0"/>
        <v>1.7712561374348068E-2</v>
      </c>
      <c r="L14" s="18"/>
    </row>
    <row r="15" spans="1:12" ht="6.75" customHeight="1">
      <c r="A15" s="339"/>
      <c r="B15" s="339"/>
      <c r="C15" s="339"/>
      <c r="D15" s="339"/>
      <c r="E15" s="339"/>
      <c r="F15" s="339"/>
      <c r="G15" s="339"/>
      <c r="H15" s="339"/>
      <c r="I15" s="339"/>
      <c r="J15" s="339"/>
      <c r="K15" s="339"/>
      <c r="L15" s="18"/>
    </row>
    <row r="16" spans="1:12" ht="12.75" customHeight="1">
      <c r="A16" s="362" t="s">
        <v>40</v>
      </c>
      <c r="B16" s="363">
        <v>0</v>
      </c>
      <c r="C16" s="364">
        <v>41.844000000000001</v>
      </c>
      <c r="D16" s="365">
        <v>0</v>
      </c>
      <c r="E16" s="363">
        <v>0</v>
      </c>
      <c r="F16" s="366" t="str">
        <f>+IF(E16=0,"",D16/E16-1)</f>
        <v/>
      </c>
      <c r="G16" s="363">
        <v>0</v>
      </c>
      <c r="H16" s="364">
        <v>36.515999999999998</v>
      </c>
      <c r="I16" s="366">
        <f>+IF(H16=0,"",G16/H16-1)</f>
        <v>-1</v>
      </c>
      <c r="J16" s="363">
        <v>0</v>
      </c>
      <c r="K16" s="366" t="str">
        <f t="shared" si="0"/>
        <v/>
      </c>
      <c r="L16" s="20"/>
    </row>
    <row r="17" spans="1:12" ht="12.75" customHeight="1">
      <c r="A17" s="367" t="s">
        <v>41</v>
      </c>
      <c r="B17" s="337">
        <v>0</v>
      </c>
      <c r="C17" s="319">
        <v>0</v>
      </c>
      <c r="D17" s="338">
        <v>0</v>
      </c>
      <c r="E17" s="337">
        <v>0</v>
      </c>
      <c r="F17" s="164" t="str">
        <f>+IF(E17=0,"",D17/E17-1)</f>
        <v/>
      </c>
      <c r="G17" s="337">
        <v>0</v>
      </c>
      <c r="H17" s="319">
        <v>0</v>
      </c>
      <c r="I17" s="164" t="str">
        <f>+IF(H17=0,"",G17/H17-1)</f>
        <v/>
      </c>
      <c r="J17" s="337">
        <v>0</v>
      </c>
      <c r="K17" s="164" t="str">
        <f t="shared" si="0"/>
        <v/>
      </c>
      <c r="L17" s="20"/>
    </row>
    <row r="18" spans="1:12" ht="24" customHeight="1">
      <c r="A18" s="368" t="s">
        <v>42</v>
      </c>
      <c r="B18" s="369">
        <f>+B17-B16</f>
        <v>0</v>
      </c>
      <c r="C18" s="370">
        <f>+C17-C16</f>
        <v>-41.844000000000001</v>
      </c>
      <c r="D18" s="371">
        <f>+D17-D16</f>
        <v>0</v>
      </c>
      <c r="E18" s="369">
        <f>+E17-E16</f>
        <v>0</v>
      </c>
      <c r="F18" s="372"/>
      <c r="G18" s="369">
        <f>+G17-G16</f>
        <v>0</v>
      </c>
      <c r="H18" s="370">
        <f>+H17-H16</f>
        <v>-36.515999999999998</v>
      </c>
      <c r="I18" s="372">
        <f>+IF(H18=0,"",G18/H18-1)</f>
        <v>-1</v>
      </c>
      <c r="J18" s="369">
        <f>+J17-J16</f>
        <v>0</v>
      </c>
      <c r="K18" s="372" t="str">
        <f t="shared" si="0"/>
        <v/>
      </c>
      <c r="L18" s="20"/>
    </row>
    <row r="19" spans="1:12" ht="6" customHeight="1">
      <c r="A19" s="29"/>
      <c r="B19" s="29"/>
      <c r="C19" s="29"/>
      <c r="D19" s="29"/>
      <c r="E19" s="29"/>
      <c r="F19" s="29"/>
      <c r="G19" s="29"/>
      <c r="H19" s="29"/>
      <c r="I19" s="29"/>
      <c r="J19" s="29"/>
      <c r="K19" s="29"/>
      <c r="L19" s="20"/>
    </row>
    <row r="20" spans="1:12" ht="24" customHeight="1">
      <c r="A20" s="373" t="s">
        <v>281</v>
      </c>
      <c r="B20" s="460">
        <f t="shared" ref="B20:E20" si="1">+B14-B18</f>
        <v>6542.2351100000014</v>
      </c>
      <c r="C20" s="461">
        <f t="shared" si="1"/>
        <v>6462.8552600000012</v>
      </c>
      <c r="D20" s="462">
        <f t="shared" si="1"/>
        <v>6519.2727700000014</v>
      </c>
      <c r="E20" s="460">
        <f t="shared" si="1"/>
        <v>6303.8622599999981</v>
      </c>
      <c r="F20" s="374">
        <f>+IF(E20=0,"",D20/E20-1)</f>
        <v>3.4171195548933664E-2</v>
      </c>
      <c r="G20" s="460">
        <f>+G14-G18</f>
        <v>6710.6748599999983</v>
      </c>
      <c r="H20" s="460">
        <f>+H14-H18</f>
        <v>6595.5793399999975</v>
      </c>
      <c r="I20" s="374">
        <f>+IF(H20=0,"",G20/H20-1)</f>
        <v>1.7450403378818313E-2</v>
      </c>
      <c r="J20" s="460">
        <f>+J14-J18</f>
        <v>6444.9075200000007</v>
      </c>
      <c r="K20" s="622">
        <f t="shared" si="0"/>
        <v>2.3378430106627324E-2</v>
      </c>
      <c r="L20" s="20"/>
    </row>
    <row r="21" spans="1:12" ht="11.25" customHeight="1">
      <c r="A21" s="357" t="s">
        <v>516</v>
      </c>
      <c r="B21" s="159"/>
      <c r="C21" s="159"/>
      <c r="D21" s="159"/>
      <c r="E21" s="159"/>
      <c r="F21" s="159"/>
      <c r="G21" s="159"/>
      <c r="H21" s="159"/>
      <c r="I21" s="159"/>
      <c r="J21" s="159"/>
      <c r="K21" s="159"/>
      <c r="L21" s="22"/>
    </row>
    <row r="22" spans="1:12" ht="17.25" customHeight="1">
      <c r="A22" s="929" t="s">
        <v>509</v>
      </c>
      <c r="B22" s="929"/>
      <c r="C22" s="929"/>
      <c r="D22" s="929"/>
      <c r="E22" s="929"/>
      <c r="F22" s="929"/>
      <c r="G22" s="929"/>
      <c r="H22" s="929"/>
      <c r="I22" s="929"/>
      <c r="J22" s="929"/>
      <c r="K22" s="929"/>
      <c r="L22" s="20"/>
    </row>
    <row r="23" spans="1:12" ht="11.25" customHeight="1">
      <c r="A23" s="181"/>
      <c r="B23" s="181"/>
      <c r="C23" s="181"/>
      <c r="D23" s="181"/>
      <c r="E23" s="181"/>
      <c r="F23" s="181"/>
      <c r="G23" s="181"/>
      <c r="H23" s="181"/>
      <c r="I23" s="181"/>
      <c r="J23" s="181"/>
      <c r="K23" s="181"/>
      <c r="L23" s="20"/>
    </row>
    <row r="24" spans="1:12" ht="11.25" customHeight="1">
      <c r="A24" s="158"/>
      <c r="B24" s="158"/>
      <c r="C24" s="158"/>
      <c r="D24" s="158"/>
      <c r="E24" s="158"/>
      <c r="F24" s="158"/>
      <c r="G24" s="158"/>
      <c r="H24" s="158"/>
      <c r="I24" s="158"/>
      <c r="J24" s="158"/>
      <c r="K24" s="159"/>
      <c r="L24" s="20"/>
    </row>
    <row r="25" spans="1:12" ht="11.25" customHeight="1">
      <c r="A25" s="157"/>
      <c r="B25" s="159"/>
      <c r="C25" s="159"/>
      <c r="D25" s="159"/>
      <c r="E25" s="159"/>
      <c r="F25" s="159"/>
      <c r="G25" s="159"/>
      <c r="H25" s="159"/>
      <c r="I25" s="159"/>
      <c r="J25" s="159"/>
      <c r="K25" s="159"/>
      <c r="L25" s="22"/>
    </row>
    <row r="26" spans="1:12" ht="11.25" customHeight="1">
      <c r="A26" s="157"/>
      <c r="B26" s="159"/>
      <c r="C26" s="159"/>
      <c r="D26" s="159"/>
      <c r="E26" s="159"/>
      <c r="F26" s="159"/>
      <c r="G26" s="159"/>
      <c r="H26" s="159"/>
      <c r="I26" s="159"/>
      <c r="J26" s="159"/>
      <c r="K26" s="159"/>
      <c r="L26" s="20"/>
    </row>
    <row r="27" spans="1:12" ht="11.25" customHeight="1">
      <c r="A27" s="157"/>
      <c r="B27" s="159"/>
      <c r="C27" s="159"/>
      <c r="D27" s="159"/>
      <c r="E27" s="159"/>
      <c r="F27" s="159"/>
      <c r="G27" s="159"/>
      <c r="H27" s="159"/>
      <c r="I27" s="159"/>
      <c r="J27" s="159"/>
      <c r="K27" s="159"/>
      <c r="L27" s="20"/>
    </row>
    <row r="28" spans="1:12" ht="11.25" customHeight="1">
      <c r="A28" s="157"/>
      <c r="B28" s="159"/>
      <c r="C28" s="159"/>
      <c r="D28" s="159"/>
      <c r="E28" s="159"/>
      <c r="F28" s="159"/>
      <c r="G28" s="159"/>
      <c r="H28" s="159"/>
      <c r="I28" s="159"/>
      <c r="J28" s="159"/>
      <c r="K28" s="159"/>
      <c r="L28" s="20"/>
    </row>
    <row r="29" spans="1:12" ht="11.25" customHeight="1">
      <c r="A29" s="157"/>
      <c r="B29" s="159"/>
      <c r="C29" s="159"/>
      <c r="D29" s="159"/>
      <c r="E29" s="159"/>
      <c r="F29" s="159"/>
      <c r="G29" s="159"/>
      <c r="H29" s="159"/>
      <c r="I29" s="159"/>
      <c r="J29" s="159"/>
      <c r="K29" s="159"/>
      <c r="L29" s="20"/>
    </row>
    <row r="30" spans="1:12" ht="11.25" customHeight="1">
      <c r="A30" s="157"/>
      <c r="B30" s="159"/>
      <c r="C30" s="159"/>
      <c r="D30" s="159"/>
      <c r="E30" s="159"/>
      <c r="F30" s="159"/>
      <c r="G30" s="159"/>
      <c r="H30" s="159"/>
      <c r="I30" s="159"/>
      <c r="J30" s="159"/>
      <c r="K30" s="159"/>
      <c r="L30" s="20"/>
    </row>
    <row r="31" spans="1:12" ht="11.25" customHeight="1">
      <c r="A31" s="157"/>
      <c r="B31" s="159"/>
      <c r="C31" s="159"/>
      <c r="D31" s="159"/>
      <c r="E31" s="159"/>
      <c r="F31" s="159"/>
      <c r="G31" s="159"/>
      <c r="H31" s="159"/>
      <c r="I31" s="159"/>
      <c r="J31" s="159"/>
      <c r="K31" s="159"/>
      <c r="L31" s="20"/>
    </row>
    <row r="32" spans="1:12" ht="11.25" customHeight="1">
      <c r="A32" s="157"/>
      <c r="B32" s="159"/>
      <c r="C32" s="159"/>
      <c r="D32" s="159"/>
      <c r="E32" s="159"/>
      <c r="F32" s="159"/>
      <c r="G32" s="159"/>
      <c r="H32" s="159"/>
      <c r="I32" s="159"/>
      <c r="J32" s="159"/>
      <c r="K32" s="159"/>
      <c r="L32" s="20"/>
    </row>
    <row r="33" spans="1:12" ht="11.25" customHeight="1">
      <c r="A33" s="157"/>
      <c r="B33" s="159"/>
      <c r="C33" s="159"/>
      <c r="D33" s="159"/>
      <c r="E33" s="159"/>
      <c r="F33" s="159"/>
      <c r="G33" s="159"/>
      <c r="H33" s="159"/>
      <c r="I33" s="159"/>
      <c r="J33" s="159"/>
      <c r="K33" s="159"/>
      <c r="L33" s="20"/>
    </row>
    <row r="34" spans="1:12" ht="11.25" customHeight="1">
      <c r="A34" s="157"/>
      <c r="B34" s="159"/>
      <c r="C34" s="159"/>
      <c r="D34" s="159"/>
      <c r="E34" s="159"/>
      <c r="F34" s="159"/>
      <c r="G34" s="159"/>
      <c r="H34" s="159"/>
      <c r="I34" s="159"/>
      <c r="J34" s="159"/>
      <c r="K34" s="159"/>
      <c r="L34" s="20"/>
    </row>
    <row r="35" spans="1:12" ht="11.25" customHeight="1">
      <c r="A35" s="157"/>
      <c r="B35" s="159"/>
      <c r="C35" s="159"/>
      <c r="D35" s="159"/>
      <c r="E35" s="159"/>
      <c r="F35" s="159"/>
      <c r="G35" s="159"/>
      <c r="H35" s="159"/>
      <c r="I35" s="159"/>
      <c r="J35" s="159"/>
      <c r="K35" s="159"/>
      <c r="L35" s="20"/>
    </row>
    <row r="36" spans="1:12" ht="11.25" customHeight="1">
      <c r="A36" s="157"/>
      <c r="B36" s="159"/>
      <c r="C36" s="159"/>
      <c r="D36" s="159"/>
      <c r="E36" s="159"/>
      <c r="F36" s="159"/>
      <c r="G36" s="159"/>
      <c r="H36" s="159"/>
      <c r="I36" s="159"/>
      <c r="J36" s="159"/>
      <c r="K36" s="159"/>
      <c r="L36" s="20"/>
    </row>
    <row r="37" spans="1:12" ht="11.25" customHeight="1">
      <c r="A37" s="157"/>
      <c r="B37" s="159"/>
      <c r="C37" s="159"/>
      <c r="D37" s="159"/>
      <c r="E37" s="159"/>
      <c r="F37" s="159"/>
      <c r="G37" s="159"/>
      <c r="H37" s="159"/>
      <c r="I37" s="159"/>
      <c r="J37" s="159"/>
      <c r="K37" s="159"/>
      <c r="L37" s="20"/>
    </row>
    <row r="38" spans="1:12" ht="11.25" customHeight="1">
      <c r="A38" s="157"/>
      <c r="B38" s="159"/>
      <c r="C38" s="159"/>
      <c r="D38" s="159"/>
      <c r="E38" s="159"/>
      <c r="F38" s="159"/>
      <c r="G38" s="159"/>
      <c r="H38" s="159"/>
      <c r="I38" s="159"/>
      <c r="J38" s="159"/>
      <c r="K38" s="159"/>
      <c r="L38" s="20"/>
    </row>
    <row r="39" spans="1:12" ht="11.25" customHeight="1">
      <c r="A39" s="157"/>
      <c r="B39" s="159"/>
      <c r="C39" s="159"/>
      <c r="D39" s="159"/>
      <c r="E39" s="159"/>
      <c r="F39" s="159"/>
      <c r="G39" s="159"/>
      <c r="H39" s="159"/>
      <c r="I39" s="159"/>
      <c r="J39" s="159"/>
      <c r="K39" s="159"/>
      <c r="L39" s="20"/>
    </row>
    <row r="40" spans="1:12" ht="11.25" customHeight="1">
      <c r="A40" s="157"/>
      <c r="B40" s="159"/>
      <c r="C40" s="159"/>
      <c r="D40" s="159"/>
      <c r="E40" s="159"/>
      <c r="F40" s="159"/>
      <c r="G40" s="159"/>
      <c r="H40" s="159"/>
      <c r="I40" s="159"/>
      <c r="J40" s="159"/>
      <c r="K40" s="159"/>
      <c r="L40" s="20"/>
    </row>
    <row r="41" spans="1:12" ht="11.25" customHeight="1">
      <c r="A41" s="157"/>
      <c r="B41" s="159"/>
      <c r="C41" s="159"/>
      <c r="D41" s="159"/>
      <c r="E41" s="159"/>
      <c r="F41" s="159"/>
      <c r="G41" s="159"/>
      <c r="H41" s="159"/>
      <c r="I41" s="159"/>
      <c r="J41" s="159"/>
      <c r="K41" s="159"/>
      <c r="L41" s="20"/>
    </row>
    <row r="42" spans="1:12" ht="11.25" customHeight="1">
      <c r="A42" s="157"/>
      <c r="B42" s="159"/>
      <c r="C42" s="159"/>
      <c r="D42" s="159"/>
      <c r="E42" s="159"/>
      <c r="F42" s="159"/>
      <c r="G42" s="159"/>
      <c r="H42" s="159"/>
      <c r="I42" s="159"/>
      <c r="J42" s="159"/>
      <c r="K42" s="159"/>
      <c r="L42" s="20"/>
    </row>
    <row r="43" spans="1:12" ht="11.25" customHeight="1">
      <c r="A43" s="157"/>
      <c r="B43" s="159"/>
      <c r="C43" s="159"/>
      <c r="D43" s="159"/>
      <c r="E43" s="159"/>
      <c r="F43" s="159"/>
      <c r="G43" s="159"/>
      <c r="H43" s="159"/>
      <c r="I43" s="159"/>
      <c r="J43" s="159"/>
      <c r="K43" s="159"/>
      <c r="L43" s="20"/>
    </row>
    <row r="44" spans="1:12" ht="11.25" customHeight="1">
      <c r="A44" s="157"/>
      <c r="B44" s="159"/>
      <c r="C44" s="159"/>
      <c r="D44" s="159"/>
      <c r="E44" s="159"/>
      <c r="F44" s="159"/>
      <c r="G44" s="159"/>
      <c r="H44" s="159"/>
      <c r="I44" s="159"/>
      <c r="J44" s="159"/>
      <c r="K44" s="159"/>
      <c r="L44" s="20"/>
    </row>
    <row r="45" spans="1:12" ht="11.25" customHeight="1">
      <c r="A45" s="157"/>
      <c r="B45" s="159"/>
      <c r="C45" s="159"/>
      <c r="D45" s="159"/>
      <c r="E45" s="159"/>
      <c r="F45" s="159"/>
      <c r="G45" s="159"/>
      <c r="H45" s="159"/>
      <c r="I45" s="159"/>
      <c r="J45" s="159"/>
      <c r="K45" s="159"/>
      <c r="L45" s="20"/>
    </row>
    <row r="46" spans="1:12" ht="11.25" customHeight="1">
      <c r="A46" s="157"/>
      <c r="B46" s="159"/>
      <c r="C46" s="159"/>
      <c r="D46" s="159"/>
      <c r="E46" s="159"/>
      <c r="F46" s="159"/>
      <c r="G46" s="159"/>
      <c r="H46" s="159"/>
      <c r="I46" s="159"/>
      <c r="J46" s="159"/>
      <c r="K46" s="159"/>
      <c r="L46" s="48"/>
    </row>
    <row r="47" spans="1:12" ht="11.25" customHeight="1">
      <c r="A47" s="157"/>
      <c r="B47" s="159"/>
      <c r="C47" s="159"/>
      <c r="D47" s="159"/>
      <c r="E47" s="159"/>
      <c r="F47" s="159"/>
      <c r="G47" s="159"/>
      <c r="H47" s="159"/>
      <c r="I47" s="159"/>
      <c r="J47" s="159"/>
      <c r="K47" s="159"/>
      <c r="L47" s="20"/>
    </row>
    <row r="48" spans="1:12" ht="11.25" customHeight="1">
      <c r="A48" s="157"/>
      <c r="B48" s="159"/>
      <c r="C48" s="159"/>
      <c r="D48" s="159"/>
      <c r="E48" s="159"/>
      <c r="F48" s="159"/>
      <c r="G48" s="159"/>
      <c r="H48" s="159"/>
      <c r="I48" s="159"/>
      <c r="J48" s="159"/>
      <c r="K48" s="159"/>
      <c r="L48" s="20"/>
    </row>
    <row r="49" spans="1:12" ht="11.25" customHeight="1">
      <c r="A49" s="157"/>
      <c r="B49" s="159"/>
      <c r="C49" s="159"/>
      <c r="D49" s="159"/>
      <c r="E49" s="159"/>
      <c r="F49" s="159"/>
      <c r="G49" s="159"/>
      <c r="H49" s="159"/>
      <c r="I49" s="159"/>
      <c r="J49" s="159"/>
      <c r="K49" s="159"/>
      <c r="L49" s="20"/>
    </row>
    <row r="50" spans="1:12" ht="11.25" customHeight="1">
      <c r="A50" s="157"/>
      <c r="B50" s="159"/>
      <c r="C50" s="159"/>
      <c r="D50" s="159"/>
      <c r="E50" s="159"/>
      <c r="F50" s="159"/>
      <c r="G50" s="159"/>
      <c r="H50" s="159"/>
      <c r="I50" s="159"/>
      <c r="J50" s="159"/>
      <c r="K50" s="159"/>
      <c r="L50" s="20"/>
    </row>
    <row r="51" spans="1:12" ht="11.25" customHeight="1">
      <c r="A51" s="157"/>
      <c r="B51" s="159"/>
      <c r="C51" s="159"/>
      <c r="D51" s="159"/>
      <c r="E51" s="159"/>
      <c r="F51" s="159"/>
      <c r="G51" s="159"/>
      <c r="H51" s="159"/>
      <c r="I51" s="159"/>
      <c r="J51" s="159"/>
      <c r="K51" s="159"/>
      <c r="L51" s="20"/>
    </row>
    <row r="52" spans="1:12" ht="11.25" customHeight="1">
      <c r="A52" s="182"/>
      <c r="B52" s="182"/>
      <c r="C52" s="182"/>
      <c r="D52" s="182"/>
      <c r="E52" s="182"/>
      <c r="F52" s="182"/>
      <c r="G52" s="182"/>
      <c r="H52" s="182"/>
      <c r="I52" s="182"/>
      <c r="J52" s="182"/>
      <c r="K52" s="182"/>
      <c r="L52" s="20"/>
    </row>
    <row r="53" spans="1:12" ht="11.25" customHeight="1">
      <c r="L53" s="15"/>
    </row>
    <row r="54" spans="1:12" ht="11.25" customHeight="1">
      <c r="A54" s="183"/>
      <c r="B54" s="159"/>
      <c r="C54" s="159"/>
      <c r="D54" s="159"/>
      <c r="E54" s="159"/>
      <c r="F54" s="159"/>
      <c r="G54" s="159"/>
      <c r="H54" s="159"/>
      <c r="I54" s="159"/>
      <c r="J54" s="159"/>
      <c r="K54" s="159"/>
      <c r="L54" s="14"/>
    </row>
    <row r="55" spans="1:12" ht="11.25" customHeight="1">
      <c r="A55" s="183"/>
      <c r="B55" s="184"/>
      <c r="C55" s="184"/>
      <c r="D55" s="184"/>
      <c r="E55" s="184"/>
      <c r="F55" s="184"/>
      <c r="G55" s="159"/>
      <c r="H55" s="159"/>
      <c r="I55" s="159"/>
      <c r="J55" s="159"/>
      <c r="K55" s="159"/>
      <c r="L55" s="14"/>
    </row>
    <row r="56" spans="1:12" ht="11.25" customHeight="1">
      <c r="A56" s="173"/>
      <c r="B56" s="185"/>
      <c r="C56" s="185"/>
      <c r="D56" s="186"/>
      <c r="E56" s="186"/>
      <c r="F56" s="186"/>
      <c r="G56" s="159"/>
      <c r="H56" s="159"/>
      <c r="I56" s="159"/>
      <c r="J56" s="159"/>
      <c r="K56" s="159"/>
      <c r="L56" s="14"/>
    </row>
    <row r="57" spans="1:12" ht="11.25" customHeight="1">
      <c r="L57" s="14"/>
    </row>
    <row r="58" spans="1:12" ht="12">
      <c r="A58" s="930" t="str">
        <f>"Gráfico N° 11: Comparación de la máxima potencia coincidente de potencia (MW) por tipo de generación en el SEIN en "&amp;'1. Resumen'!Q4</f>
        <v>Gráfico N° 11: Comparación de la máxima potencia coincidente de potencia (MW) por tipo de generación en el SEIN en agosto</v>
      </c>
      <c r="B58" s="930"/>
      <c r="C58" s="930"/>
      <c r="D58" s="930"/>
      <c r="E58" s="930"/>
      <c r="F58" s="930"/>
      <c r="G58" s="930"/>
      <c r="H58" s="930"/>
      <c r="I58" s="930"/>
      <c r="J58" s="930"/>
      <c r="K58" s="930"/>
      <c r="L58" s="14"/>
    </row>
    <row r="59" spans="1:12" ht="12">
      <c r="A59" s="173"/>
      <c r="B59" s="185"/>
      <c r="C59" s="185"/>
      <c r="D59" s="186"/>
      <c r="E59" s="186"/>
      <c r="F59" s="186"/>
      <c r="G59" s="159"/>
      <c r="H59" s="159"/>
      <c r="I59" s="159"/>
      <c r="J59" s="159"/>
      <c r="K59" s="159"/>
      <c r="L59" s="14"/>
    </row>
    <row r="60" spans="1:12" ht="12">
      <c r="A60" s="173"/>
      <c r="B60" s="185"/>
      <c r="C60" s="185"/>
      <c r="D60" s="186"/>
      <c r="E60" s="186"/>
      <c r="F60" s="186"/>
      <c r="G60" s="159"/>
      <c r="H60" s="159"/>
      <c r="I60" s="159"/>
      <c r="J60" s="159"/>
      <c r="K60" s="159"/>
      <c r="L60" s="14"/>
    </row>
    <row r="61" spans="1:12" ht="12.75">
      <c r="A61" s="23"/>
      <c r="B61" s="175"/>
      <c r="C61" s="175"/>
      <c r="D61" s="176"/>
      <c r="E61" s="176"/>
      <c r="F61" s="176"/>
      <c r="G61" s="91"/>
      <c r="H61" s="91"/>
      <c r="I61" s="91"/>
      <c r="J61" s="91"/>
      <c r="K61" s="91"/>
      <c r="L61" s="14"/>
    </row>
    <row r="62" spans="1:12" ht="12.75">
      <c r="A62" s="23"/>
      <c r="B62" s="175"/>
      <c r="C62" s="175"/>
      <c r="D62" s="176"/>
      <c r="E62" s="176"/>
      <c r="F62" s="176"/>
      <c r="G62" s="91"/>
      <c r="H62" s="91"/>
      <c r="I62" s="91"/>
      <c r="J62" s="91"/>
      <c r="K62" s="91"/>
    </row>
  </sheetData>
  <mergeCells count="11">
    <mergeCell ref="A22:K22"/>
    <mergeCell ref="A58:K58"/>
    <mergeCell ref="A2:K2"/>
    <mergeCell ref="A4:K4"/>
    <mergeCell ref="B6:D6"/>
    <mergeCell ref="E6:F6"/>
    <mergeCell ref="G6:K6"/>
    <mergeCell ref="F7:F9"/>
    <mergeCell ref="I7:I9"/>
    <mergeCell ref="K7:K9"/>
    <mergeCell ref="A6:A9"/>
  </mergeCells>
  <pageMargins left="0.7" right="0.59782608695652173" top="0.86956521739130432" bottom="0.61458333333333337" header="0.3" footer="0.3"/>
  <pageSetup orientation="portrait" r:id="rId1"/>
  <headerFooter>
    <oddHeader>&amp;R&amp;7Informe de la Operación Mensual - Agosto 2018
INFSGI-MES-08-2018
10/09/2018
Versión: 01</oddHeader>
    <oddFooter>&amp;L&amp;7COES, 2018&amp;C8&amp;R&amp;7Dirección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FB5BA-1DD1-41DB-B49C-3B532BCE1B90}">
  <sheetPr>
    <tabColor theme="4"/>
  </sheetPr>
  <dimension ref="A1:O73"/>
  <sheetViews>
    <sheetView showGridLines="0" view="pageBreakPreview" topLeftCell="A2" zoomScale="145" zoomScaleNormal="100" zoomScaleSheetLayoutView="145" zoomScalePageLayoutView="145" workbookViewId="0">
      <selection activeCell="Q15" sqref="Q15"/>
    </sheetView>
  </sheetViews>
  <sheetFormatPr defaultRowHeight="11.25"/>
  <cols>
    <col min="1" max="1" width="26.5" style="3" customWidth="1"/>
    <col min="2" max="2" width="11.33203125" style="3" customWidth="1"/>
    <col min="3" max="3" width="10.83203125" style="3" customWidth="1"/>
    <col min="4" max="4" width="8.6640625" style="3" customWidth="1"/>
    <col min="5" max="9" width="9.33203125" style="3"/>
    <col min="10" max="10" width="11.83203125" style="3" customWidth="1"/>
    <col min="11" max="11" width="9.33203125" style="3" customWidth="1"/>
    <col min="12" max="12" width="27.83203125" style="3" customWidth="1"/>
    <col min="13" max="16384" width="9.33203125" style="3"/>
  </cols>
  <sheetData>
    <row r="1" spans="1:15" ht="11.25" customHeight="1">
      <c r="A1" s="937" t="s">
        <v>286</v>
      </c>
      <c r="B1" s="937"/>
      <c r="C1" s="937"/>
      <c r="D1" s="937"/>
      <c r="E1" s="937"/>
      <c r="F1" s="937"/>
      <c r="G1" s="937"/>
      <c r="H1" s="937"/>
      <c r="I1" s="937"/>
      <c r="J1" s="937"/>
    </row>
    <row r="2" spans="1:15" ht="7.5" customHeight="1">
      <c r="A2" s="92"/>
      <c r="B2" s="91"/>
      <c r="C2" s="91"/>
      <c r="D2" s="91"/>
      <c r="E2" s="91"/>
      <c r="F2" s="91"/>
      <c r="G2" s="91"/>
      <c r="H2" s="91"/>
      <c r="I2" s="91"/>
      <c r="J2" s="91"/>
      <c r="K2" s="45"/>
      <c r="L2" s="45"/>
    </row>
    <row r="3" spans="1:15" ht="11.25" customHeight="1">
      <c r="A3" s="938" t="s">
        <v>131</v>
      </c>
      <c r="B3" s="940" t="str">
        <f>+'1. Resumen'!Q4</f>
        <v>agosto</v>
      </c>
      <c r="C3" s="941"/>
      <c r="D3" s="942"/>
      <c r="E3" s="159"/>
      <c r="F3" s="159"/>
      <c r="G3" s="943" t="s">
        <v>285</v>
      </c>
      <c r="H3" s="943"/>
      <c r="I3" s="943"/>
      <c r="J3" s="159"/>
      <c r="K3" s="171"/>
      <c r="L3" s="171"/>
    </row>
    <row r="4" spans="1:15" ht="11.25" customHeight="1">
      <c r="A4" s="938"/>
      <c r="B4" s="800">
        <v>2018</v>
      </c>
      <c r="C4" s="801">
        <v>2017</v>
      </c>
      <c r="D4" s="944" t="s">
        <v>35</v>
      </c>
      <c r="E4" s="159"/>
      <c r="F4" s="159"/>
      <c r="G4" s="159"/>
      <c r="H4" s="159"/>
      <c r="I4" s="159"/>
      <c r="J4" s="159"/>
      <c r="K4" s="31"/>
      <c r="L4" s="152"/>
    </row>
    <row r="5" spans="1:15" ht="11.25" customHeight="1">
      <c r="A5" s="938"/>
      <c r="B5" s="802">
        <f>+'8. Max Potencia'!D8</f>
        <v>43340.833333333336</v>
      </c>
      <c r="C5" s="802">
        <f>+'8. Max Potencia'!E8</f>
        <v>42971.791666666664</v>
      </c>
      <c r="D5" s="944"/>
      <c r="E5" s="159"/>
      <c r="F5" s="159"/>
      <c r="G5" s="159"/>
      <c r="H5" s="159"/>
      <c r="I5" s="159"/>
      <c r="J5" s="159"/>
      <c r="K5" s="31"/>
      <c r="L5" s="26"/>
    </row>
    <row r="6" spans="1:15" ht="11.25" customHeight="1" thickBot="1">
      <c r="A6" s="939"/>
      <c r="B6" s="803">
        <f>+'8. Max Potencia'!D9</f>
        <v>43340.833333333336</v>
      </c>
      <c r="C6" s="803">
        <f>+'8. Max Potencia'!E9</f>
        <v>42971.791666666664</v>
      </c>
      <c r="D6" s="945"/>
      <c r="E6" s="159"/>
      <c r="F6" s="159"/>
      <c r="G6" s="159"/>
      <c r="H6" s="159"/>
      <c r="I6" s="159"/>
      <c r="J6" s="159"/>
      <c r="K6" s="32"/>
      <c r="L6" s="279" t="s">
        <v>284</v>
      </c>
      <c r="M6" s="3">
        <v>2018</v>
      </c>
      <c r="N6" s="3">
        <v>2017</v>
      </c>
    </row>
    <row r="7" spans="1:15" ht="9.75" customHeight="1">
      <c r="A7" s="570" t="s">
        <v>557</v>
      </c>
      <c r="B7" s="571">
        <v>1188.87255</v>
      </c>
      <c r="C7" s="571">
        <v>448.24476000000004</v>
      </c>
      <c r="D7" s="572">
        <f>IF(C7=0,"",B7/C7-1)</f>
        <v>1.6522843234129496</v>
      </c>
      <c r="E7" s="159"/>
      <c r="F7" s="159"/>
      <c r="G7" s="159"/>
      <c r="H7" s="159"/>
      <c r="I7" s="159"/>
      <c r="J7" s="159"/>
      <c r="K7" s="30"/>
      <c r="L7" s="380" t="s">
        <v>128</v>
      </c>
      <c r="N7" s="3">
        <v>0</v>
      </c>
      <c r="O7" s="376"/>
    </row>
    <row r="8" spans="1:15" ht="9.75" customHeight="1">
      <c r="A8" s="573" t="s">
        <v>92</v>
      </c>
      <c r="B8" s="574">
        <v>989.67624000000001</v>
      </c>
      <c r="C8" s="574">
        <v>1184.4224800000002</v>
      </c>
      <c r="D8" s="575">
        <f t="shared" ref="D8:D63" si="0">IF(C8=0,"",B8/C8-1)</f>
        <v>-0.16442295151304465</v>
      </c>
      <c r="E8" s="159"/>
      <c r="F8" s="159"/>
      <c r="G8" s="159"/>
      <c r="H8" s="159"/>
      <c r="I8" s="159"/>
      <c r="J8" s="159"/>
      <c r="K8" s="33"/>
      <c r="L8" s="380" t="s">
        <v>580</v>
      </c>
      <c r="N8" s="3">
        <v>2.8996</v>
      </c>
      <c r="O8" s="376"/>
    </row>
    <row r="9" spans="1:15" ht="9.75" customHeight="1">
      <c r="A9" s="576" t="s">
        <v>94</v>
      </c>
      <c r="B9" s="577">
        <v>790.21008000000006</v>
      </c>
      <c r="C9" s="577">
        <v>682.13951999999995</v>
      </c>
      <c r="D9" s="578">
        <f t="shared" si="0"/>
        <v>0.15842882113031664</v>
      </c>
      <c r="E9" s="625"/>
      <c r="F9" s="159"/>
      <c r="G9" s="159"/>
      <c r="H9" s="159"/>
      <c r="I9" s="159"/>
      <c r="J9" s="159"/>
      <c r="K9" s="32"/>
      <c r="L9" s="380" t="s">
        <v>558</v>
      </c>
      <c r="N9" s="3">
        <v>459.13319000000001</v>
      </c>
      <c r="O9" s="376"/>
    </row>
    <row r="10" spans="1:15" ht="9.75" customHeight="1">
      <c r="A10" s="573" t="s">
        <v>93</v>
      </c>
      <c r="B10" s="574">
        <v>750.48642000000007</v>
      </c>
      <c r="C10" s="574">
        <v>855.40945999999997</v>
      </c>
      <c r="D10" s="575">
        <f t="shared" si="0"/>
        <v>-0.12265826473324237</v>
      </c>
      <c r="E10" s="159"/>
      <c r="F10" s="159"/>
      <c r="G10" s="159"/>
      <c r="H10" s="159"/>
      <c r="I10" s="159"/>
      <c r="J10" s="159"/>
      <c r="K10" s="32"/>
      <c r="L10" s="376" t="s">
        <v>127</v>
      </c>
      <c r="M10" s="379">
        <v>0</v>
      </c>
      <c r="N10" s="379">
        <v>0</v>
      </c>
      <c r="O10" s="376"/>
    </row>
    <row r="11" spans="1:15" ht="9.75" customHeight="1">
      <c r="A11" s="576" t="s">
        <v>271</v>
      </c>
      <c r="B11" s="577">
        <v>553.39894000000004</v>
      </c>
      <c r="C11" s="577">
        <v>553.21117000000004</v>
      </c>
      <c r="D11" s="578">
        <f t="shared" si="0"/>
        <v>3.3941830928685413E-4</v>
      </c>
      <c r="E11" s="159"/>
      <c r="F11" s="159"/>
      <c r="G11" s="159"/>
      <c r="H11" s="159"/>
      <c r="I11" s="159"/>
      <c r="J11" s="159"/>
      <c r="K11" s="32"/>
      <c r="L11" s="341" t="s">
        <v>126</v>
      </c>
      <c r="M11" s="379">
        <v>0</v>
      </c>
      <c r="N11" s="379">
        <v>3.8237000000000001</v>
      </c>
      <c r="O11" s="376"/>
    </row>
    <row r="12" spans="1:15" ht="9.75" customHeight="1">
      <c r="A12" s="573" t="s">
        <v>105</v>
      </c>
      <c r="B12" s="574">
        <v>292.65355999999997</v>
      </c>
      <c r="C12" s="574">
        <v>196.28210999999999</v>
      </c>
      <c r="D12" s="575">
        <f t="shared" si="0"/>
        <v>0.49098437957488827</v>
      </c>
      <c r="E12" s="159"/>
      <c r="F12" s="159"/>
      <c r="G12" s="159"/>
      <c r="H12" s="159"/>
      <c r="I12" s="159"/>
      <c r="J12" s="159"/>
      <c r="K12" s="30"/>
      <c r="L12" s="380" t="s">
        <v>267</v>
      </c>
      <c r="M12" s="359">
        <v>0</v>
      </c>
      <c r="N12" s="3">
        <v>0</v>
      </c>
      <c r="O12" s="376"/>
    </row>
    <row r="13" spans="1:15" ht="9.75" customHeight="1">
      <c r="A13" s="576" t="s">
        <v>268</v>
      </c>
      <c r="B13" s="577">
        <v>229.58348000000001</v>
      </c>
      <c r="C13" s="577">
        <v>149.06311000000002</v>
      </c>
      <c r="D13" s="578">
        <f t="shared" si="0"/>
        <v>0.54017637227614523</v>
      </c>
      <c r="E13" s="159"/>
      <c r="F13" s="159"/>
      <c r="G13" s="159"/>
      <c r="H13" s="159"/>
      <c r="I13" s="159"/>
      <c r="J13" s="159"/>
      <c r="K13" s="33"/>
      <c r="L13" s="341" t="s">
        <v>116</v>
      </c>
      <c r="M13" s="379">
        <v>0</v>
      </c>
      <c r="N13" s="379">
        <v>0</v>
      </c>
      <c r="O13" s="376"/>
    </row>
    <row r="14" spans="1:15" ht="9.75" customHeight="1">
      <c r="A14" s="573" t="s">
        <v>99</v>
      </c>
      <c r="B14" s="574">
        <v>212.16512</v>
      </c>
      <c r="C14" s="574">
        <v>204.56214</v>
      </c>
      <c r="D14" s="575">
        <f t="shared" si="0"/>
        <v>3.7167092600810747E-2</v>
      </c>
      <c r="E14" s="159"/>
      <c r="F14" s="159"/>
      <c r="G14" s="159"/>
      <c r="H14" s="159"/>
      <c r="I14" s="159"/>
      <c r="J14" s="159"/>
      <c r="K14" s="33"/>
      <c r="L14" s="341" t="s">
        <v>117</v>
      </c>
      <c r="M14" s="379">
        <v>0</v>
      </c>
      <c r="N14" s="379">
        <v>0</v>
      </c>
      <c r="O14" s="376"/>
    </row>
    <row r="15" spans="1:15" ht="9.75" customHeight="1">
      <c r="A15" s="576" t="s">
        <v>95</v>
      </c>
      <c r="B15" s="577">
        <v>194.52905000000004</v>
      </c>
      <c r="C15" s="577">
        <v>186.33784000000006</v>
      </c>
      <c r="D15" s="578">
        <f t="shared" si="0"/>
        <v>4.3958918918454604E-2</v>
      </c>
      <c r="E15" s="159"/>
      <c r="F15" s="159"/>
      <c r="G15" s="159"/>
      <c r="H15" s="159"/>
      <c r="I15" s="159"/>
      <c r="J15" s="159"/>
      <c r="K15" s="33"/>
      <c r="L15" s="341" t="s">
        <v>123</v>
      </c>
      <c r="M15" s="379">
        <v>0</v>
      </c>
      <c r="N15" s="379">
        <v>0</v>
      </c>
      <c r="O15" s="376"/>
    </row>
    <row r="16" spans="1:15" ht="9.75" customHeight="1">
      <c r="A16" s="573" t="s">
        <v>110</v>
      </c>
      <c r="B16" s="574">
        <v>171.66131000000001</v>
      </c>
      <c r="C16" s="574">
        <v>86.49879</v>
      </c>
      <c r="D16" s="575">
        <f t="shared" si="0"/>
        <v>0.98455157580817043</v>
      </c>
      <c r="E16" s="159"/>
      <c r="F16" s="159"/>
      <c r="G16" s="159"/>
      <c r="H16" s="159"/>
      <c r="I16" s="159"/>
      <c r="J16" s="159"/>
      <c r="K16" s="33"/>
      <c r="L16" s="376" t="s">
        <v>115</v>
      </c>
      <c r="M16" s="379">
        <v>0</v>
      </c>
      <c r="N16" s="379">
        <v>0</v>
      </c>
      <c r="O16" s="376"/>
    </row>
    <row r="17" spans="1:15" ht="9.75" customHeight="1">
      <c r="A17" s="576" t="s">
        <v>96</v>
      </c>
      <c r="B17" s="577">
        <v>122.81819</v>
      </c>
      <c r="C17" s="577">
        <v>247.50934999999996</v>
      </c>
      <c r="D17" s="578">
        <f t="shared" si="0"/>
        <v>-0.50378363484046151</v>
      </c>
      <c r="E17" s="159"/>
      <c r="F17" s="159"/>
      <c r="G17" s="159"/>
      <c r="H17" s="159"/>
      <c r="I17" s="159"/>
      <c r="J17" s="159"/>
      <c r="K17" s="33"/>
      <c r="L17" s="380" t="s">
        <v>112</v>
      </c>
      <c r="M17" s="3">
        <v>0</v>
      </c>
      <c r="N17" s="3">
        <v>0</v>
      </c>
      <c r="O17" s="376"/>
    </row>
    <row r="18" spans="1:15" ht="9.75" customHeight="1">
      <c r="A18" s="573" t="s">
        <v>98</v>
      </c>
      <c r="B18" s="574">
        <v>116.74993000000001</v>
      </c>
      <c r="C18" s="574">
        <v>84.701449999999994</v>
      </c>
      <c r="D18" s="575">
        <f t="shared" si="0"/>
        <v>0.37836990984215757</v>
      </c>
      <c r="E18" s="159"/>
      <c r="F18" s="159"/>
      <c r="G18" s="159"/>
      <c r="H18" s="159"/>
      <c r="I18" s="159"/>
      <c r="J18" s="159"/>
      <c r="K18" s="33"/>
      <c r="L18" s="376" t="s">
        <v>275</v>
      </c>
      <c r="M18" s="379">
        <v>0</v>
      </c>
      <c r="N18" s="379">
        <v>0</v>
      </c>
      <c r="O18" s="376"/>
    </row>
    <row r="19" spans="1:15" ht="9.75" customHeight="1">
      <c r="A19" s="576" t="s">
        <v>97</v>
      </c>
      <c r="B19" s="577">
        <v>104.36085</v>
      </c>
      <c r="C19" s="577">
        <v>88.402209999999997</v>
      </c>
      <c r="D19" s="578">
        <f t="shared" si="0"/>
        <v>0.18052308873273648</v>
      </c>
      <c r="E19" s="159"/>
      <c r="F19" s="159"/>
      <c r="G19" s="159"/>
      <c r="H19" s="159"/>
      <c r="I19" s="159"/>
      <c r="J19" s="159"/>
      <c r="K19" s="33"/>
      <c r="L19" s="378" t="s">
        <v>109</v>
      </c>
      <c r="M19" s="379">
        <v>0</v>
      </c>
      <c r="N19" s="379">
        <v>5.0315099999999999</v>
      </c>
      <c r="O19" s="376"/>
    </row>
    <row r="20" spans="1:15" ht="9.75" customHeight="1">
      <c r="A20" s="573" t="s">
        <v>269</v>
      </c>
      <c r="B20" s="574">
        <v>94.48124</v>
      </c>
      <c r="C20" s="574">
        <v>94.175970000000007</v>
      </c>
      <c r="D20" s="575">
        <f t="shared" si="0"/>
        <v>3.2414850624844505E-3</v>
      </c>
      <c r="E20" s="159"/>
      <c r="F20" s="159"/>
      <c r="G20" s="159"/>
      <c r="H20" s="159"/>
      <c r="I20" s="159"/>
      <c r="J20" s="159"/>
      <c r="K20" s="38"/>
      <c r="L20" s="376" t="s">
        <v>276</v>
      </c>
      <c r="M20" s="379">
        <v>0</v>
      </c>
      <c r="N20" s="379">
        <v>145.89409000000001</v>
      </c>
      <c r="O20" s="376"/>
    </row>
    <row r="21" spans="1:15" ht="9.75" customHeight="1">
      <c r="A21" s="576" t="s">
        <v>100</v>
      </c>
      <c r="B21" s="577">
        <v>94.405050000000003</v>
      </c>
      <c r="C21" s="577">
        <v>54.871079999999999</v>
      </c>
      <c r="D21" s="578">
        <f t="shared" si="0"/>
        <v>0.72048827907159851</v>
      </c>
      <c r="E21" s="159"/>
      <c r="F21" s="159"/>
      <c r="G21" s="159"/>
      <c r="H21" s="159"/>
      <c r="I21" s="159"/>
      <c r="J21" s="159"/>
      <c r="K21" s="33"/>
      <c r="L21" s="380" t="s">
        <v>125</v>
      </c>
      <c r="M21" s="3">
        <v>0</v>
      </c>
      <c r="N21" s="3">
        <v>0</v>
      </c>
      <c r="O21" s="376"/>
    </row>
    <row r="22" spans="1:15" ht="9.75" customHeight="1">
      <c r="A22" s="573" t="s">
        <v>101</v>
      </c>
      <c r="B22" s="574">
        <v>91.402630000000002</v>
      </c>
      <c r="C22" s="574">
        <v>87.498140000000006</v>
      </c>
      <c r="D22" s="575">
        <f t="shared" si="0"/>
        <v>4.4623691429326318E-2</v>
      </c>
      <c r="E22" s="159"/>
      <c r="F22" s="159"/>
      <c r="G22" s="159"/>
      <c r="H22" s="159"/>
      <c r="I22" s="159"/>
      <c r="J22" s="159"/>
      <c r="K22" s="33"/>
      <c r="L22" s="380" t="s">
        <v>114</v>
      </c>
      <c r="M22" s="3">
        <v>0</v>
      </c>
      <c r="N22" s="3">
        <v>0</v>
      </c>
      <c r="O22" s="376"/>
    </row>
    <row r="23" spans="1:15" ht="9.75" customHeight="1">
      <c r="A23" s="576" t="s">
        <v>273</v>
      </c>
      <c r="B23" s="577">
        <v>87.243319999999997</v>
      </c>
      <c r="C23" s="577">
        <v>154.12708999999998</v>
      </c>
      <c r="D23" s="578">
        <f t="shared" si="0"/>
        <v>-0.43395207163127514</v>
      </c>
      <c r="E23" s="159"/>
      <c r="F23" s="159"/>
      <c r="G23" s="159"/>
      <c r="H23" s="159"/>
      <c r="I23" s="159"/>
      <c r="J23" s="159"/>
      <c r="K23" s="33"/>
      <c r="L23" s="376" t="s">
        <v>713</v>
      </c>
      <c r="M23" s="379">
        <v>0.48599999999999999</v>
      </c>
      <c r="N23" s="379"/>
      <c r="O23" s="376"/>
    </row>
    <row r="24" spans="1:15" ht="9.75" customHeight="1">
      <c r="A24" s="573" t="s">
        <v>103</v>
      </c>
      <c r="B24" s="574">
        <v>77.925520000000006</v>
      </c>
      <c r="C24" s="574"/>
      <c r="D24" s="575" t="str">
        <f t="shared" si="0"/>
        <v/>
      </c>
      <c r="E24" s="159"/>
      <c r="F24" s="159"/>
      <c r="G24" s="159"/>
      <c r="H24" s="159"/>
      <c r="I24" s="159"/>
      <c r="J24" s="159"/>
      <c r="K24" s="38"/>
      <c r="L24" s="376" t="s">
        <v>124</v>
      </c>
      <c r="M24" s="379">
        <v>0.99748999999999999</v>
      </c>
      <c r="N24" s="379">
        <v>0.36170000000000002</v>
      </c>
      <c r="O24" s="376"/>
    </row>
    <row r="25" spans="1:15" ht="9.75" customHeight="1">
      <c r="A25" s="576" t="s">
        <v>577</v>
      </c>
      <c r="B25" s="577">
        <v>56.198300000000003</v>
      </c>
      <c r="C25" s="577">
        <v>47.767040000000001</v>
      </c>
      <c r="D25" s="578">
        <f t="shared" si="0"/>
        <v>0.17650790168283415</v>
      </c>
      <c r="E25" s="159"/>
      <c r="F25" s="159"/>
      <c r="G25" s="159"/>
      <c r="H25" s="159"/>
      <c r="I25" s="159"/>
      <c r="J25" s="159"/>
      <c r="K25" s="33"/>
      <c r="L25" s="380" t="s">
        <v>122</v>
      </c>
      <c r="M25" s="359">
        <v>1.8759999999999999</v>
      </c>
      <c r="N25" s="3">
        <v>2.1710000000000003</v>
      </c>
      <c r="O25" s="376"/>
    </row>
    <row r="26" spans="1:15" ht="9.75" customHeight="1">
      <c r="A26" s="573" t="s">
        <v>106</v>
      </c>
      <c r="B26" s="574">
        <v>44.627459999999999</v>
      </c>
      <c r="C26" s="574">
        <v>44.913539999999998</v>
      </c>
      <c r="D26" s="575">
        <f t="shared" si="0"/>
        <v>-6.3695714031892781E-3</v>
      </c>
      <c r="E26" s="159"/>
      <c r="F26" s="159"/>
      <c r="G26" s="159"/>
      <c r="H26" s="159"/>
      <c r="I26" s="159"/>
      <c r="J26" s="159"/>
      <c r="K26" s="33"/>
      <c r="L26" s="376" t="s">
        <v>120</v>
      </c>
      <c r="M26" s="379">
        <v>2.5849500000000001</v>
      </c>
      <c r="N26" s="379">
        <v>2.3232699999999999</v>
      </c>
      <c r="O26" s="376"/>
    </row>
    <row r="27" spans="1:15" ht="9.75" customHeight="1">
      <c r="A27" s="576" t="s">
        <v>104</v>
      </c>
      <c r="B27" s="577">
        <v>33.890619999999998</v>
      </c>
      <c r="C27" s="577">
        <v>49.589959999999998</v>
      </c>
      <c r="D27" s="578">
        <f t="shared" si="0"/>
        <v>-0.31658303414642808</v>
      </c>
      <c r="E27" s="159"/>
      <c r="F27" s="159"/>
      <c r="G27" s="159"/>
      <c r="H27" s="159"/>
      <c r="I27" s="159"/>
      <c r="J27" s="159"/>
      <c r="K27" s="33"/>
      <c r="L27" s="376" t="s">
        <v>121</v>
      </c>
      <c r="M27" s="379">
        <v>3.2</v>
      </c>
      <c r="N27" s="379">
        <v>3.2</v>
      </c>
      <c r="O27" s="376"/>
    </row>
    <row r="28" spans="1:15" ht="9.75" customHeight="1">
      <c r="A28" s="573" t="s">
        <v>102</v>
      </c>
      <c r="B28" s="574">
        <v>31.400929999999999</v>
      </c>
      <c r="C28" s="574">
        <v>51.344269999999995</v>
      </c>
      <c r="D28" s="575">
        <f t="shared" si="0"/>
        <v>-0.38842386891468117</v>
      </c>
      <c r="E28" s="159"/>
      <c r="F28" s="159"/>
      <c r="G28" s="159"/>
      <c r="H28" s="159"/>
      <c r="I28" s="159"/>
      <c r="J28" s="159"/>
      <c r="K28" s="33"/>
      <c r="L28" s="376" t="s">
        <v>118</v>
      </c>
      <c r="M28" s="379">
        <v>4.1628499999999997</v>
      </c>
      <c r="N28" s="379">
        <v>7.7374200000000002</v>
      </c>
      <c r="O28" s="376"/>
    </row>
    <row r="29" spans="1:15" ht="9.75" customHeight="1">
      <c r="A29" s="579" t="s">
        <v>113</v>
      </c>
      <c r="B29" s="580">
        <v>28.5</v>
      </c>
      <c r="C29" s="580">
        <v>6.6960699999999997</v>
      </c>
      <c r="D29" s="581">
        <f t="shared" si="0"/>
        <v>3.2562279068169842</v>
      </c>
      <c r="E29" s="159"/>
      <c r="F29" s="159"/>
      <c r="G29" s="159"/>
      <c r="H29" s="159"/>
      <c r="I29" s="159"/>
      <c r="J29" s="159"/>
      <c r="K29" s="33"/>
      <c r="L29" s="377" t="s">
        <v>119</v>
      </c>
      <c r="M29" s="379">
        <v>5.0074300000000003</v>
      </c>
      <c r="N29" s="379">
        <v>4.9800000000000004</v>
      </c>
      <c r="O29" s="376"/>
    </row>
    <row r="30" spans="1:15" ht="9.75" customHeight="1">
      <c r="A30" s="582" t="s">
        <v>107</v>
      </c>
      <c r="B30" s="583">
        <v>28.143129999999999</v>
      </c>
      <c r="C30" s="583">
        <v>28.24</v>
      </c>
      <c r="D30" s="584">
        <f t="shared" si="0"/>
        <v>-3.4302407932010892E-3</v>
      </c>
      <c r="E30" s="159"/>
      <c r="F30" s="159"/>
      <c r="G30" s="159"/>
      <c r="H30" s="159"/>
      <c r="I30" s="159"/>
      <c r="J30" s="159"/>
      <c r="K30" s="33"/>
      <c r="L30" s="341" t="s">
        <v>579</v>
      </c>
      <c r="M30" s="379">
        <v>5.9032999999999998</v>
      </c>
      <c r="N30" s="379">
        <v>3.0049999999999999</v>
      </c>
      <c r="O30" s="376"/>
    </row>
    <row r="31" spans="1:15" ht="9.75" customHeight="1">
      <c r="A31" s="585" t="s">
        <v>512</v>
      </c>
      <c r="B31" s="586">
        <v>19.915679999999998</v>
      </c>
      <c r="C31" s="586"/>
      <c r="D31" s="587" t="str">
        <f t="shared" si="0"/>
        <v/>
      </c>
      <c r="E31" s="159"/>
      <c r="F31" s="159"/>
      <c r="G31" s="159"/>
      <c r="H31" s="159"/>
      <c r="I31" s="159"/>
      <c r="J31" s="159"/>
      <c r="K31" s="33"/>
      <c r="L31" s="341" t="s">
        <v>576</v>
      </c>
      <c r="M31" s="379">
        <v>6.7769300000000001</v>
      </c>
      <c r="N31" s="379">
        <v>11.49161</v>
      </c>
      <c r="O31" s="376"/>
    </row>
    <row r="32" spans="1:15" ht="9.75" customHeight="1">
      <c r="A32" s="582" t="s">
        <v>270</v>
      </c>
      <c r="B32" s="583">
        <v>17.887320000000003</v>
      </c>
      <c r="C32" s="583">
        <v>7.2682000000000002</v>
      </c>
      <c r="D32" s="584">
        <f t="shared" si="0"/>
        <v>1.4610384964640493</v>
      </c>
      <c r="E32" s="159"/>
      <c r="F32" s="159"/>
      <c r="G32" s="159"/>
      <c r="H32" s="159"/>
      <c r="I32" s="159"/>
      <c r="J32" s="159"/>
      <c r="K32" s="33"/>
      <c r="L32" s="376" t="s">
        <v>274</v>
      </c>
      <c r="M32" s="379">
        <v>11.15903</v>
      </c>
      <c r="N32" s="379">
        <v>13.62908</v>
      </c>
      <c r="O32" s="376"/>
    </row>
    <row r="33" spans="1:15" ht="9.75" customHeight="1">
      <c r="A33" s="585" t="s">
        <v>108</v>
      </c>
      <c r="B33" s="586">
        <v>16.78</v>
      </c>
      <c r="C33" s="586">
        <v>13.411999999999999</v>
      </c>
      <c r="D33" s="587">
        <f t="shared" si="0"/>
        <v>0.25111840143155395</v>
      </c>
      <c r="E33" s="159"/>
      <c r="F33" s="159"/>
      <c r="G33" s="159"/>
      <c r="H33" s="159"/>
      <c r="I33" s="159"/>
      <c r="J33" s="159"/>
      <c r="K33" s="33"/>
      <c r="L33" s="341" t="s">
        <v>277</v>
      </c>
      <c r="M33" s="379">
        <v>11.276969999999999</v>
      </c>
      <c r="N33" s="379">
        <v>5.4512499999999999</v>
      </c>
      <c r="O33" s="376"/>
    </row>
    <row r="34" spans="1:15" ht="9.75" customHeight="1">
      <c r="A34" s="582" t="s">
        <v>272</v>
      </c>
      <c r="B34" s="583">
        <v>14.355730000000001</v>
      </c>
      <c r="C34" s="583">
        <v>14.005330000000001</v>
      </c>
      <c r="D34" s="584">
        <f t="shared" si="0"/>
        <v>2.5019046320222449E-2</v>
      </c>
      <c r="E34" s="159"/>
      <c r="F34" s="159"/>
      <c r="G34" s="159"/>
      <c r="H34" s="159"/>
      <c r="I34" s="159"/>
      <c r="J34" s="159"/>
      <c r="K34" s="33"/>
      <c r="L34" s="376" t="s">
        <v>111</v>
      </c>
      <c r="M34" s="379">
        <v>11.519170000000001</v>
      </c>
      <c r="N34" s="379">
        <v>12.036759999999999</v>
      </c>
      <c r="O34" s="376"/>
    </row>
    <row r="35" spans="1:15" ht="9.75" customHeight="1">
      <c r="A35" s="585" t="s">
        <v>111</v>
      </c>
      <c r="B35" s="586">
        <v>11.519170000000001</v>
      </c>
      <c r="C35" s="586">
        <v>12.036759999999999</v>
      </c>
      <c r="D35" s="587">
        <f t="shared" si="0"/>
        <v>-4.3000774294743693E-2</v>
      </c>
      <c r="E35" s="159"/>
      <c r="F35" s="159"/>
      <c r="G35" s="159"/>
      <c r="H35" s="159"/>
      <c r="I35" s="159"/>
      <c r="J35" s="159"/>
      <c r="K35" s="33"/>
      <c r="L35" s="377" t="s">
        <v>272</v>
      </c>
      <c r="M35" s="379">
        <v>14.355730000000001</v>
      </c>
      <c r="N35" s="379">
        <v>14.005330000000001</v>
      </c>
      <c r="O35" s="376"/>
    </row>
    <row r="36" spans="1:15" ht="9.75" customHeight="1">
      <c r="A36" s="582" t="s">
        <v>277</v>
      </c>
      <c r="B36" s="583">
        <v>11.276969999999999</v>
      </c>
      <c r="C36" s="583">
        <v>5.4512499999999999</v>
      </c>
      <c r="D36" s="584">
        <f t="shared" si="0"/>
        <v>1.0686943361614305</v>
      </c>
      <c r="E36" s="159"/>
      <c r="F36" s="159"/>
      <c r="G36" s="159"/>
      <c r="H36" s="159"/>
      <c r="I36" s="159"/>
      <c r="J36" s="159"/>
      <c r="K36" s="43"/>
      <c r="L36" s="341" t="s">
        <v>108</v>
      </c>
      <c r="M36" s="379">
        <v>16.78</v>
      </c>
      <c r="N36" s="379">
        <v>13.411999999999999</v>
      </c>
      <c r="O36" s="376"/>
    </row>
    <row r="37" spans="1:15" ht="9.75" customHeight="1">
      <c r="A37" s="585" t="s">
        <v>274</v>
      </c>
      <c r="B37" s="586">
        <v>11.15903</v>
      </c>
      <c r="C37" s="586">
        <v>13.62908</v>
      </c>
      <c r="D37" s="587">
        <f t="shared" si="0"/>
        <v>-0.18123380301531733</v>
      </c>
      <c r="E37" s="159"/>
      <c r="F37" s="159"/>
      <c r="G37" s="159"/>
      <c r="H37" s="159"/>
      <c r="I37" s="159"/>
      <c r="J37" s="159"/>
      <c r="K37" s="43"/>
      <c r="L37" s="380" t="s">
        <v>270</v>
      </c>
      <c r="M37" s="359">
        <v>17.887320000000003</v>
      </c>
      <c r="N37" s="3">
        <v>7.2682000000000002</v>
      </c>
      <c r="O37" s="376"/>
    </row>
    <row r="38" spans="1:15" ht="9.75" customHeight="1">
      <c r="A38" s="582" t="s">
        <v>576</v>
      </c>
      <c r="B38" s="583">
        <v>6.7769300000000001</v>
      </c>
      <c r="C38" s="583">
        <v>11.49161</v>
      </c>
      <c r="D38" s="584">
        <f t="shared" si="0"/>
        <v>-0.41027149372455207</v>
      </c>
      <c r="E38" s="159"/>
      <c r="F38" s="159"/>
      <c r="G38" s="159"/>
      <c r="H38" s="159"/>
      <c r="I38" s="159"/>
      <c r="J38" s="159"/>
      <c r="K38" s="38"/>
      <c r="L38" s="341" t="s">
        <v>512</v>
      </c>
      <c r="M38" s="379">
        <v>19.915679999999998</v>
      </c>
      <c r="N38" s="379"/>
      <c r="O38" s="376"/>
    </row>
    <row r="39" spans="1:15" ht="9.75" customHeight="1">
      <c r="A39" s="585" t="s">
        <v>579</v>
      </c>
      <c r="B39" s="586">
        <v>5.9032999999999998</v>
      </c>
      <c r="C39" s="586">
        <v>3.0049999999999999</v>
      </c>
      <c r="D39" s="587">
        <f t="shared" si="0"/>
        <v>0.96449251247920142</v>
      </c>
      <c r="E39" s="159"/>
      <c r="F39" s="159"/>
      <c r="G39" s="159"/>
      <c r="H39" s="159"/>
      <c r="I39" s="159"/>
      <c r="J39" s="159"/>
      <c r="K39" s="38"/>
      <c r="L39" s="341" t="s">
        <v>107</v>
      </c>
      <c r="M39" s="379">
        <v>28.143129999999999</v>
      </c>
      <c r="N39" s="379">
        <v>28.24</v>
      </c>
      <c r="O39" s="376"/>
    </row>
    <row r="40" spans="1:15" ht="9.75" customHeight="1">
      <c r="A40" s="582" t="s">
        <v>119</v>
      </c>
      <c r="B40" s="583">
        <v>5.0074300000000003</v>
      </c>
      <c r="C40" s="583">
        <v>4.9800000000000004</v>
      </c>
      <c r="D40" s="584">
        <f t="shared" si="0"/>
        <v>5.5080321285139178E-3</v>
      </c>
      <c r="E40" s="159"/>
      <c r="F40" s="159"/>
      <c r="G40" s="159"/>
      <c r="H40" s="159"/>
      <c r="I40" s="159"/>
      <c r="J40" s="159"/>
      <c r="K40" s="38"/>
      <c r="L40" s="341" t="s">
        <v>113</v>
      </c>
      <c r="M40" s="379">
        <v>28.5</v>
      </c>
      <c r="N40" s="379">
        <v>6.6960699999999997</v>
      </c>
      <c r="O40" s="376"/>
    </row>
    <row r="41" spans="1:15" ht="9.75" customHeight="1">
      <c r="A41" s="585" t="s">
        <v>118</v>
      </c>
      <c r="B41" s="586">
        <v>4.1628499999999997</v>
      </c>
      <c r="C41" s="586">
        <v>7.7374200000000002</v>
      </c>
      <c r="D41" s="587">
        <f t="shared" si="0"/>
        <v>-0.46198474426876146</v>
      </c>
      <c r="E41" s="159"/>
      <c r="F41" s="159"/>
      <c r="G41" s="159"/>
      <c r="H41" s="159"/>
      <c r="I41" s="159"/>
      <c r="J41" s="159"/>
      <c r="K41" s="43"/>
      <c r="L41" s="341" t="s">
        <v>102</v>
      </c>
      <c r="M41" s="379">
        <v>31.400929999999999</v>
      </c>
      <c r="N41" s="379">
        <v>51.344269999999995</v>
      </c>
      <c r="O41" s="376"/>
    </row>
    <row r="42" spans="1:15" ht="9.75" customHeight="1">
      <c r="A42" s="582" t="s">
        <v>121</v>
      </c>
      <c r="B42" s="583">
        <v>3.2</v>
      </c>
      <c r="C42" s="583">
        <v>3.2</v>
      </c>
      <c r="D42" s="584">
        <f t="shared" si="0"/>
        <v>0</v>
      </c>
      <c r="E42" s="159"/>
      <c r="F42" s="159"/>
      <c r="G42" s="159"/>
      <c r="H42" s="159"/>
      <c r="I42" s="159"/>
      <c r="J42" s="159"/>
      <c r="K42" s="43"/>
      <c r="L42" s="376" t="s">
        <v>104</v>
      </c>
      <c r="M42" s="379">
        <v>33.890619999999998</v>
      </c>
      <c r="N42" s="379">
        <v>49.589959999999998</v>
      </c>
      <c r="O42" s="376"/>
    </row>
    <row r="43" spans="1:15" ht="9.75" customHeight="1">
      <c r="A43" s="585" t="s">
        <v>120</v>
      </c>
      <c r="B43" s="586">
        <v>2.5849500000000001</v>
      </c>
      <c r="C43" s="586">
        <v>2.3232699999999999</v>
      </c>
      <c r="D43" s="587">
        <f t="shared" si="0"/>
        <v>0.11263434727775934</v>
      </c>
      <c r="E43" s="159"/>
      <c r="F43" s="159"/>
      <c r="G43" s="159"/>
      <c r="H43" s="159"/>
      <c r="I43" s="159"/>
      <c r="J43" s="159"/>
      <c r="K43" s="43"/>
      <c r="L43" s="341" t="s">
        <v>106</v>
      </c>
      <c r="M43" s="379">
        <v>44.627459999999999</v>
      </c>
      <c r="N43" s="379">
        <v>44.913539999999998</v>
      </c>
      <c r="O43" s="376"/>
    </row>
    <row r="44" spans="1:15" ht="9.75" customHeight="1">
      <c r="A44" s="582" t="s">
        <v>122</v>
      </c>
      <c r="B44" s="583">
        <v>1.8759999999999999</v>
      </c>
      <c r="C44" s="583">
        <v>2.1710000000000003</v>
      </c>
      <c r="D44" s="584">
        <f t="shared" si="0"/>
        <v>-0.13588208198986662</v>
      </c>
      <c r="E44" s="159"/>
      <c r="F44" s="159"/>
      <c r="G44" s="159"/>
      <c r="H44" s="159"/>
      <c r="I44" s="159"/>
      <c r="J44" s="159"/>
      <c r="K44" s="160"/>
      <c r="L44" s="341" t="s">
        <v>577</v>
      </c>
      <c r="M44" s="379">
        <v>56.198300000000003</v>
      </c>
      <c r="N44" s="379">
        <v>47.767040000000001</v>
      </c>
      <c r="O44" s="376"/>
    </row>
    <row r="45" spans="1:15" ht="9.75" customHeight="1">
      <c r="A45" s="585" t="s">
        <v>124</v>
      </c>
      <c r="B45" s="586">
        <v>0.99748999999999999</v>
      </c>
      <c r="C45" s="586">
        <v>0.36170000000000002</v>
      </c>
      <c r="D45" s="587">
        <f t="shared" si="0"/>
        <v>1.7577826928393696</v>
      </c>
      <c r="E45" s="159"/>
      <c r="F45" s="159"/>
      <c r="G45" s="159"/>
      <c r="H45" s="159"/>
      <c r="I45" s="159"/>
      <c r="J45" s="159"/>
      <c r="L45" s="376" t="s">
        <v>103</v>
      </c>
      <c r="M45" s="379">
        <v>77.925520000000006</v>
      </c>
      <c r="N45" s="379"/>
      <c r="O45" s="376"/>
    </row>
    <row r="46" spans="1:15" ht="9.75" customHeight="1">
      <c r="A46" s="582" t="s">
        <v>713</v>
      </c>
      <c r="B46" s="583">
        <v>0.48599999999999999</v>
      </c>
      <c r="C46" s="583"/>
      <c r="D46" s="584" t="str">
        <f t="shared" si="0"/>
        <v/>
      </c>
      <c r="E46" s="159"/>
      <c r="F46" s="159"/>
      <c r="G46" s="159"/>
      <c r="H46" s="159"/>
      <c r="I46" s="159"/>
      <c r="J46" s="159"/>
      <c r="L46" s="378" t="s">
        <v>273</v>
      </c>
      <c r="M46" s="379">
        <v>87.243319999999997</v>
      </c>
      <c r="N46" s="379">
        <v>154.12708999999998</v>
      </c>
      <c r="O46" s="376"/>
    </row>
    <row r="47" spans="1:15" ht="9.75" customHeight="1">
      <c r="A47" s="585" t="s">
        <v>127</v>
      </c>
      <c r="B47" s="586">
        <v>0</v>
      </c>
      <c r="C47" s="586">
        <v>0</v>
      </c>
      <c r="D47" s="587" t="str">
        <f t="shared" si="0"/>
        <v/>
      </c>
      <c r="E47" s="159"/>
      <c r="F47" s="159"/>
      <c r="G47" s="159"/>
      <c r="H47" s="159"/>
      <c r="I47" s="159"/>
      <c r="J47" s="159"/>
      <c r="L47" s="376" t="s">
        <v>101</v>
      </c>
      <c r="M47" s="379">
        <v>91.402630000000002</v>
      </c>
      <c r="N47" s="379">
        <v>87.498140000000006</v>
      </c>
      <c r="O47" s="376"/>
    </row>
    <row r="48" spans="1:15" ht="9.75" customHeight="1">
      <c r="A48" s="582" t="s">
        <v>126</v>
      </c>
      <c r="B48" s="583">
        <v>0</v>
      </c>
      <c r="C48" s="583">
        <v>3.8237000000000001</v>
      </c>
      <c r="D48" s="584">
        <f t="shared" si="0"/>
        <v>-1</v>
      </c>
      <c r="E48" s="159"/>
      <c r="F48" s="159"/>
      <c r="G48" s="159"/>
      <c r="H48" s="159"/>
      <c r="I48" s="159"/>
      <c r="J48" s="159"/>
      <c r="L48" s="376" t="s">
        <v>100</v>
      </c>
      <c r="M48" s="379">
        <v>94.405050000000003</v>
      </c>
      <c r="N48" s="379">
        <v>54.871079999999999</v>
      </c>
      <c r="O48" s="376"/>
    </row>
    <row r="49" spans="1:15" ht="9.75" customHeight="1">
      <c r="A49" s="585" t="s">
        <v>267</v>
      </c>
      <c r="B49" s="586">
        <v>0</v>
      </c>
      <c r="C49" s="586">
        <v>0</v>
      </c>
      <c r="D49" s="587" t="str">
        <f t="shared" si="0"/>
        <v/>
      </c>
      <c r="E49" s="159"/>
      <c r="F49" s="159"/>
      <c r="G49" s="159"/>
      <c r="H49" s="159"/>
      <c r="I49" s="159"/>
      <c r="J49" s="159"/>
      <c r="L49" s="341" t="s">
        <v>269</v>
      </c>
      <c r="M49" s="379">
        <v>94.48124</v>
      </c>
      <c r="N49" s="379">
        <v>94.175970000000007</v>
      </c>
      <c r="O49" s="376"/>
    </row>
    <row r="50" spans="1:15" ht="9.75" customHeight="1">
      <c r="A50" s="582" t="s">
        <v>116</v>
      </c>
      <c r="B50" s="583">
        <v>0</v>
      </c>
      <c r="C50" s="583">
        <v>0</v>
      </c>
      <c r="D50" s="584" t="str">
        <f t="shared" si="0"/>
        <v/>
      </c>
      <c r="E50" s="159"/>
      <c r="F50" s="159"/>
      <c r="G50" s="159"/>
      <c r="H50" s="159"/>
      <c r="I50" s="159"/>
      <c r="J50" s="159"/>
      <c r="L50" s="341" t="s">
        <v>97</v>
      </c>
      <c r="M50" s="379">
        <v>104.36085</v>
      </c>
      <c r="N50" s="379">
        <v>88.402209999999997</v>
      </c>
      <c r="O50" s="376"/>
    </row>
    <row r="51" spans="1:15" ht="9.75" customHeight="1">
      <c r="A51" s="585" t="s">
        <v>117</v>
      </c>
      <c r="B51" s="586">
        <v>0</v>
      </c>
      <c r="C51" s="586">
        <v>0</v>
      </c>
      <c r="D51" s="587" t="str">
        <f t="shared" si="0"/>
        <v/>
      </c>
      <c r="E51" s="159"/>
      <c r="F51" s="159"/>
      <c r="G51" s="159"/>
      <c r="H51" s="159"/>
      <c r="I51" s="159"/>
      <c r="J51" s="159"/>
      <c r="L51" s="341" t="s">
        <v>98</v>
      </c>
      <c r="M51" s="379">
        <v>116.74993000000001</v>
      </c>
      <c r="N51" s="379">
        <v>84.701449999999994</v>
      </c>
      <c r="O51" s="376"/>
    </row>
    <row r="52" spans="1:15" ht="9.75" customHeight="1">
      <c r="A52" s="582" t="s">
        <v>123</v>
      </c>
      <c r="B52" s="583">
        <v>0</v>
      </c>
      <c r="C52" s="583">
        <v>0</v>
      </c>
      <c r="D52" s="584" t="str">
        <f t="shared" si="0"/>
        <v/>
      </c>
      <c r="E52" s="159"/>
      <c r="F52" s="159"/>
      <c r="G52" s="159"/>
      <c r="H52" s="159"/>
      <c r="I52" s="159"/>
      <c r="J52" s="159"/>
      <c r="L52" s="341" t="s">
        <v>96</v>
      </c>
      <c r="M52" s="379">
        <v>122.81819</v>
      </c>
      <c r="N52" s="379">
        <v>247.50934999999996</v>
      </c>
      <c r="O52" s="376"/>
    </row>
    <row r="53" spans="1:15" ht="9.75" customHeight="1">
      <c r="A53" s="585" t="s">
        <v>115</v>
      </c>
      <c r="B53" s="586">
        <v>0</v>
      </c>
      <c r="C53" s="586">
        <v>0</v>
      </c>
      <c r="D53" s="587" t="str">
        <f t="shared" si="0"/>
        <v/>
      </c>
      <c r="E53" s="159"/>
      <c r="F53" s="159"/>
      <c r="G53" s="159"/>
      <c r="H53" s="159"/>
      <c r="I53" s="159"/>
      <c r="J53" s="159"/>
      <c r="L53" s="341" t="s">
        <v>110</v>
      </c>
      <c r="M53" s="379">
        <v>171.66131000000001</v>
      </c>
      <c r="N53" s="379">
        <v>86.49879</v>
      </c>
      <c r="O53" s="376"/>
    </row>
    <row r="54" spans="1:15" ht="9.75" customHeight="1">
      <c r="A54" s="582" t="s">
        <v>112</v>
      </c>
      <c r="B54" s="583">
        <v>0</v>
      </c>
      <c r="C54" s="583">
        <v>0</v>
      </c>
      <c r="D54" s="584" t="str">
        <f t="shared" si="0"/>
        <v/>
      </c>
      <c r="E54" s="159"/>
      <c r="F54" s="159"/>
      <c r="G54" s="159"/>
      <c r="H54" s="159"/>
      <c r="I54" s="159"/>
      <c r="J54" s="159"/>
      <c r="L54" s="341" t="s">
        <v>95</v>
      </c>
      <c r="M54" s="379">
        <v>194.52905000000004</v>
      </c>
      <c r="N54" s="379">
        <v>186.33784000000006</v>
      </c>
      <c r="O54" s="376"/>
    </row>
    <row r="55" spans="1:15" ht="9.75" customHeight="1">
      <c r="A55" s="585" t="s">
        <v>275</v>
      </c>
      <c r="B55" s="586">
        <v>0</v>
      </c>
      <c r="C55" s="586">
        <v>0</v>
      </c>
      <c r="D55" s="587" t="str">
        <f t="shared" si="0"/>
        <v/>
      </c>
      <c r="E55" s="159"/>
      <c r="F55" s="159"/>
      <c r="G55" s="159"/>
      <c r="H55" s="159"/>
      <c r="I55" s="159"/>
      <c r="J55" s="159"/>
      <c r="L55" s="341" t="s">
        <v>99</v>
      </c>
      <c r="M55" s="379">
        <v>212.16512</v>
      </c>
      <c r="N55" s="379">
        <v>204.56214</v>
      </c>
      <c r="O55" s="376"/>
    </row>
    <row r="56" spans="1:15" ht="9.75" customHeight="1">
      <c r="A56" s="582" t="s">
        <v>109</v>
      </c>
      <c r="B56" s="583">
        <v>0</v>
      </c>
      <c r="C56" s="583">
        <v>5.0315099999999999</v>
      </c>
      <c r="D56" s="584">
        <f t="shared" si="0"/>
        <v>-1</v>
      </c>
      <c r="E56" s="159"/>
      <c r="F56" s="159"/>
      <c r="G56" s="159"/>
      <c r="H56" s="159"/>
      <c r="I56" s="159"/>
      <c r="J56" s="159"/>
      <c r="L56" s="341" t="s">
        <v>268</v>
      </c>
      <c r="M56" s="379">
        <v>229.58348000000001</v>
      </c>
      <c r="N56" s="379">
        <v>149.06311000000002</v>
      </c>
      <c r="O56" s="376"/>
    </row>
    <row r="57" spans="1:15" ht="9.75" customHeight="1">
      <c r="A57" s="585" t="s">
        <v>276</v>
      </c>
      <c r="B57" s="586">
        <v>0</v>
      </c>
      <c r="C57" s="586">
        <v>145.89409000000001</v>
      </c>
      <c r="D57" s="587">
        <f t="shared" si="0"/>
        <v>-1</v>
      </c>
      <c r="E57" s="159"/>
      <c r="F57" s="159"/>
      <c r="G57" s="159"/>
      <c r="H57" s="159"/>
      <c r="I57" s="159"/>
      <c r="J57" s="159"/>
      <c r="L57" s="341" t="s">
        <v>105</v>
      </c>
      <c r="M57" s="379">
        <v>292.65355999999997</v>
      </c>
      <c r="N57" s="379">
        <v>196.28210999999999</v>
      </c>
      <c r="O57" s="376"/>
    </row>
    <row r="58" spans="1:15" ht="9.75" customHeight="1">
      <c r="A58" s="582" t="s">
        <v>125</v>
      </c>
      <c r="B58" s="583">
        <v>0</v>
      </c>
      <c r="C58" s="583">
        <v>0</v>
      </c>
      <c r="D58" s="584" t="str">
        <f t="shared" si="0"/>
        <v/>
      </c>
      <c r="E58" s="159"/>
      <c r="F58" s="159"/>
      <c r="G58" s="159"/>
      <c r="H58" s="159"/>
      <c r="I58" s="159"/>
      <c r="J58" s="159"/>
      <c r="L58" s="341" t="s">
        <v>271</v>
      </c>
      <c r="M58" s="379">
        <v>553.39894000000004</v>
      </c>
      <c r="N58" s="379">
        <v>553.21117000000004</v>
      </c>
      <c r="O58" s="376"/>
    </row>
    <row r="59" spans="1:15" ht="9.75" customHeight="1">
      <c r="A59" s="565" t="s">
        <v>114</v>
      </c>
      <c r="B59" s="566">
        <v>0</v>
      </c>
      <c r="C59" s="566">
        <v>0</v>
      </c>
      <c r="D59" s="587" t="str">
        <f t="shared" si="0"/>
        <v/>
      </c>
      <c r="E59" s="159"/>
      <c r="F59" s="159"/>
      <c r="G59" s="159"/>
      <c r="H59" s="159"/>
      <c r="I59" s="159"/>
      <c r="J59" s="159"/>
      <c r="L59" s="376" t="s">
        <v>93</v>
      </c>
      <c r="M59" s="379">
        <v>750.48642000000007</v>
      </c>
      <c r="N59" s="379">
        <v>855.40945999999997</v>
      </c>
      <c r="O59" s="376"/>
    </row>
    <row r="60" spans="1:15" ht="9.75" customHeight="1">
      <c r="A60" s="588" t="s">
        <v>558</v>
      </c>
      <c r="B60" s="589"/>
      <c r="C60" s="589">
        <v>459.13319000000001</v>
      </c>
      <c r="D60" s="590">
        <f t="shared" si="0"/>
        <v>-1</v>
      </c>
      <c r="E60" s="159"/>
      <c r="F60" s="159"/>
      <c r="G60" s="159"/>
      <c r="H60" s="159"/>
      <c r="I60" s="159"/>
      <c r="J60" s="159"/>
      <c r="L60" s="341" t="s">
        <v>94</v>
      </c>
      <c r="M60" s="379">
        <v>790.21008000000006</v>
      </c>
      <c r="N60" s="379">
        <v>682.13951999999995</v>
      </c>
      <c r="O60" s="376"/>
    </row>
    <row r="61" spans="1:15" ht="9.75" customHeight="1">
      <c r="A61" s="565" t="s">
        <v>580</v>
      </c>
      <c r="B61" s="566"/>
      <c r="C61" s="566">
        <v>2.8996</v>
      </c>
      <c r="D61" s="578">
        <f t="shared" si="0"/>
        <v>-1</v>
      </c>
      <c r="E61" s="159"/>
      <c r="F61" s="159"/>
      <c r="G61" s="159"/>
      <c r="H61" s="159"/>
      <c r="I61" s="159"/>
      <c r="J61" s="159"/>
      <c r="L61" s="341" t="s">
        <v>92</v>
      </c>
      <c r="M61" s="379">
        <v>989.67624000000001</v>
      </c>
      <c r="N61" s="379">
        <v>1184.4224800000002</v>
      </c>
      <c r="O61" s="376"/>
    </row>
    <row r="62" spans="1:15" ht="9.75" customHeight="1">
      <c r="A62" s="573" t="s">
        <v>128</v>
      </c>
      <c r="B62" s="574"/>
      <c r="C62" s="574">
        <v>0</v>
      </c>
      <c r="D62" s="575"/>
      <c r="E62" s="159"/>
      <c r="F62" s="159"/>
      <c r="G62" s="159"/>
      <c r="H62" s="159"/>
      <c r="I62" s="159"/>
      <c r="J62" s="159"/>
      <c r="L62" s="341" t="s">
        <v>557</v>
      </c>
      <c r="M62" s="379">
        <v>1188.87255</v>
      </c>
      <c r="N62" s="379">
        <v>448.24476000000004</v>
      </c>
      <c r="O62" s="376"/>
    </row>
    <row r="63" spans="1:15" ht="9.75" customHeight="1">
      <c r="A63" s="567" t="s">
        <v>44</v>
      </c>
      <c r="B63" s="568">
        <f>SUM(B7:B62)</f>
        <v>6519.2727699999978</v>
      </c>
      <c r="C63" s="568">
        <f>SUM(C7:C62)</f>
        <v>6303.862259999999</v>
      </c>
      <c r="D63" s="569">
        <f t="shared" si="0"/>
        <v>3.4171195548932998E-2</v>
      </c>
      <c r="E63" s="191"/>
      <c r="F63" s="191"/>
      <c r="G63" s="191"/>
      <c r="H63" s="192"/>
      <c r="I63" s="192"/>
      <c r="J63" s="192"/>
      <c r="L63" s="341"/>
      <c r="M63" s="379"/>
      <c r="N63" s="379"/>
    </row>
    <row r="64" spans="1:15" ht="32.25" customHeight="1">
      <c r="A64" s="926" t="str">
        <f>"Cuadro N° 8: Participación de las empresas generadoras del COES en la máxima potencia coincidente (MW) en "&amp;'1. Resumen'!Q4</f>
        <v>Cuadro N° 8: Participación de las empresas generadoras del COES en la máxima potencia coincidente (MW) en agosto</v>
      </c>
      <c r="B64" s="926"/>
      <c r="C64" s="926"/>
      <c r="D64" s="926"/>
      <c r="E64" s="174"/>
      <c r="F64" s="926" t="str">
        <f>"Gráfico N° 12: Comparación de la máxima potencia coincidente  (MW) de las empresas generadoras del COES en "&amp;'1. Resumen'!Q4</f>
        <v>Gráfico N° 12: Comparación de la máxima potencia coincidente  (MW) de las empresas generadoras del COES en agosto</v>
      </c>
      <c r="G64" s="926"/>
      <c r="H64" s="926"/>
      <c r="I64" s="926"/>
      <c r="J64" s="926"/>
    </row>
    <row r="65" spans="1:10" ht="7.5" customHeight="1">
      <c r="A65" s="561"/>
      <c r="B65" s="561"/>
      <c r="C65" s="561"/>
      <c r="D65" s="561"/>
      <c r="E65" s="174"/>
      <c r="F65" s="561"/>
      <c r="G65" s="561"/>
      <c r="H65" s="561"/>
      <c r="I65" s="561"/>
      <c r="J65" s="561"/>
    </row>
    <row r="66" spans="1:10" ht="12.75" customHeight="1">
      <c r="A66" s="928" t="s">
        <v>556</v>
      </c>
      <c r="B66" s="928"/>
      <c r="C66" s="928"/>
      <c r="D66" s="928"/>
      <c r="E66" s="928"/>
      <c r="F66" s="928"/>
      <c r="G66" s="928"/>
      <c r="H66" s="928"/>
      <c r="I66" s="928"/>
      <c r="J66" s="928"/>
    </row>
    <row r="67" spans="1:10" ht="12.75" customHeight="1">
      <c r="A67" s="928" t="s">
        <v>581</v>
      </c>
      <c r="B67" s="928"/>
      <c r="C67" s="928"/>
      <c r="D67" s="928"/>
      <c r="E67" s="928"/>
      <c r="F67" s="928"/>
      <c r="G67" s="928"/>
      <c r="H67" s="928"/>
      <c r="I67" s="928"/>
      <c r="J67" s="928"/>
    </row>
    <row r="68" spans="1:10" ht="12.75" customHeight="1">
      <c r="A68" s="928" t="s">
        <v>574</v>
      </c>
      <c r="B68" s="928"/>
      <c r="C68" s="928"/>
      <c r="D68" s="928"/>
      <c r="E68" s="928"/>
      <c r="F68" s="928"/>
      <c r="G68" s="928"/>
      <c r="H68" s="928"/>
      <c r="I68" s="928"/>
      <c r="J68" s="928"/>
    </row>
    <row r="69" spans="1:10">
      <c r="A69" s="928" t="s">
        <v>575</v>
      </c>
      <c r="B69" s="928"/>
      <c r="C69" s="928"/>
      <c r="D69" s="928"/>
      <c r="E69" s="928"/>
      <c r="F69" s="928"/>
      <c r="G69" s="928"/>
      <c r="H69" s="928"/>
      <c r="I69" s="928"/>
      <c r="J69" s="928"/>
    </row>
    <row r="70" spans="1:10">
      <c r="A70" s="921"/>
      <c r="B70" s="921"/>
      <c r="C70" s="921"/>
      <c r="D70" s="921"/>
      <c r="E70" s="921"/>
      <c r="F70" s="921"/>
      <c r="G70" s="921"/>
      <c r="H70" s="921"/>
      <c r="I70" s="921"/>
      <c r="J70" s="921"/>
    </row>
    <row r="71" spans="1:10">
      <c r="A71" s="920"/>
      <c r="B71" s="920"/>
      <c r="C71" s="920"/>
      <c r="D71" s="920"/>
      <c r="E71" s="920"/>
      <c r="F71" s="920"/>
      <c r="G71" s="920"/>
      <c r="H71" s="920"/>
      <c r="I71" s="920"/>
      <c r="J71" s="920"/>
    </row>
    <row r="72" spans="1:10">
      <c r="A72" s="935"/>
      <c r="B72" s="935"/>
      <c r="C72" s="935"/>
      <c r="D72" s="935"/>
      <c r="E72" s="935"/>
      <c r="F72" s="935"/>
      <c r="G72" s="935"/>
      <c r="H72" s="935"/>
      <c r="I72" s="935"/>
      <c r="J72" s="935"/>
    </row>
    <row r="73" spans="1:10">
      <c r="A73" s="936"/>
      <c r="B73" s="936"/>
      <c r="C73" s="936"/>
      <c r="D73" s="936"/>
      <c r="E73" s="936"/>
      <c r="F73" s="936"/>
      <c r="G73" s="936"/>
      <c r="H73" s="936"/>
      <c r="I73" s="936"/>
      <c r="J73" s="936"/>
    </row>
  </sheetData>
  <autoFilter ref="L6:N62" xr:uid="{51C3E269-94FB-4FDB-993A-26794E6E080A}">
    <sortState ref="L7:N62">
      <sortCondition ref="M6:M62"/>
    </sortState>
  </autoFilter>
  <mergeCells count="15">
    <mergeCell ref="A68:J68"/>
    <mergeCell ref="A66:J66"/>
    <mergeCell ref="A64:D64"/>
    <mergeCell ref="F64:J64"/>
    <mergeCell ref="A1:J1"/>
    <mergeCell ref="A3:A6"/>
    <mergeCell ref="B3:D3"/>
    <mergeCell ref="G3:I3"/>
    <mergeCell ref="D4:D6"/>
    <mergeCell ref="A67:J67"/>
    <mergeCell ref="A69:J69"/>
    <mergeCell ref="A70:J70"/>
    <mergeCell ref="A71:J71"/>
    <mergeCell ref="A72:J72"/>
    <mergeCell ref="A73:J73"/>
  </mergeCells>
  <pageMargins left="0.7" right="0.5892857142857143" top="0.86956521739130432" bottom="0.61458333333333337" header="0.3" footer="0.3"/>
  <pageSetup orientation="portrait" r:id="rId1"/>
  <headerFooter>
    <oddHeader>&amp;R&amp;7Informe de la Operación Mensual - Agosto 2018
INFSGI-MES-08-2018
10/09/2018
Versión: 01</oddHeader>
    <oddFooter>&amp;L&amp;7COES, 2018&amp;C9&amp;R&amp;7Dirección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FC84-8601-4039-BAF5-E8D89E970AE5}">
  <sheetPr>
    <tabColor theme="4"/>
  </sheetPr>
  <dimension ref="A1:AL65"/>
  <sheetViews>
    <sheetView showGridLines="0" view="pageBreakPreview" zoomScale="130" zoomScaleNormal="100" zoomScaleSheetLayoutView="130" zoomScalePageLayoutView="130" workbookViewId="0">
      <selection activeCell="Q15" sqref="Q15"/>
    </sheetView>
  </sheetViews>
  <sheetFormatPr defaultRowHeight="11.25"/>
  <cols>
    <col min="1" max="1" width="7.6640625" style="95" customWidth="1"/>
    <col min="2" max="2" width="9.83203125" style="95" customWidth="1"/>
    <col min="3" max="3" width="29.6640625" style="95" customWidth="1"/>
    <col min="4" max="5" width="12.6640625" style="95" customWidth="1"/>
    <col min="6" max="6" width="12.1640625" style="95" customWidth="1"/>
    <col min="7" max="8" width="9.33203125" style="95"/>
    <col min="9" max="9" width="9.33203125" style="95" customWidth="1"/>
    <col min="10" max="11" width="9.33203125" style="490" customWidth="1"/>
    <col min="12" max="31" width="9.33203125" style="490"/>
    <col min="32" max="16384" width="9.33203125" style="95"/>
  </cols>
  <sheetData>
    <row r="1" spans="1:38" ht="11.25" customHeight="1"/>
    <row r="2" spans="1:38" ht="17.25" customHeight="1">
      <c r="A2" s="931" t="s">
        <v>287</v>
      </c>
      <c r="B2" s="931"/>
      <c r="C2" s="931"/>
      <c r="D2" s="931"/>
      <c r="E2" s="931"/>
      <c r="F2" s="931"/>
      <c r="G2" s="931"/>
      <c r="H2" s="931"/>
    </row>
    <row r="3" spans="1:38" ht="11.25" customHeight="1">
      <c r="A3" s="198"/>
      <c r="B3" s="198"/>
      <c r="C3" s="198"/>
      <c r="D3" s="198"/>
      <c r="E3" s="198"/>
      <c r="F3" s="102"/>
      <c r="G3" s="102"/>
      <c r="H3" s="102"/>
      <c r="I3" s="45"/>
      <c r="J3" s="491"/>
    </row>
    <row r="4" spans="1:38" ht="11.25" customHeight="1">
      <c r="A4" s="946" t="s">
        <v>288</v>
      </c>
      <c r="B4" s="946"/>
      <c r="C4" s="946"/>
      <c r="D4" s="946"/>
      <c r="E4" s="946"/>
      <c r="F4" s="946"/>
      <c r="G4" s="946"/>
      <c r="H4" s="946"/>
      <c r="I4" s="45"/>
      <c r="J4" s="491"/>
    </row>
    <row r="5" spans="1:38" ht="11.25" customHeight="1">
      <c r="A5" s="97"/>
      <c r="B5" s="199"/>
      <c r="C5" s="99"/>
      <c r="D5" s="99"/>
      <c r="E5" s="100"/>
      <c r="F5" s="96"/>
      <c r="G5" s="96"/>
      <c r="H5" s="101"/>
      <c r="I5" s="200"/>
      <c r="J5" s="492"/>
    </row>
    <row r="6" spans="1:38" ht="42.75" customHeight="1">
      <c r="A6" s="97"/>
      <c r="C6" s="804" t="s">
        <v>132</v>
      </c>
      <c r="D6" s="805" t="s">
        <v>745</v>
      </c>
      <c r="E6" s="805" t="s">
        <v>746</v>
      </c>
      <c r="F6" s="806" t="s">
        <v>133</v>
      </c>
      <c r="G6" s="207"/>
      <c r="H6" s="208"/>
    </row>
    <row r="7" spans="1:38" ht="11.25" customHeight="1">
      <c r="A7" s="97"/>
      <c r="C7" s="209" t="s">
        <v>134</v>
      </c>
      <c r="D7" s="210">
        <v>20.57</v>
      </c>
      <c r="E7" s="210">
        <v>22.083000179999999</v>
      </c>
      <c r="F7" s="211">
        <f>IF(E7=0,"",(D7-E7)/E7)</f>
        <v>-6.8514249317005574E-2</v>
      </c>
      <c r="G7" s="158"/>
      <c r="H7" s="671"/>
    </row>
    <row r="8" spans="1:38" ht="11.25" customHeight="1">
      <c r="A8" s="97"/>
      <c r="C8" s="212" t="s">
        <v>135</v>
      </c>
      <c r="D8" s="213">
        <v>103.19</v>
      </c>
      <c r="E8" s="213">
        <v>92.833999629999994</v>
      </c>
      <c r="F8" s="214">
        <f t="shared" ref="F8:F28" si="0">IF(E8=0,"",(D8-E8)/E8)</f>
        <v>0.11155396095476841</v>
      </c>
      <c r="G8" s="158"/>
      <c r="H8" s="671"/>
    </row>
    <row r="9" spans="1:38" ht="11.25" customHeight="1">
      <c r="A9" s="97"/>
      <c r="C9" s="209" t="s">
        <v>136</v>
      </c>
      <c r="D9" s="210">
        <v>96.81</v>
      </c>
      <c r="E9" s="210">
        <v>57.120998380000003</v>
      </c>
      <c r="F9" s="211">
        <f t="shared" si="0"/>
        <v>0.69482331796736352</v>
      </c>
      <c r="G9" s="158"/>
      <c r="H9" s="671"/>
      <c r="M9" s="493" t="s">
        <v>294</v>
      </c>
      <c r="N9" s="494"/>
      <c r="O9" s="494"/>
      <c r="P9" s="494"/>
      <c r="Q9" s="494"/>
      <c r="R9" s="494"/>
      <c r="S9" s="494"/>
      <c r="T9" s="494"/>
      <c r="U9" s="494"/>
      <c r="V9" s="494"/>
      <c r="W9" s="494"/>
      <c r="X9" s="494"/>
      <c r="Y9" s="494"/>
      <c r="Z9" s="494"/>
      <c r="AA9" s="494"/>
      <c r="AB9" s="494"/>
      <c r="AC9" s="494"/>
      <c r="AD9" s="494"/>
      <c r="AE9" s="494"/>
      <c r="AF9" s="384"/>
      <c r="AG9" s="384"/>
      <c r="AH9" s="384"/>
      <c r="AI9" s="384"/>
      <c r="AJ9" s="384"/>
      <c r="AK9" s="384"/>
      <c r="AL9" s="384"/>
    </row>
    <row r="10" spans="1:38" ht="11.25" customHeight="1">
      <c r="A10" s="97"/>
      <c r="C10" s="212" t="s">
        <v>137</v>
      </c>
      <c r="D10" s="213">
        <v>59.8</v>
      </c>
      <c r="E10" s="213">
        <v>77.942001340000004</v>
      </c>
      <c r="F10" s="214">
        <f t="shared" si="0"/>
        <v>-0.2327628368286393</v>
      </c>
      <c r="G10" s="158"/>
      <c r="H10" s="671"/>
      <c r="M10" s="493" t="s">
        <v>295</v>
      </c>
      <c r="N10" s="494"/>
      <c r="O10" s="494"/>
      <c r="P10" s="494"/>
      <c r="Q10" s="494"/>
      <c r="R10" s="494"/>
      <c r="S10" s="494"/>
      <c r="T10" s="494"/>
      <c r="AD10" s="494"/>
      <c r="AE10" s="494"/>
      <c r="AF10" s="384"/>
      <c r="AG10" s="384"/>
      <c r="AH10" s="384"/>
      <c r="AI10" s="384"/>
      <c r="AJ10" s="384"/>
      <c r="AK10" s="384"/>
      <c r="AL10" s="384"/>
    </row>
    <row r="11" spans="1:38" ht="11.25" customHeight="1">
      <c r="A11" s="97"/>
      <c r="C11" s="209" t="s">
        <v>138</v>
      </c>
      <c r="D11" s="210">
        <v>5.79</v>
      </c>
      <c r="E11" s="210">
        <v>29.437999730000001</v>
      </c>
      <c r="F11" s="211">
        <f>IF(E11=0,"",(D11-E11)/E11)</f>
        <v>-0.8033154408212233</v>
      </c>
      <c r="G11" s="158"/>
      <c r="H11" s="671"/>
      <c r="M11" s="494"/>
      <c r="N11" s="495">
        <v>2016</v>
      </c>
      <c r="O11" s="495">
        <v>2017</v>
      </c>
      <c r="P11" s="495">
        <v>2018</v>
      </c>
      <c r="Q11" s="494"/>
      <c r="R11" s="494"/>
      <c r="S11" s="494"/>
      <c r="T11" s="494"/>
      <c r="AD11" s="494"/>
      <c r="AE11" s="494"/>
      <c r="AF11" s="384"/>
      <c r="AG11" s="384"/>
      <c r="AH11" s="384"/>
      <c r="AI11" s="384"/>
      <c r="AJ11" s="384"/>
      <c r="AK11" s="384"/>
      <c r="AL11" s="384"/>
    </row>
    <row r="12" spans="1:38" ht="11.25" customHeight="1">
      <c r="A12" s="97"/>
      <c r="C12" s="212" t="s">
        <v>139</v>
      </c>
      <c r="D12" s="213">
        <v>25.26</v>
      </c>
      <c r="E12" s="213">
        <v>22.364000319999999</v>
      </c>
      <c r="F12" s="214">
        <f t="shared" si="0"/>
        <v>0.12949381320702838</v>
      </c>
      <c r="G12" s="158"/>
      <c r="H12" s="671"/>
      <c r="M12" s="496">
        <v>1</v>
      </c>
      <c r="N12" s="497">
        <v>138.54</v>
      </c>
      <c r="O12" s="497">
        <v>93.1</v>
      </c>
      <c r="P12" s="497">
        <v>104.46</v>
      </c>
      <c r="Q12" s="494"/>
      <c r="R12" s="494"/>
      <c r="S12" s="494"/>
      <c r="T12" s="494"/>
      <c r="AD12" s="494"/>
      <c r="AE12" s="494"/>
      <c r="AF12" s="384"/>
      <c r="AG12" s="384"/>
      <c r="AH12" s="384"/>
      <c r="AI12" s="384"/>
      <c r="AJ12" s="384"/>
      <c r="AK12" s="384"/>
      <c r="AL12" s="384"/>
    </row>
    <row r="13" spans="1:38" ht="11.25" customHeight="1">
      <c r="A13" s="97"/>
      <c r="C13" s="209" t="s">
        <v>140</v>
      </c>
      <c r="D13" s="210">
        <v>74.150000000000006</v>
      </c>
      <c r="E13" s="210">
        <v>79.438003539999997</v>
      </c>
      <c r="F13" s="211">
        <f t="shared" si="0"/>
        <v>-6.6567679251119199E-2</v>
      </c>
      <c r="G13" s="158"/>
      <c r="H13" s="671"/>
      <c r="M13" s="496">
        <v>2</v>
      </c>
      <c r="N13" s="497">
        <v>140.53</v>
      </c>
      <c r="O13" s="497">
        <v>93.1</v>
      </c>
      <c r="P13" s="497">
        <v>103.4720001</v>
      </c>
      <c r="Q13" s="494"/>
      <c r="R13" s="494"/>
      <c r="S13" s="494"/>
      <c r="T13" s="494"/>
      <c r="AD13" s="494"/>
      <c r="AE13" s="494"/>
      <c r="AF13" s="384"/>
      <c r="AG13" s="384"/>
      <c r="AH13" s="384"/>
      <c r="AI13" s="384"/>
      <c r="AJ13" s="384"/>
      <c r="AK13" s="384"/>
      <c r="AL13" s="384"/>
    </row>
    <row r="14" spans="1:38" ht="11.25" customHeight="1">
      <c r="A14" s="97"/>
      <c r="C14" s="212" t="s">
        <v>141</v>
      </c>
      <c r="D14" s="213">
        <v>218.33</v>
      </c>
      <c r="E14" s="213">
        <v>225.42900090000001</v>
      </c>
      <c r="F14" s="214">
        <f t="shared" si="0"/>
        <v>-3.1491072007851818E-2</v>
      </c>
      <c r="G14" s="158"/>
      <c r="H14" s="671"/>
      <c r="M14" s="496">
        <v>3</v>
      </c>
      <c r="N14" s="497">
        <v>140.53</v>
      </c>
      <c r="O14" s="497">
        <v>98.74</v>
      </c>
      <c r="P14" s="497">
        <v>106.08699799999999</v>
      </c>
      <c r="Q14" s="494"/>
      <c r="R14" s="494"/>
      <c r="S14" s="494"/>
      <c r="T14" s="494"/>
      <c r="AD14" s="494"/>
      <c r="AE14" s="494"/>
      <c r="AF14" s="384"/>
      <c r="AG14" s="384"/>
      <c r="AH14" s="384"/>
      <c r="AI14" s="384"/>
      <c r="AJ14" s="384"/>
      <c r="AK14" s="384"/>
      <c r="AL14" s="384"/>
    </row>
    <row r="15" spans="1:38" ht="11.25" customHeight="1">
      <c r="A15" s="97"/>
      <c r="C15" s="209" t="s">
        <v>142</v>
      </c>
      <c r="D15" s="210">
        <v>18.57</v>
      </c>
      <c r="E15" s="210">
        <v>14.05000019</v>
      </c>
      <c r="F15" s="211">
        <f t="shared" si="0"/>
        <v>0.32170816717974721</v>
      </c>
      <c r="G15" s="158"/>
      <c r="H15" s="671"/>
      <c r="M15" s="496">
        <v>4</v>
      </c>
      <c r="N15" s="497">
        <v>137.43800000000002</v>
      </c>
      <c r="O15" s="497">
        <v>98.74</v>
      </c>
      <c r="P15" s="497">
        <v>112.7200012</v>
      </c>
      <c r="Q15" s="494"/>
      <c r="R15" s="494"/>
      <c r="S15" s="494"/>
      <c r="T15" s="494"/>
      <c r="AD15" s="494"/>
      <c r="AE15" s="494"/>
      <c r="AF15" s="384"/>
      <c r="AG15" s="384"/>
      <c r="AH15" s="384"/>
      <c r="AI15" s="384"/>
      <c r="AJ15" s="384"/>
      <c r="AK15" s="384"/>
      <c r="AL15" s="384"/>
    </row>
    <row r="16" spans="1:38" ht="11.25" customHeight="1">
      <c r="A16" s="97"/>
      <c r="C16" s="212" t="s">
        <v>143</v>
      </c>
      <c r="D16" s="213">
        <v>156.82</v>
      </c>
      <c r="E16" s="213">
        <v>178.71099849999999</v>
      </c>
      <c r="F16" s="214">
        <f t="shared" si="0"/>
        <v>-0.122493851434667</v>
      </c>
      <c r="G16" s="158"/>
      <c r="H16" s="671"/>
      <c r="M16" s="496">
        <v>5</v>
      </c>
      <c r="N16" s="497">
        <v>137.43800000000002</v>
      </c>
      <c r="O16" s="497">
        <v>125.15</v>
      </c>
      <c r="P16" s="497">
        <v>122.3190002</v>
      </c>
      <c r="Q16" s="494"/>
      <c r="R16" s="494"/>
      <c r="S16" s="494"/>
      <c r="T16" s="494"/>
      <c r="AD16" s="494"/>
      <c r="AE16" s="494"/>
      <c r="AF16" s="384"/>
      <c r="AG16" s="384"/>
      <c r="AH16" s="384"/>
      <c r="AI16" s="384"/>
      <c r="AJ16" s="384"/>
      <c r="AK16" s="384"/>
      <c r="AL16" s="384"/>
    </row>
    <row r="17" spans="1:38" ht="11.25" customHeight="1">
      <c r="A17" s="97"/>
      <c r="C17" s="209" t="s">
        <v>144</v>
      </c>
      <c r="D17" s="210">
        <v>162.9</v>
      </c>
      <c r="E17" s="210">
        <v>177.13999939999999</v>
      </c>
      <c r="F17" s="211">
        <f t="shared" si="0"/>
        <v>-8.0388390246319427E-2</v>
      </c>
      <c r="G17" s="158"/>
      <c r="H17" s="671"/>
      <c r="M17" s="496">
        <v>6</v>
      </c>
      <c r="N17" s="497">
        <v>137.43800000000002</v>
      </c>
      <c r="O17" s="497">
        <v>125.15</v>
      </c>
      <c r="P17" s="497">
        <v>126.1559982</v>
      </c>
      <c r="Q17" s="494"/>
      <c r="R17" s="494"/>
      <c r="S17" s="494"/>
      <c r="T17" s="494"/>
      <c r="AD17" s="494"/>
      <c r="AE17" s="494"/>
      <c r="AF17" s="384"/>
      <c r="AG17" s="384"/>
      <c r="AH17" s="384"/>
      <c r="AI17" s="384"/>
      <c r="AJ17" s="384"/>
      <c r="AK17" s="384"/>
      <c r="AL17" s="384"/>
    </row>
    <row r="18" spans="1:38" ht="11.25" customHeight="1">
      <c r="A18" s="97"/>
      <c r="C18" s="212" t="s">
        <v>145</v>
      </c>
      <c r="D18" s="213">
        <v>7.52</v>
      </c>
      <c r="E18" s="213">
        <v>2.4860000609999999</v>
      </c>
      <c r="F18" s="214">
        <f t="shared" si="0"/>
        <v>2.024939587883622</v>
      </c>
      <c r="G18" s="158"/>
      <c r="H18" s="671"/>
      <c r="M18" s="496">
        <v>7</v>
      </c>
      <c r="N18" s="497">
        <v>151.05499267578099</v>
      </c>
      <c r="O18" s="497">
        <v>142.99</v>
      </c>
      <c r="P18" s="497">
        <v>142.9900055</v>
      </c>
      <c r="Q18" s="494"/>
      <c r="R18" s="494"/>
      <c r="S18" s="494"/>
      <c r="T18" s="494"/>
      <c r="AD18" s="494"/>
      <c r="AE18" s="494"/>
      <c r="AF18" s="384"/>
      <c r="AG18" s="384"/>
      <c r="AH18" s="384"/>
      <c r="AI18" s="384"/>
      <c r="AJ18" s="384"/>
      <c r="AK18" s="384"/>
      <c r="AL18" s="384"/>
    </row>
    <row r="19" spans="1:38" ht="11.25" customHeight="1">
      <c r="A19" s="97"/>
      <c r="C19" s="209" t="s">
        <v>146</v>
      </c>
      <c r="D19" s="210">
        <v>31.5</v>
      </c>
      <c r="E19" s="210">
        <v>16.500099179999999</v>
      </c>
      <c r="F19" s="211">
        <f t="shared" si="0"/>
        <v>0.90907943378798528</v>
      </c>
      <c r="G19" s="158"/>
      <c r="H19" s="671"/>
      <c r="M19" s="496">
        <v>8</v>
      </c>
      <c r="N19" s="497">
        <v>151.05499267578099</v>
      </c>
      <c r="O19" s="497">
        <v>142.99</v>
      </c>
      <c r="P19" s="497">
        <v>134.13600159999999</v>
      </c>
      <c r="Q19" s="494"/>
      <c r="R19" s="494"/>
      <c r="S19" s="494"/>
      <c r="T19" s="494"/>
      <c r="AD19" s="494"/>
      <c r="AE19" s="494"/>
      <c r="AF19" s="384"/>
      <c r="AG19" s="384"/>
      <c r="AH19" s="384"/>
      <c r="AI19" s="384"/>
      <c r="AJ19" s="384"/>
      <c r="AK19" s="384"/>
      <c r="AL19" s="384"/>
    </row>
    <row r="20" spans="1:38" ht="11.25" customHeight="1">
      <c r="A20" s="97"/>
      <c r="C20" s="212" t="s">
        <v>147</v>
      </c>
      <c r="D20" s="213">
        <v>17.79</v>
      </c>
      <c r="E20" s="213">
        <v>15.39589024</v>
      </c>
      <c r="F20" s="214">
        <f t="shared" si="0"/>
        <v>0.15550317147493506</v>
      </c>
      <c r="G20" s="158"/>
      <c r="H20" s="671"/>
      <c r="M20" s="496">
        <v>9</v>
      </c>
      <c r="N20" s="497">
        <v>165.00500489999999</v>
      </c>
      <c r="O20" s="497">
        <v>159.53</v>
      </c>
      <c r="P20" s="497">
        <v>153.34500120000001</v>
      </c>
      <c r="Q20" s="494"/>
      <c r="R20" s="494"/>
      <c r="S20" s="494"/>
      <c r="T20" s="494"/>
      <c r="AD20" s="494"/>
      <c r="AE20" s="494"/>
      <c r="AF20" s="384"/>
      <c r="AG20" s="384"/>
      <c r="AH20" s="384"/>
      <c r="AI20" s="384"/>
      <c r="AJ20" s="384"/>
      <c r="AK20" s="384"/>
      <c r="AL20" s="384"/>
    </row>
    <row r="21" spans="1:38" ht="11.25" customHeight="1">
      <c r="A21" s="97"/>
      <c r="C21" s="209" t="s">
        <v>148</v>
      </c>
      <c r="D21" s="390" t="s">
        <v>311</v>
      </c>
      <c r="E21" s="390" t="s">
        <v>311</v>
      </c>
      <c r="F21" s="211"/>
      <c r="G21" s="158"/>
      <c r="H21" s="671"/>
      <c r="M21" s="496">
        <v>10</v>
      </c>
      <c r="N21" s="497">
        <v>165.00500489999999</v>
      </c>
      <c r="O21" s="497">
        <v>159.53</v>
      </c>
      <c r="P21" s="497">
        <v>153.0590057</v>
      </c>
      <c r="Q21" s="494"/>
      <c r="R21" s="494"/>
      <c r="S21" s="494"/>
      <c r="T21" s="494"/>
      <c r="AD21" s="494"/>
      <c r="AE21" s="494"/>
      <c r="AF21" s="384"/>
      <c r="AG21" s="384"/>
      <c r="AH21" s="384"/>
      <c r="AI21" s="384"/>
      <c r="AJ21" s="384"/>
      <c r="AK21" s="384"/>
      <c r="AL21" s="384"/>
    </row>
    <row r="22" spans="1:38" ht="11.25" customHeight="1">
      <c r="A22" s="97"/>
      <c r="C22" s="212" t="s">
        <v>149</v>
      </c>
      <c r="D22" s="213">
        <v>0.86</v>
      </c>
      <c r="E22" s="213">
        <v>7.2870001789999996</v>
      </c>
      <c r="F22" s="214">
        <f t="shared" si="0"/>
        <v>-0.88198161398727748</v>
      </c>
      <c r="G22" s="158"/>
      <c r="H22" s="671"/>
      <c r="M22" s="496">
        <v>11</v>
      </c>
      <c r="N22" s="497">
        <v>186.45199584960901</v>
      </c>
      <c r="O22" s="497">
        <v>184.94</v>
      </c>
      <c r="P22" s="497">
        <v>162.93200680000001</v>
      </c>
      <c r="Q22" s="498"/>
      <c r="R22" s="498"/>
      <c r="S22" s="498"/>
      <c r="T22" s="498"/>
      <c r="AD22" s="498"/>
      <c r="AE22" s="498"/>
      <c r="AF22" s="385"/>
      <c r="AG22" s="385"/>
      <c r="AH22" s="385"/>
      <c r="AI22" s="385"/>
      <c r="AJ22" s="385"/>
      <c r="AK22" s="385"/>
      <c r="AL22" s="385"/>
    </row>
    <row r="23" spans="1:38" ht="11.25" customHeight="1">
      <c r="A23" s="97"/>
      <c r="C23" s="209" t="s">
        <v>150</v>
      </c>
      <c r="D23" s="210">
        <v>1.55</v>
      </c>
      <c r="E23" s="210">
        <v>1.4670000080000001</v>
      </c>
      <c r="F23" s="211">
        <f t="shared" si="0"/>
        <v>5.657804468123763E-2</v>
      </c>
      <c r="G23" s="158"/>
      <c r="H23" s="671"/>
      <c r="M23" s="496">
        <v>12</v>
      </c>
      <c r="N23" s="497">
        <v>186.45199584960901</v>
      </c>
      <c r="O23" s="497">
        <v>184.94</v>
      </c>
      <c r="P23" s="497">
        <v>172.76199339999999</v>
      </c>
      <c r="Q23" s="498"/>
      <c r="R23" s="498"/>
      <c r="S23" s="498"/>
      <c r="T23" s="498"/>
      <c r="AD23" s="498"/>
      <c r="AE23" s="498"/>
      <c r="AF23" s="385"/>
      <c r="AG23" s="385"/>
      <c r="AH23" s="385"/>
      <c r="AI23" s="385"/>
      <c r="AJ23" s="385"/>
      <c r="AK23" s="385"/>
      <c r="AL23" s="385"/>
    </row>
    <row r="24" spans="1:38" ht="11.25" customHeight="1">
      <c r="A24" s="97"/>
      <c r="C24" s="212" t="s">
        <v>747</v>
      </c>
      <c r="D24" s="213">
        <v>0.12</v>
      </c>
      <c r="E24" s="213">
        <v>9.6440000529999992</v>
      </c>
      <c r="F24" s="214">
        <f t="shared" si="0"/>
        <v>-0.98755703034627518</v>
      </c>
      <c r="G24" s="158"/>
      <c r="H24" s="671"/>
      <c r="M24" s="496">
        <v>13</v>
      </c>
      <c r="N24" s="497">
        <v>195.64999389648401</v>
      </c>
      <c r="O24" s="497">
        <v>203.73</v>
      </c>
      <c r="P24" s="497">
        <v>182.13900760000001</v>
      </c>
      <c r="Q24" s="498"/>
      <c r="R24" s="498"/>
      <c r="S24" s="498"/>
      <c r="T24" s="498"/>
      <c r="AD24" s="498"/>
      <c r="AE24" s="498"/>
      <c r="AF24" s="385"/>
      <c r="AG24" s="385"/>
      <c r="AH24" s="385"/>
      <c r="AI24" s="385"/>
      <c r="AJ24" s="385"/>
      <c r="AK24" s="385"/>
      <c r="AL24" s="385"/>
    </row>
    <row r="25" spans="1:38" ht="11.25" customHeight="1">
      <c r="A25" s="97"/>
      <c r="C25" s="209" t="s">
        <v>151</v>
      </c>
      <c r="D25" s="210">
        <v>173.37</v>
      </c>
      <c r="E25" s="210">
        <v>199.49499510000001</v>
      </c>
      <c r="F25" s="211">
        <f t="shared" si="0"/>
        <v>-0.13095564170371513</v>
      </c>
      <c r="G25" s="158"/>
      <c r="H25" s="671"/>
      <c r="M25" s="496">
        <v>14</v>
      </c>
      <c r="N25" s="497">
        <v>195.64999389648401</v>
      </c>
      <c r="O25" s="497">
        <v>203.73</v>
      </c>
      <c r="P25" s="497">
        <v>191.4750061</v>
      </c>
      <c r="Q25" s="498"/>
      <c r="R25" s="498"/>
      <c r="S25" s="498"/>
      <c r="T25" s="498"/>
      <c r="AD25" s="498"/>
      <c r="AE25" s="498"/>
      <c r="AF25" s="385"/>
      <c r="AG25" s="385"/>
      <c r="AH25" s="385"/>
      <c r="AI25" s="385"/>
      <c r="AJ25" s="385"/>
      <c r="AK25" s="385"/>
      <c r="AL25" s="385"/>
    </row>
    <row r="26" spans="1:38" ht="11.25" customHeight="1">
      <c r="A26" s="97"/>
      <c r="C26" s="212" t="s">
        <v>152</v>
      </c>
      <c r="D26" s="213">
        <v>30.77</v>
      </c>
      <c r="E26" s="213">
        <v>42.215999600000004</v>
      </c>
      <c r="F26" s="214">
        <f t="shared" si="0"/>
        <v>-0.27112942269404428</v>
      </c>
      <c r="G26" s="672"/>
      <c r="H26" s="672"/>
      <c r="M26" s="496">
        <v>15</v>
      </c>
      <c r="N26" s="497">
        <v>201.93600463867099</v>
      </c>
      <c r="O26" s="497">
        <v>203.73</v>
      </c>
      <c r="P26" s="497">
        <v>198.43899540000001</v>
      </c>
      <c r="Q26" s="498"/>
      <c r="R26" s="498"/>
      <c r="S26" s="498"/>
      <c r="T26" s="498"/>
      <c r="AD26" s="498"/>
      <c r="AE26" s="498"/>
      <c r="AF26" s="385"/>
      <c r="AG26" s="385"/>
      <c r="AH26" s="385"/>
      <c r="AI26" s="385"/>
      <c r="AJ26" s="385"/>
      <c r="AK26" s="385"/>
      <c r="AL26" s="385"/>
    </row>
    <row r="27" spans="1:38" ht="11.25" customHeight="1">
      <c r="A27" s="97"/>
      <c r="C27" s="209" t="s">
        <v>153</v>
      </c>
      <c r="D27" s="210">
        <v>37.689</v>
      </c>
      <c r="E27" s="210">
        <v>54.716999999999999</v>
      </c>
      <c r="F27" s="211">
        <f t="shared" si="0"/>
        <v>-0.31120127199956138</v>
      </c>
      <c r="G27" s="672"/>
      <c r="H27" s="672"/>
      <c r="M27" s="496">
        <v>16</v>
      </c>
      <c r="N27" s="497">
        <v>201.93600463867099</v>
      </c>
      <c r="O27" s="497">
        <v>222.8</v>
      </c>
      <c r="P27" s="497">
        <v>201.52999879999999</v>
      </c>
      <c r="Q27" s="498"/>
      <c r="R27" s="498"/>
      <c r="S27" s="498"/>
      <c r="T27" s="498"/>
      <c r="AD27" s="498"/>
      <c r="AE27" s="498"/>
      <c r="AF27" s="385"/>
      <c r="AG27" s="385"/>
      <c r="AH27" s="385"/>
      <c r="AI27" s="385"/>
      <c r="AJ27" s="385"/>
      <c r="AK27" s="385"/>
      <c r="AL27" s="385"/>
    </row>
    <row r="28" spans="1:38" ht="11.25" customHeight="1">
      <c r="A28" s="97"/>
      <c r="C28" s="212" t="s">
        <v>154</v>
      </c>
      <c r="D28" s="213">
        <v>339.5</v>
      </c>
      <c r="E28" s="213">
        <v>352.44900510000002</v>
      </c>
      <c r="F28" s="214">
        <f t="shared" si="0"/>
        <v>-3.6740081295806221E-2</v>
      </c>
      <c r="G28" s="672"/>
      <c r="H28" s="672"/>
      <c r="M28" s="496">
        <v>17</v>
      </c>
      <c r="N28" s="497">
        <v>201.93600463867099</v>
      </c>
      <c r="O28" s="497">
        <v>222.8</v>
      </c>
      <c r="P28" s="497">
        <v>206.03700259999999</v>
      </c>
      <c r="Q28" s="498"/>
      <c r="R28" s="498"/>
      <c r="S28" s="498"/>
      <c r="T28" s="498"/>
      <c r="AD28" s="498"/>
      <c r="AE28" s="498"/>
      <c r="AF28" s="385"/>
      <c r="AG28" s="385"/>
      <c r="AH28" s="385"/>
      <c r="AI28" s="385"/>
      <c r="AJ28" s="385"/>
      <c r="AK28" s="385"/>
      <c r="AL28" s="385"/>
    </row>
    <row r="29" spans="1:38" ht="35.25" customHeight="1">
      <c r="A29" s="94"/>
      <c r="C29" s="947" t="str">
        <f>"Cuadro N°9: Volúmen útil de los principales embalses y lagunas del SEIN al término del periodo mensual ("&amp;'1. Resumen'!Q7&amp;" de "&amp;'1. Resumen'!Q4&amp;") "</f>
        <v xml:space="preserve">Cuadro N°9: Volúmen útil de los principales embalses y lagunas del SEIN al término del periodo mensual (31 de agosto) </v>
      </c>
      <c r="D29" s="947"/>
      <c r="E29" s="947"/>
      <c r="F29" s="947"/>
      <c r="G29" s="672"/>
      <c r="H29" s="672"/>
      <c r="I29" s="203"/>
      <c r="J29" s="499"/>
      <c r="M29" s="496">
        <v>18</v>
      </c>
      <c r="N29" s="497">
        <v>207.58900451660099</v>
      </c>
      <c r="O29" s="497">
        <v>225.58</v>
      </c>
      <c r="P29" s="497">
        <v>213.67399599999999</v>
      </c>
      <c r="Q29" s="498"/>
      <c r="R29" s="498"/>
      <c r="S29" s="498"/>
      <c r="T29" s="498"/>
      <c r="AD29" s="498"/>
      <c r="AE29" s="498"/>
      <c r="AF29" s="385"/>
      <c r="AG29" s="385"/>
      <c r="AH29" s="385"/>
      <c r="AI29" s="385"/>
      <c r="AJ29" s="385"/>
      <c r="AK29" s="385"/>
      <c r="AL29" s="385"/>
    </row>
    <row r="30" spans="1:38" ht="11.25" customHeight="1">
      <c r="A30" s="94"/>
      <c r="B30" s="217"/>
      <c r="C30" s="217" t="s">
        <v>312</v>
      </c>
      <c r="D30" s="217"/>
      <c r="E30" s="217"/>
      <c r="F30" s="215"/>
      <c r="G30" s="672"/>
      <c r="H30" s="672"/>
      <c r="M30" s="496">
        <v>19</v>
      </c>
      <c r="N30" s="497">
        <v>207.58900451660099</v>
      </c>
      <c r="O30" s="497">
        <v>225.58</v>
      </c>
      <c r="P30" s="497">
        <v>216.75700380000001</v>
      </c>
      <c r="Q30" s="498"/>
      <c r="R30" s="498"/>
      <c r="S30" s="498"/>
      <c r="T30" s="498"/>
      <c r="AD30" s="498"/>
      <c r="AE30" s="498"/>
      <c r="AF30" s="385"/>
      <c r="AG30" s="385"/>
      <c r="AH30" s="385"/>
      <c r="AI30" s="385"/>
      <c r="AJ30" s="385"/>
      <c r="AK30" s="385"/>
      <c r="AL30" s="385"/>
    </row>
    <row r="31" spans="1:38" ht="11.25" customHeight="1">
      <c r="A31" s="94"/>
      <c r="B31" s="217"/>
      <c r="C31" s="217"/>
      <c r="D31" s="217"/>
      <c r="E31" s="217"/>
      <c r="F31" s="215"/>
      <c r="G31" s="215"/>
      <c r="H31" s="215"/>
      <c r="I31" s="203"/>
      <c r="J31" s="499"/>
      <c r="M31" s="496">
        <v>20</v>
      </c>
      <c r="N31" s="497">
        <v>205.7</v>
      </c>
      <c r="O31" s="497">
        <v>226.61</v>
      </c>
      <c r="P31" s="497">
        <v>217.29400630000001</v>
      </c>
      <c r="Q31" s="498"/>
      <c r="R31" s="498"/>
      <c r="S31" s="498"/>
      <c r="T31" s="498"/>
      <c r="AD31" s="498"/>
      <c r="AE31" s="498"/>
      <c r="AF31" s="385"/>
      <c r="AG31" s="385"/>
      <c r="AH31" s="385"/>
      <c r="AI31" s="385"/>
      <c r="AJ31" s="385"/>
      <c r="AK31" s="385"/>
      <c r="AL31" s="385"/>
    </row>
    <row r="32" spans="1:38" ht="11.25" customHeight="1">
      <c r="A32" s="946" t="s">
        <v>488</v>
      </c>
      <c r="B32" s="946"/>
      <c r="C32" s="946"/>
      <c r="D32" s="946"/>
      <c r="E32" s="946"/>
      <c r="F32" s="946"/>
      <c r="G32" s="946"/>
      <c r="H32" s="946"/>
      <c r="I32" s="202"/>
      <c r="J32" s="499"/>
      <c r="M32" s="496">
        <v>21</v>
      </c>
      <c r="N32" s="497">
        <v>205.7</v>
      </c>
      <c r="O32" s="497">
        <v>226.61</v>
      </c>
      <c r="P32" s="497">
        <v>218.3190002</v>
      </c>
      <c r="Q32" s="498"/>
      <c r="R32" s="498"/>
      <c r="S32" s="498"/>
      <c r="T32" s="498"/>
      <c r="AD32" s="498"/>
      <c r="AE32" s="498"/>
      <c r="AF32" s="385"/>
      <c r="AG32" s="385"/>
      <c r="AH32" s="385"/>
      <c r="AI32" s="385"/>
      <c r="AJ32" s="385"/>
      <c r="AK32" s="385"/>
      <c r="AL32" s="385"/>
    </row>
    <row r="33" spans="1:38" ht="11.25" customHeight="1">
      <c r="A33" s="94"/>
      <c r="B33" s="102"/>
      <c r="C33" s="102"/>
      <c r="D33" s="102"/>
      <c r="E33" s="102"/>
      <c r="F33" s="102"/>
      <c r="G33" s="102"/>
      <c r="H33" s="102"/>
      <c r="I33" s="202"/>
      <c r="J33" s="499"/>
      <c r="M33" s="496">
        <v>22</v>
      </c>
      <c r="N33" s="497">
        <v>204.65</v>
      </c>
      <c r="O33" s="497">
        <v>227.42</v>
      </c>
      <c r="P33" s="497">
        <v>218.79899599999999</v>
      </c>
      <c r="Q33" s="498"/>
      <c r="R33" s="498"/>
      <c r="S33" s="498"/>
      <c r="T33" s="498"/>
      <c r="AD33" s="498"/>
      <c r="AE33" s="498"/>
      <c r="AF33" s="385"/>
      <c r="AG33" s="385"/>
      <c r="AH33" s="385"/>
      <c r="AI33" s="385"/>
      <c r="AJ33" s="385"/>
      <c r="AK33" s="385"/>
      <c r="AL33" s="385"/>
    </row>
    <row r="34" spans="1:38" ht="11.25" customHeight="1">
      <c r="A34" s="94"/>
      <c r="B34" s="102"/>
      <c r="C34" s="102"/>
      <c r="D34" s="102"/>
      <c r="E34" s="102"/>
      <c r="F34" s="102"/>
      <c r="G34" s="102"/>
      <c r="H34" s="102"/>
      <c r="I34" s="202"/>
      <c r="J34" s="499"/>
      <c r="M34" s="496">
        <v>23</v>
      </c>
      <c r="N34" s="497">
        <v>204.65</v>
      </c>
      <c r="O34" s="497">
        <v>227.42</v>
      </c>
      <c r="P34" s="497">
        <v>217.8880005</v>
      </c>
      <c r="Q34" s="498"/>
      <c r="R34" s="498"/>
      <c r="S34" s="498"/>
      <c r="T34" s="498"/>
      <c r="AD34" s="498"/>
      <c r="AE34" s="498"/>
      <c r="AF34" s="385"/>
      <c r="AG34" s="385"/>
      <c r="AH34" s="385"/>
      <c r="AI34" s="385"/>
      <c r="AJ34" s="385"/>
      <c r="AK34" s="385"/>
      <c r="AL34" s="385"/>
    </row>
    <row r="35" spans="1:38" ht="11.25" customHeight="1">
      <c r="A35" s="94"/>
      <c r="B35" s="102"/>
      <c r="C35" s="102"/>
      <c r="D35" s="102"/>
      <c r="E35" s="102"/>
      <c r="F35" s="102"/>
      <c r="G35" s="102"/>
      <c r="H35" s="102"/>
      <c r="I35" s="204"/>
      <c r="J35" s="499"/>
      <c r="M35" s="496">
        <v>24</v>
      </c>
      <c r="N35" s="497">
        <v>200.38</v>
      </c>
      <c r="O35" s="497">
        <v>227.45</v>
      </c>
      <c r="P35" s="497">
        <v>216.04899599999999</v>
      </c>
      <c r="Q35" s="498"/>
      <c r="R35" s="498"/>
      <c r="S35" s="498"/>
      <c r="T35" s="498"/>
      <c r="AD35" s="498"/>
      <c r="AE35" s="498"/>
      <c r="AF35" s="385"/>
      <c r="AG35" s="385"/>
      <c r="AH35" s="385"/>
      <c r="AI35" s="385"/>
      <c r="AJ35" s="385"/>
      <c r="AK35" s="385"/>
      <c r="AL35" s="385"/>
    </row>
    <row r="36" spans="1:38" ht="11.25" customHeight="1">
      <c r="A36" s="94"/>
      <c r="B36" s="102"/>
      <c r="C36" s="102"/>
      <c r="D36" s="102"/>
      <c r="E36" s="102"/>
      <c r="F36" s="102"/>
      <c r="G36" s="102"/>
      <c r="H36" s="102"/>
      <c r="I36" s="202"/>
      <c r="J36" s="499"/>
      <c r="M36" s="496">
        <v>25</v>
      </c>
      <c r="N36" s="497">
        <v>200.38</v>
      </c>
      <c r="O36" s="497">
        <v>227.45</v>
      </c>
      <c r="P36" s="497">
        <v>212.24600219999999</v>
      </c>
      <c r="Q36" s="498"/>
      <c r="R36" s="498"/>
      <c r="S36" s="498"/>
      <c r="T36" s="498"/>
      <c r="AD36" s="498"/>
      <c r="AE36" s="498"/>
      <c r="AF36" s="385"/>
      <c r="AG36" s="385"/>
      <c r="AH36" s="385"/>
      <c r="AI36" s="385"/>
      <c r="AJ36" s="385"/>
      <c r="AK36" s="385"/>
      <c r="AL36" s="385"/>
    </row>
    <row r="37" spans="1:38" ht="11.25" customHeight="1">
      <c r="A37" s="94"/>
      <c r="B37" s="102"/>
      <c r="C37" s="102"/>
      <c r="D37" s="102"/>
      <c r="E37" s="102"/>
      <c r="F37" s="102"/>
      <c r="G37" s="102"/>
      <c r="H37" s="102"/>
      <c r="I37" s="202"/>
      <c r="J37" s="500"/>
      <c r="M37" s="496">
        <v>26</v>
      </c>
      <c r="N37" s="497">
        <v>193.55099487304599</v>
      </c>
      <c r="O37" s="497">
        <v>225.56</v>
      </c>
      <c r="P37" s="497">
        <v>210.22099299999999</v>
      </c>
      <c r="Q37" s="498"/>
      <c r="R37" s="498"/>
      <c r="S37" s="498"/>
      <c r="T37" s="498"/>
      <c r="AD37" s="498"/>
      <c r="AE37" s="498"/>
      <c r="AF37" s="385"/>
      <c r="AG37" s="385"/>
      <c r="AH37" s="385"/>
      <c r="AI37" s="385"/>
      <c r="AJ37" s="385"/>
      <c r="AK37" s="385"/>
      <c r="AL37" s="385"/>
    </row>
    <row r="38" spans="1:38" ht="11.25" customHeight="1">
      <c r="A38" s="94"/>
      <c r="B38" s="102"/>
      <c r="C38" s="102"/>
      <c r="D38" s="102"/>
      <c r="E38" s="102"/>
      <c r="F38" s="102"/>
      <c r="G38" s="102"/>
      <c r="H38" s="102"/>
      <c r="I38" s="202"/>
      <c r="J38" s="500"/>
      <c r="M38" s="496">
        <v>27</v>
      </c>
      <c r="N38" s="497">
        <v>193.55099487304599</v>
      </c>
      <c r="O38" s="497">
        <v>225.56</v>
      </c>
      <c r="P38" s="497">
        <v>209.85200499999999</v>
      </c>
      <c r="Q38" s="498"/>
      <c r="R38" s="498"/>
      <c r="S38" s="498"/>
      <c r="T38" s="498"/>
      <c r="AD38" s="498"/>
      <c r="AE38" s="498"/>
      <c r="AF38" s="385"/>
      <c r="AG38" s="385"/>
      <c r="AH38" s="385"/>
      <c r="AI38" s="385"/>
      <c r="AJ38" s="385"/>
      <c r="AK38" s="385"/>
      <c r="AL38" s="385"/>
    </row>
    <row r="39" spans="1:38" ht="11.25" customHeight="1">
      <c r="A39" s="94"/>
      <c r="B39" s="102"/>
      <c r="C39" s="102"/>
      <c r="D39" s="102"/>
      <c r="E39" s="102"/>
      <c r="F39" s="102"/>
      <c r="G39" s="102"/>
      <c r="H39" s="102"/>
      <c r="I39" s="202"/>
      <c r="J39" s="501"/>
      <c r="M39" s="496">
        <v>28</v>
      </c>
      <c r="N39" s="497">
        <v>186.01199339999999</v>
      </c>
      <c r="O39" s="502">
        <v>225.56</v>
      </c>
      <c r="P39" s="502">
        <v>203.92900090000001</v>
      </c>
      <c r="Q39" s="498"/>
      <c r="R39" s="498"/>
      <c r="S39" s="498"/>
      <c r="T39" s="498"/>
      <c r="AD39" s="498"/>
      <c r="AE39" s="498"/>
      <c r="AF39" s="385"/>
      <c r="AG39" s="385"/>
      <c r="AH39" s="385"/>
      <c r="AI39" s="385"/>
      <c r="AJ39" s="385"/>
      <c r="AK39" s="385"/>
      <c r="AL39" s="385"/>
    </row>
    <row r="40" spans="1:38" ht="11.25" customHeight="1">
      <c r="A40" s="94"/>
      <c r="B40" s="102"/>
      <c r="C40" s="102"/>
      <c r="D40" s="102"/>
      <c r="E40" s="102"/>
      <c r="F40" s="102"/>
      <c r="G40" s="102"/>
      <c r="H40" s="102"/>
      <c r="I40" s="202"/>
      <c r="J40" s="501"/>
      <c r="M40" s="496">
        <v>29</v>
      </c>
      <c r="N40" s="497">
        <v>186.01199339999999</v>
      </c>
      <c r="O40" s="497">
        <v>222.04</v>
      </c>
      <c r="P40" s="497">
        <v>200.56300350000001</v>
      </c>
      <c r="Q40" s="498"/>
      <c r="R40" s="498"/>
      <c r="S40" s="498"/>
      <c r="T40" s="498"/>
      <c r="AD40" s="498"/>
      <c r="AE40" s="498"/>
      <c r="AF40" s="385"/>
      <c r="AG40" s="385"/>
      <c r="AH40" s="385"/>
      <c r="AI40" s="385"/>
      <c r="AJ40" s="385"/>
      <c r="AK40" s="385"/>
      <c r="AL40" s="385"/>
    </row>
    <row r="41" spans="1:38" ht="11.25" customHeight="1">
      <c r="A41" s="94"/>
      <c r="B41" s="102"/>
      <c r="C41" s="102"/>
      <c r="D41" s="102"/>
      <c r="E41" s="102"/>
      <c r="F41" s="102"/>
      <c r="G41" s="102"/>
      <c r="H41" s="102"/>
      <c r="I41" s="202"/>
      <c r="J41" s="501"/>
      <c r="M41" s="496">
        <v>30</v>
      </c>
      <c r="N41" s="497">
        <v>186.01199339999999</v>
      </c>
      <c r="O41" s="497">
        <v>222.04</v>
      </c>
      <c r="P41" s="497">
        <v>194.94900509999999</v>
      </c>
      <c r="Q41" s="498"/>
      <c r="R41" s="498"/>
      <c r="S41" s="498"/>
      <c r="T41" s="498"/>
      <c r="AD41" s="498"/>
      <c r="AE41" s="498"/>
      <c r="AF41" s="385"/>
      <c r="AG41" s="385"/>
      <c r="AH41" s="385"/>
      <c r="AI41" s="385"/>
      <c r="AJ41" s="385"/>
      <c r="AK41" s="385"/>
      <c r="AL41" s="385"/>
    </row>
    <row r="42" spans="1:38" ht="11.25" customHeight="1">
      <c r="A42" s="94"/>
      <c r="B42" s="102"/>
      <c r="C42" s="102"/>
      <c r="D42" s="102"/>
      <c r="E42" s="102"/>
      <c r="F42" s="102"/>
      <c r="G42" s="102"/>
      <c r="H42" s="102"/>
      <c r="I42" s="204"/>
      <c r="J42" s="500"/>
      <c r="M42" s="496">
        <v>31</v>
      </c>
      <c r="N42" s="497">
        <v>178.58200070000001</v>
      </c>
      <c r="O42" s="497">
        <v>213.13</v>
      </c>
      <c r="P42" s="497">
        <v>188.386</v>
      </c>
      <c r="Q42" s="498"/>
      <c r="R42" s="498"/>
      <c r="S42" s="498"/>
      <c r="T42" s="498"/>
      <c r="AD42" s="498"/>
      <c r="AE42" s="498"/>
      <c r="AF42" s="385"/>
      <c r="AG42" s="385"/>
      <c r="AH42" s="385"/>
      <c r="AI42" s="385"/>
      <c r="AJ42" s="385"/>
      <c r="AK42" s="385"/>
      <c r="AL42" s="385"/>
    </row>
    <row r="43" spans="1:38" ht="11.25" customHeight="1">
      <c r="A43" s="94"/>
      <c r="B43" s="102"/>
      <c r="C43" s="102"/>
      <c r="D43" s="102"/>
      <c r="E43" s="102"/>
      <c r="F43" s="102"/>
      <c r="G43" s="102"/>
      <c r="H43" s="102"/>
      <c r="I43" s="202"/>
      <c r="J43" s="500"/>
      <c r="M43" s="496">
        <v>32</v>
      </c>
      <c r="N43" s="497">
        <v>178.58200070000001</v>
      </c>
      <c r="O43" s="497">
        <v>213.13</v>
      </c>
      <c r="P43" s="497">
        <v>184.72900390000001</v>
      </c>
      <c r="Q43" s="498"/>
      <c r="R43" s="498"/>
      <c r="S43" s="498"/>
      <c r="T43" s="498"/>
      <c r="AD43" s="498"/>
      <c r="AE43" s="498"/>
      <c r="AF43" s="385"/>
      <c r="AG43" s="385"/>
      <c r="AH43" s="385"/>
      <c r="AI43" s="385"/>
      <c r="AJ43" s="385"/>
      <c r="AK43" s="385"/>
      <c r="AL43" s="385"/>
    </row>
    <row r="44" spans="1:38" ht="11.25" customHeight="1">
      <c r="A44" s="94"/>
      <c r="B44" s="102"/>
      <c r="C44" s="102"/>
      <c r="D44" s="102"/>
      <c r="E44" s="102"/>
      <c r="F44" s="102"/>
      <c r="G44" s="102"/>
      <c r="H44" s="102"/>
      <c r="I44" s="202"/>
      <c r="J44" s="500"/>
      <c r="M44" s="496">
        <v>33</v>
      </c>
      <c r="N44" s="497">
        <v>169.01100159999999</v>
      </c>
      <c r="O44" s="497">
        <v>205.97</v>
      </c>
      <c r="P44" s="497">
        <v>178.8809967</v>
      </c>
      <c r="Q44" s="498"/>
      <c r="R44" s="498"/>
      <c r="S44" s="498"/>
      <c r="T44" s="498"/>
      <c r="AD44" s="498"/>
      <c r="AE44" s="498"/>
      <c r="AF44" s="385"/>
      <c r="AG44" s="385"/>
      <c r="AH44" s="385"/>
      <c r="AI44" s="385"/>
      <c r="AJ44" s="385"/>
      <c r="AK44" s="385"/>
      <c r="AL44" s="385"/>
    </row>
    <row r="45" spans="1:38" ht="11.25" customHeight="1">
      <c r="A45" s="94"/>
      <c r="B45" s="102"/>
      <c r="C45" s="102"/>
      <c r="D45" s="102"/>
      <c r="E45" s="102"/>
      <c r="F45" s="102"/>
      <c r="G45" s="102"/>
      <c r="H45" s="102"/>
      <c r="I45" s="205"/>
      <c r="J45" s="503"/>
      <c r="M45" s="496">
        <v>34</v>
      </c>
      <c r="N45" s="497">
        <v>169.01100159999999</v>
      </c>
      <c r="O45" s="497">
        <v>199.49</v>
      </c>
      <c r="P45" s="497">
        <v>176.98599239999999</v>
      </c>
      <c r="Q45" s="498"/>
      <c r="R45" s="498"/>
      <c r="S45" s="498"/>
      <c r="T45" s="498"/>
      <c r="AD45" s="498"/>
      <c r="AE45" s="498"/>
      <c r="AF45" s="385"/>
      <c r="AG45" s="385"/>
      <c r="AH45" s="385"/>
      <c r="AI45" s="385"/>
      <c r="AJ45" s="385"/>
      <c r="AK45" s="385"/>
      <c r="AL45" s="385"/>
    </row>
    <row r="46" spans="1:38" ht="11.25" customHeight="1">
      <c r="A46" s="94"/>
      <c r="B46" s="102"/>
      <c r="C46" s="102"/>
      <c r="D46" s="102"/>
      <c r="E46" s="102"/>
      <c r="F46" s="102"/>
      <c r="G46" s="102"/>
      <c r="H46" s="102"/>
      <c r="I46" s="206"/>
      <c r="J46" s="504"/>
      <c r="M46" s="496">
        <v>35</v>
      </c>
      <c r="N46" s="505">
        <v>158.09199523925699</v>
      </c>
      <c r="O46" s="497">
        <v>193.4</v>
      </c>
      <c r="P46" s="497">
        <v>173.36999510000001</v>
      </c>
      <c r="Q46" s="498"/>
      <c r="R46" s="498"/>
      <c r="S46" s="498"/>
      <c r="T46" s="498"/>
      <c r="AD46" s="498"/>
      <c r="AE46" s="498"/>
      <c r="AF46" s="385"/>
      <c r="AG46" s="385"/>
      <c r="AH46" s="385"/>
      <c r="AI46" s="385"/>
      <c r="AJ46" s="385"/>
      <c r="AK46" s="385"/>
      <c r="AL46" s="385"/>
    </row>
    <row r="47" spans="1:38" ht="11.25" customHeight="1">
      <c r="A47" s="94"/>
      <c r="B47" s="102"/>
      <c r="C47" s="102"/>
      <c r="D47" s="102"/>
      <c r="E47" s="102"/>
      <c r="F47" s="102"/>
      <c r="G47" s="102"/>
      <c r="H47" s="102"/>
      <c r="I47" s="206"/>
      <c r="J47" s="504"/>
      <c r="M47" s="496">
        <v>36</v>
      </c>
      <c r="N47" s="505">
        <v>158.09199523925699</v>
      </c>
      <c r="O47" s="497">
        <v>187.93</v>
      </c>
      <c r="P47" s="497"/>
      <c r="Q47" s="498"/>
      <c r="R47" s="498"/>
      <c r="S47" s="498"/>
      <c r="T47" s="498"/>
      <c r="AD47" s="498"/>
      <c r="AE47" s="498"/>
      <c r="AF47" s="385"/>
      <c r="AG47" s="385"/>
      <c r="AH47" s="385"/>
      <c r="AI47" s="385"/>
      <c r="AJ47" s="385"/>
      <c r="AK47" s="385"/>
      <c r="AL47" s="385"/>
    </row>
    <row r="48" spans="1:38" ht="11.25" customHeight="1">
      <c r="A48" s="94"/>
      <c r="B48" s="102"/>
      <c r="C48" s="102"/>
      <c r="D48" s="102"/>
      <c r="E48" s="102"/>
      <c r="F48" s="102"/>
      <c r="G48" s="102"/>
      <c r="H48" s="102"/>
      <c r="I48" s="206"/>
      <c r="J48" s="504"/>
      <c r="M48" s="496">
        <v>37</v>
      </c>
      <c r="N48" s="497">
        <v>147.0650024</v>
      </c>
      <c r="O48" s="497">
        <v>182.85</v>
      </c>
      <c r="P48" s="497"/>
      <c r="Q48" s="498"/>
      <c r="R48" s="498"/>
      <c r="S48" s="498"/>
      <c r="T48" s="498"/>
      <c r="AD48" s="498"/>
      <c r="AE48" s="498"/>
      <c r="AF48" s="385"/>
      <c r="AG48" s="385"/>
      <c r="AH48" s="385"/>
      <c r="AI48" s="385"/>
      <c r="AJ48" s="385"/>
      <c r="AK48" s="385"/>
      <c r="AL48" s="385"/>
    </row>
    <row r="49" spans="1:38" ht="11.25" customHeight="1">
      <c r="A49" s="94"/>
      <c r="B49" s="102"/>
      <c r="C49" s="102"/>
      <c r="D49" s="102"/>
      <c r="E49" s="102"/>
      <c r="F49" s="102"/>
      <c r="G49" s="102"/>
      <c r="H49" s="102"/>
      <c r="I49" s="206"/>
      <c r="J49" s="504"/>
      <c r="M49" s="496">
        <v>38</v>
      </c>
      <c r="N49" s="497">
        <v>147.0650024</v>
      </c>
      <c r="O49" s="497">
        <v>179.77</v>
      </c>
      <c r="P49" s="497"/>
      <c r="Q49" s="498"/>
      <c r="R49" s="498"/>
      <c r="S49" s="498"/>
      <c r="T49" s="498"/>
      <c r="AD49" s="498"/>
      <c r="AE49" s="498"/>
      <c r="AF49" s="385"/>
      <c r="AG49" s="385"/>
      <c r="AH49" s="385"/>
      <c r="AI49" s="385"/>
      <c r="AJ49" s="385"/>
      <c r="AK49" s="385"/>
      <c r="AL49" s="385"/>
    </row>
    <row r="50" spans="1:38" ht="12.75">
      <c r="A50" s="94"/>
      <c r="B50" s="102"/>
      <c r="C50" s="102"/>
      <c r="D50" s="102"/>
      <c r="E50" s="102"/>
      <c r="F50" s="102"/>
      <c r="G50" s="102"/>
      <c r="H50" s="102"/>
      <c r="I50" s="206"/>
      <c r="J50" s="504"/>
      <c r="M50" s="496">
        <v>39</v>
      </c>
      <c r="N50" s="497">
        <v>139.11000060000001</v>
      </c>
      <c r="O50" s="497">
        <v>173.62</v>
      </c>
      <c r="P50" s="497"/>
      <c r="Q50" s="498"/>
      <c r="R50" s="498"/>
      <c r="S50" s="498"/>
      <c r="T50" s="498"/>
      <c r="AD50" s="498"/>
      <c r="AE50" s="498"/>
      <c r="AF50" s="385"/>
      <c r="AG50" s="385"/>
      <c r="AH50" s="385"/>
      <c r="AI50" s="385"/>
      <c r="AJ50" s="385"/>
      <c r="AK50" s="385"/>
      <c r="AL50" s="385"/>
    </row>
    <row r="51" spans="1:38" ht="12.75">
      <c r="A51" s="94"/>
      <c r="B51" s="102"/>
      <c r="C51" s="102"/>
      <c r="D51" s="102"/>
      <c r="E51" s="102"/>
      <c r="F51" s="102"/>
      <c r="G51" s="102"/>
      <c r="H51" s="102"/>
      <c r="I51" s="206"/>
      <c r="J51" s="504"/>
      <c r="M51" s="496">
        <v>40</v>
      </c>
      <c r="N51" s="497">
        <v>139.11000060000001</v>
      </c>
      <c r="O51" s="497">
        <v>163</v>
      </c>
      <c r="P51" s="497"/>
      <c r="Q51" s="498"/>
      <c r="R51" s="498"/>
      <c r="S51" s="498"/>
      <c r="T51" s="498"/>
      <c r="AD51" s="498"/>
      <c r="AE51" s="498"/>
      <c r="AF51" s="385"/>
      <c r="AG51" s="385"/>
      <c r="AH51" s="385"/>
      <c r="AI51" s="385"/>
      <c r="AJ51" s="385"/>
      <c r="AK51" s="385"/>
      <c r="AL51" s="385"/>
    </row>
    <row r="52" spans="1:38" ht="12.75">
      <c r="A52" s="94"/>
      <c r="B52" s="102"/>
      <c r="C52" s="102"/>
      <c r="D52" s="102"/>
      <c r="E52" s="102"/>
      <c r="F52" s="102"/>
      <c r="G52" s="102"/>
      <c r="H52" s="102"/>
      <c r="I52" s="206"/>
      <c r="J52" s="504"/>
      <c r="M52" s="496">
        <v>41</v>
      </c>
      <c r="N52" s="497">
        <v>139.11000060000001</v>
      </c>
      <c r="O52" s="497">
        <v>156.5</v>
      </c>
      <c r="P52" s="497"/>
      <c r="Q52" s="498"/>
      <c r="R52" s="498"/>
      <c r="S52" s="498"/>
      <c r="T52" s="498"/>
      <c r="AD52" s="498"/>
      <c r="AE52" s="498"/>
      <c r="AF52" s="385"/>
      <c r="AG52" s="385"/>
      <c r="AH52" s="385"/>
      <c r="AI52" s="385"/>
      <c r="AJ52" s="385"/>
      <c r="AK52" s="385"/>
      <c r="AL52" s="385"/>
    </row>
    <row r="53" spans="1:38" ht="12.75">
      <c r="A53" s="94"/>
      <c r="B53" s="102"/>
      <c r="C53" s="102"/>
      <c r="D53" s="102"/>
      <c r="E53" s="102"/>
      <c r="F53" s="102"/>
      <c r="G53" s="102"/>
      <c r="H53" s="102"/>
      <c r="I53" s="206"/>
      <c r="J53" s="504"/>
      <c r="M53" s="496">
        <v>42</v>
      </c>
      <c r="N53" s="497">
        <v>128.34500120000001</v>
      </c>
      <c r="O53" s="497">
        <v>152.78</v>
      </c>
      <c r="P53" s="497"/>
      <c r="Q53" s="498"/>
      <c r="R53" s="498"/>
      <c r="S53" s="498"/>
      <c r="T53" s="498"/>
      <c r="AD53" s="498"/>
      <c r="AE53" s="498"/>
      <c r="AF53" s="385"/>
      <c r="AG53" s="385"/>
      <c r="AH53" s="385"/>
      <c r="AI53" s="385"/>
      <c r="AJ53" s="385"/>
      <c r="AK53" s="385"/>
      <c r="AL53" s="385"/>
    </row>
    <row r="54" spans="1:38" ht="12.75">
      <c r="A54" s="94"/>
      <c r="B54" s="102"/>
      <c r="C54" s="102"/>
      <c r="D54" s="102"/>
      <c r="E54" s="102"/>
      <c r="F54" s="102"/>
      <c r="G54" s="102"/>
      <c r="H54" s="102"/>
      <c r="I54" s="206"/>
      <c r="J54" s="504"/>
      <c r="M54" s="496">
        <v>43</v>
      </c>
      <c r="N54" s="497">
        <v>128.34500120000001</v>
      </c>
      <c r="O54" s="497">
        <v>148.63</v>
      </c>
      <c r="P54" s="497"/>
      <c r="Q54" s="498"/>
      <c r="R54" s="498"/>
      <c r="S54" s="498"/>
      <c r="T54" s="498"/>
      <c r="AD54" s="498"/>
      <c r="AE54" s="498"/>
      <c r="AF54" s="385"/>
      <c r="AG54" s="385"/>
      <c r="AH54" s="385"/>
      <c r="AI54" s="385"/>
      <c r="AJ54" s="385"/>
      <c r="AK54" s="385"/>
      <c r="AL54" s="385"/>
    </row>
    <row r="55" spans="1:38" ht="12.75">
      <c r="A55" s="94"/>
      <c r="B55" s="102"/>
      <c r="C55" s="102"/>
      <c r="D55" s="102"/>
      <c r="E55" s="102"/>
      <c r="F55" s="102"/>
      <c r="G55" s="102"/>
      <c r="H55" s="102"/>
      <c r="I55" s="206"/>
      <c r="J55" s="504"/>
      <c r="M55" s="496">
        <v>44</v>
      </c>
      <c r="N55" s="497">
        <v>121.20099639999999</v>
      </c>
      <c r="O55" s="497">
        <v>142.91</v>
      </c>
      <c r="P55" s="497"/>
      <c r="Q55" s="498"/>
      <c r="R55" s="498"/>
      <c r="S55" s="498"/>
      <c r="T55" s="498"/>
      <c r="AD55" s="498"/>
      <c r="AE55" s="498"/>
      <c r="AF55" s="385"/>
      <c r="AG55" s="385"/>
      <c r="AH55" s="385"/>
      <c r="AI55" s="385"/>
      <c r="AJ55" s="385"/>
      <c r="AK55" s="385"/>
      <c r="AL55" s="385"/>
    </row>
    <row r="56" spans="1:38" ht="12.75">
      <c r="A56" s="94"/>
      <c r="B56" s="102"/>
      <c r="C56" s="102"/>
      <c r="D56" s="102"/>
      <c r="E56" s="102"/>
      <c r="F56" s="102"/>
      <c r="G56" s="102"/>
      <c r="H56" s="102"/>
      <c r="I56" s="206"/>
      <c r="J56" s="504"/>
      <c r="M56" s="496">
        <v>45</v>
      </c>
      <c r="N56" s="497">
        <v>121.20099639999999</v>
      </c>
      <c r="O56" s="497">
        <v>137.04</v>
      </c>
      <c r="P56" s="497"/>
      <c r="Q56" s="498"/>
      <c r="R56" s="498"/>
      <c r="S56" s="498"/>
      <c r="T56" s="498"/>
      <c r="AD56" s="498"/>
      <c r="AE56" s="498"/>
      <c r="AF56" s="385"/>
      <c r="AG56" s="385"/>
      <c r="AH56" s="385"/>
      <c r="AI56" s="385"/>
      <c r="AJ56" s="385"/>
      <c r="AK56" s="385"/>
      <c r="AL56" s="385"/>
    </row>
    <row r="57" spans="1:38" ht="12.75">
      <c r="A57" s="94"/>
      <c r="B57" s="102"/>
      <c r="C57" s="102"/>
      <c r="D57" s="102"/>
      <c r="E57" s="102"/>
      <c r="F57" s="102"/>
      <c r="G57" s="102"/>
      <c r="H57" s="102"/>
      <c r="M57" s="496">
        <v>46</v>
      </c>
      <c r="N57" s="497">
        <v>112.1429977</v>
      </c>
      <c r="O57" s="497">
        <v>131.22999999999999</v>
      </c>
      <c r="P57" s="497"/>
      <c r="Q57" s="498"/>
      <c r="R57" s="498"/>
      <c r="S57" s="498"/>
      <c r="T57" s="498"/>
      <c r="AD57" s="498"/>
      <c r="AE57" s="498"/>
      <c r="AF57" s="385"/>
      <c r="AG57" s="385"/>
      <c r="AH57" s="385"/>
      <c r="AI57" s="385"/>
      <c r="AJ57" s="385"/>
      <c r="AK57" s="385"/>
      <c r="AL57" s="385"/>
    </row>
    <row r="58" spans="1:38" ht="12.75">
      <c r="A58" s="94"/>
      <c r="B58" s="102"/>
      <c r="C58" s="102"/>
      <c r="D58" s="102"/>
      <c r="E58" s="102"/>
      <c r="F58" s="102"/>
      <c r="G58" s="102"/>
      <c r="H58" s="102"/>
      <c r="M58" s="496">
        <v>47</v>
      </c>
      <c r="N58" s="497">
        <v>112.1429977</v>
      </c>
      <c r="O58" s="497">
        <v>125.5</v>
      </c>
      <c r="P58" s="497"/>
      <c r="Q58" s="498"/>
      <c r="R58" s="498"/>
      <c r="S58" s="498"/>
      <c r="T58" s="498"/>
      <c r="AD58" s="498"/>
      <c r="AE58" s="498"/>
      <c r="AF58" s="385"/>
      <c r="AG58" s="385"/>
      <c r="AH58" s="385"/>
      <c r="AI58" s="385"/>
      <c r="AJ58" s="385"/>
      <c r="AK58" s="385"/>
      <c r="AL58" s="385"/>
    </row>
    <row r="59" spans="1:38" ht="12.75">
      <c r="A59" s="381" t="s">
        <v>540</v>
      </c>
      <c r="B59" s="102"/>
      <c r="C59" s="102"/>
      <c r="D59" s="102"/>
      <c r="E59" s="102"/>
      <c r="F59" s="102"/>
      <c r="G59" s="102"/>
      <c r="H59" s="102"/>
      <c r="M59" s="496">
        <v>48</v>
      </c>
      <c r="N59" s="497">
        <v>101.13500209999999</v>
      </c>
      <c r="O59" s="497">
        <v>120.41</v>
      </c>
      <c r="P59" s="497"/>
      <c r="Q59" s="498"/>
      <c r="R59" s="498"/>
      <c r="S59" s="498"/>
      <c r="T59" s="498"/>
      <c r="AD59" s="498"/>
      <c r="AE59" s="498"/>
      <c r="AF59" s="385"/>
      <c r="AG59" s="385"/>
      <c r="AH59" s="385"/>
      <c r="AI59" s="385"/>
      <c r="AJ59" s="385"/>
      <c r="AK59" s="385"/>
      <c r="AL59" s="385"/>
    </row>
    <row r="60" spans="1:38" ht="12.75">
      <c r="A60" s="93"/>
      <c r="B60" s="102"/>
      <c r="C60" s="102"/>
      <c r="D60" s="102"/>
      <c r="E60" s="102"/>
      <c r="F60" s="102"/>
      <c r="G60" s="102"/>
      <c r="H60" s="102"/>
      <c r="M60" s="496">
        <v>49</v>
      </c>
      <c r="N60" s="497">
        <v>101.13500209999999</v>
      </c>
      <c r="O60" s="497">
        <v>115.91300200000001</v>
      </c>
      <c r="P60" s="497"/>
      <c r="Q60" s="498"/>
      <c r="R60" s="498"/>
      <c r="S60" s="498"/>
      <c r="T60" s="498"/>
      <c r="AD60" s="498"/>
      <c r="AE60" s="498"/>
      <c r="AF60" s="385"/>
      <c r="AG60" s="385"/>
      <c r="AH60" s="385"/>
      <c r="AI60" s="385"/>
      <c r="AJ60" s="385"/>
      <c r="AK60" s="385"/>
      <c r="AL60" s="385"/>
    </row>
    <row r="61" spans="1:38">
      <c r="M61" s="496">
        <v>50</v>
      </c>
      <c r="N61" s="497">
        <v>96.752998349999999</v>
      </c>
      <c r="O61" s="497">
        <v>110.0599976</v>
      </c>
      <c r="P61" s="497"/>
      <c r="Q61" s="498"/>
      <c r="R61" s="498"/>
      <c r="S61" s="498"/>
      <c r="T61" s="498"/>
      <c r="AD61" s="494"/>
      <c r="AE61" s="494"/>
      <c r="AF61" s="384"/>
      <c r="AG61" s="384"/>
      <c r="AH61" s="384"/>
      <c r="AI61" s="384"/>
      <c r="AJ61" s="384"/>
      <c r="AK61" s="384"/>
      <c r="AL61" s="384"/>
    </row>
    <row r="62" spans="1:38">
      <c r="M62" s="496">
        <v>51</v>
      </c>
      <c r="N62" s="497">
        <v>96.752998349999999</v>
      </c>
      <c r="O62" s="497">
        <v>107.5970001</v>
      </c>
      <c r="P62" s="497"/>
      <c r="Q62" s="498"/>
      <c r="R62" s="498"/>
      <c r="S62" s="498"/>
      <c r="T62" s="498"/>
      <c r="AD62" s="494"/>
      <c r="AE62" s="494"/>
      <c r="AF62" s="384"/>
      <c r="AG62" s="384"/>
      <c r="AH62" s="384"/>
      <c r="AI62" s="384"/>
      <c r="AJ62" s="384"/>
      <c r="AK62" s="384"/>
      <c r="AL62" s="384"/>
    </row>
    <row r="63" spans="1:38">
      <c r="M63" s="496">
        <v>52</v>
      </c>
      <c r="N63" s="497">
        <v>96.752998349999999</v>
      </c>
      <c r="O63" s="497">
        <v>104.4029999</v>
      </c>
      <c r="P63" s="497"/>
      <c r="Q63" s="498"/>
      <c r="R63" s="498"/>
      <c r="S63" s="498"/>
      <c r="T63" s="498"/>
      <c r="AD63" s="494"/>
      <c r="AE63" s="494"/>
      <c r="AF63" s="384"/>
      <c r="AG63" s="384"/>
      <c r="AH63" s="384"/>
      <c r="AI63" s="384"/>
      <c r="AJ63" s="384"/>
      <c r="AK63" s="384"/>
      <c r="AL63" s="384"/>
    </row>
    <row r="64" spans="1:38">
      <c r="M64" s="496">
        <v>53</v>
      </c>
      <c r="N64" s="497"/>
      <c r="O64" s="497"/>
      <c r="P64" s="506"/>
      <c r="Q64" s="498"/>
      <c r="R64" s="498"/>
      <c r="S64" s="498"/>
      <c r="T64" s="498"/>
      <c r="AD64" s="494"/>
      <c r="AE64" s="494"/>
      <c r="AF64" s="384"/>
      <c r="AG64" s="384"/>
      <c r="AH64" s="384"/>
      <c r="AI64" s="384"/>
      <c r="AJ64" s="384"/>
      <c r="AK64" s="384"/>
      <c r="AL64" s="384"/>
    </row>
    <row r="65" spans="13:38">
      <c r="M65" s="494"/>
      <c r="N65" s="494"/>
      <c r="O65" s="494"/>
      <c r="P65" s="494"/>
      <c r="Q65" s="494"/>
      <c r="R65" s="494"/>
      <c r="S65" s="494"/>
      <c r="T65" s="494"/>
      <c r="AD65" s="494"/>
      <c r="AE65" s="494"/>
      <c r="AF65" s="384"/>
      <c r="AG65" s="384"/>
      <c r="AH65" s="384"/>
      <c r="AI65" s="384"/>
      <c r="AJ65" s="384"/>
      <c r="AK65" s="384"/>
      <c r="AL65" s="384"/>
    </row>
  </sheetData>
  <mergeCells count="4">
    <mergeCell ref="A2:H2"/>
    <mergeCell ref="A4:H4"/>
    <mergeCell ref="C29:F29"/>
    <mergeCell ref="A32:H32"/>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190F-AA2D-4885-84D3-7562B601C81E}">
  <sheetPr>
    <tabColor theme="4"/>
  </sheetPr>
  <dimension ref="A1:AE63"/>
  <sheetViews>
    <sheetView showGridLines="0" view="pageBreakPreview" zoomScale="130" zoomScaleNormal="100" zoomScaleSheetLayoutView="130" zoomScalePageLayoutView="115" workbookViewId="0">
      <selection activeCell="Q15" sqref="Q15"/>
    </sheetView>
  </sheetViews>
  <sheetFormatPr defaultRowHeight="11.25"/>
  <cols>
    <col min="1" max="9" width="9.33203125" style="3"/>
    <col min="10" max="11" width="9.33203125" style="3" customWidth="1"/>
    <col min="12" max="13" width="9.33203125" style="3"/>
    <col min="14" max="28" width="9.33203125" style="668"/>
    <col min="29" max="31" width="9.33203125" style="642"/>
    <col min="32" max="16384" width="9.33203125" style="3"/>
  </cols>
  <sheetData>
    <row r="1" spans="1:22" ht="11.25" customHeight="1">
      <c r="A1" s="160"/>
      <c r="B1" s="160"/>
      <c r="C1" s="160"/>
      <c r="D1" s="160"/>
      <c r="E1" s="160"/>
      <c r="F1" s="160"/>
      <c r="G1" s="160"/>
      <c r="H1" s="160"/>
      <c r="I1" s="160"/>
      <c r="J1" s="160"/>
      <c r="K1" s="160"/>
      <c r="L1" s="160"/>
    </row>
    <row r="2" spans="1:22" ht="11.25" customHeight="1">
      <c r="A2" s="463"/>
      <c r="B2" s="473"/>
      <c r="C2" s="473"/>
      <c r="D2" s="473"/>
      <c r="E2" s="473"/>
      <c r="F2" s="473"/>
      <c r="G2" s="474"/>
      <c r="H2" s="474"/>
      <c r="I2" s="25"/>
      <c r="J2" s="160"/>
      <c r="K2" s="160"/>
      <c r="L2" s="160"/>
    </row>
    <row r="3" spans="1:22" ht="11.25" customHeight="1">
      <c r="A3" s="25"/>
      <c r="B3" s="25"/>
      <c r="C3" s="25"/>
      <c r="D3" s="25"/>
      <c r="E3" s="25"/>
      <c r="F3" s="25"/>
      <c r="G3" s="91"/>
      <c r="H3" s="91"/>
      <c r="I3" s="91"/>
      <c r="J3" s="45"/>
      <c r="K3" s="45"/>
      <c r="L3" s="45"/>
    </row>
    <row r="4" spans="1:22" ht="11.25" customHeight="1">
      <c r="A4" s="25"/>
      <c r="B4" s="25"/>
      <c r="C4" s="25"/>
      <c r="D4" s="25"/>
      <c r="E4" s="25"/>
      <c r="F4" s="25"/>
      <c r="G4" s="91"/>
      <c r="H4" s="91"/>
      <c r="I4" s="91"/>
      <c r="J4" s="45"/>
      <c r="K4" s="45"/>
      <c r="L4" s="45"/>
      <c r="N4" s="673" t="s">
        <v>296</v>
      </c>
      <c r="O4" s="674"/>
      <c r="P4" s="674"/>
      <c r="Q4" s="674"/>
      <c r="R4" s="674"/>
      <c r="S4" s="674"/>
      <c r="T4" s="675" t="s">
        <v>297</v>
      </c>
      <c r="U4" s="674"/>
      <c r="V4" s="674"/>
    </row>
    <row r="5" spans="1:22" ht="11.25" customHeight="1">
      <c r="A5" s="948"/>
      <c r="B5" s="948"/>
      <c r="C5" s="948"/>
      <c r="D5" s="948"/>
      <c r="E5" s="948"/>
      <c r="F5" s="948"/>
      <c r="G5" s="948"/>
      <c r="H5" s="948"/>
      <c r="I5" s="948"/>
      <c r="J5" s="16"/>
      <c r="K5" s="16"/>
      <c r="L5" s="10"/>
      <c r="N5" s="674"/>
      <c r="O5" s="676">
        <v>2016</v>
      </c>
      <c r="P5" s="676">
        <v>2017</v>
      </c>
      <c r="Q5" s="676">
        <v>2018</v>
      </c>
      <c r="R5" s="674"/>
      <c r="S5" s="674"/>
      <c r="T5" s="676">
        <v>2016</v>
      </c>
      <c r="U5" s="676">
        <v>2017</v>
      </c>
      <c r="V5" s="676">
        <v>2018</v>
      </c>
    </row>
    <row r="6" spans="1:22" ht="11.25" customHeight="1">
      <c r="A6" s="84"/>
      <c r="B6" s="193"/>
      <c r="C6" s="86"/>
      <c r="D6" s="87"/>
      <c r="E6" s="87"/>
      <c r="F6" s="88"/>
      <c r="G6" s="83"/>
      <c r="H6" s="83"/>
      <c r="I6" s="89"/>
      <c r="J6" s="16"/>
      <c r="K6" s="16"/>
      <c r="L6" s="7"/>
      <c r="N6" s="677">
        <v>1</v>
      </c>
      <c r="O6" s="678">
        <v>119.86</v>
      </c>
      <c r="P6" s="678">
        <v>27.559000019999999</v>
      </c>
      <c r="Q6" s="679">
        <v>34.76</v>
      </c>
      <c r="R6" s="674"/>
      <c r="S6" s="677">
        <v>1</v>
      </c>
      <c r="T6" s="680">
        <v>150.22999999999999</v>
      </c>
      <c r="U6" s="681">
        <v>122.19600180599998</v>
      </c>
      <c r="V6" s="682">
        <v>210.20000000000002</v>
      </c>
    </row>
    <row r="7" spans="1:22" ht="11.25" customHeight="1">
      <c r="A7" s="84"/>
      <c r="B7" s="949"/>
      <c r="C7" s="949"/>
      <c r="D7" s="194"/>
      <c r="E7" s="194"/>
      <c r="F7" s="88"/>
      <c r="G7" s="83"/>
      <c r="H7" s="83"/>
      <c r="I7" s="89"/>
      <c r="J7" s="5"/>
      <c r="K7" s="5"/>
      <c r="L7" s="20"/>
      <c r="N7" s="677">
        <v>2</v>
      </c>
      <c r="O7" s="678">
        <v>113.21</v>
      </c>
      <c r="P7" s="678">
        <v>36.5890007</v>
      </c>
      <c r="Q7" s="679">
        <v>47.749000549999998</v>
      </c>
      <c r="R7" s="674"/>
      <c r="S7" s="677">
        <v>2</v>
      </c>
      <c r="T7" s="680">
        <v>145.21</v>
      </c>
      <c r="U7" s="681">
        <v>136.535000822</v>
      </c>
      <c r="V7" s="682">
        <v>216.70300435500002</v>
      </c>
    </row>
    <row r="8" spans="1:22" ht="11.25" customHeight="1">
      <c r="A8" s="84"/>
      <c r="B8" s="195"/>
      <c r="C8" s="49"/>
      <c r="D8" s="196"/>
      <c r="E8" s="196"/>
      <c r="F8" s="88"/>
      <c r="G8" s="83"/>
      <c r="H8" s="83"/>
      <c r="I8" s="89"/>
      <c r="J8" s="6"/>
      <c r="K8" s="6"/>
      <c r="L8" s="16"/>
      <c r="N8" s="677">
        <v>3</v>
      </c>
      <c r="O8" s="678">
        <v>117.64</v>
      </c>
      <c r="P8" s="678">
        <v>63.17599869</v>
      </c>
      <c r="Q8" s="679">
        <v>67.130996699999997</v>
      </c>
      <c r="R8" s="674"/>
      <c r="S8" s="677">
        <v>3</v>
      </c>
      <c r="T8" s="680">
        <v>143.88</v>
      </c>
      <c r="U8" s="681">
        <v>170.80799961000002</v>
      </c>
      <c r="V8" s="682">
        <v>232.83600043999999</v>
      </c>
    </row>
    <row r="9" spans="1:22" ht="11.25" customHeight="1">
      <c r="A9" s="84"/>
      <c r="B9" s="195"/>
      <c r="C9" s="49"/>
      <c r="D9" s="196"/>
      <c r="E9" s="196"/>
      <c r="F9" s="88"/>
      <c r="G9" s="83"/>
      <c r="H9" s="83"/>
      <c r="I9" s="89"/>
      <c r="J9" s="5"/>
      <c r="K9" s="8"/>
      <c r="L9" s="21"/>
      <c r="N9" s="677">
        <v>4</v>
      </c>
      <c r="O9" s="678">
        <v>117.64</v>
      </c>
      <c r="P9" s="678">
        <v>113.2139969</v>
      </c>
      <c r="Q9" s="679">
        <v>93.789001459999994</v>
      </c>
      <c r="R9" s="674"/>
      <c r="S9" s="677">
        <v>4</v>
      </c>
      <c r="T9" s="680">
        <v>139.38200000000001</v>
      </c>
      <c r="U9" s="681">
        <v>186.385000214</v>
      </c>
      <c r="V9" s="682">
        <v>271.78000545999998</v>
      </c>
    </row>
    <row r="10" spans="1:22" ht="11.25" customHeight="1">
      <c r="A10" s="84"/>
      <c r="B10" s="195"/>
      <c r="C10" s="49"/>
      <c r="D10" s="196"/>
      <c r="E10" s="196"/>
      <c r="F10" s="88"/>
      <c r="G10" s="83"/>
      <c r="H10" s="83"/>
      <c r="I10" s="89"/>
      <c r="J10" s="5"/>
      <c r="K10" s="5"/>
      <c r="L10" s="20"/>
      <c r="N10" s="677">
        <v>5</v>
      </c>
      <c r="O10" s="678">
        <v>133.43</v>
      </c>
      <c r="P10" s="678">
        <v>156.8220062</v>
      </c>
      <c r="Q10" s="679">
        <v>111.01599880000001</v>
      </c>
      <c r="R10" s="674"/>
      <c r="S10" s="677">
        <v>5</v>
      </c>
      <c r="T10" s="680">
        <v>135.79099490000002</v>
      </c>
      <c r="U10" s="681">
        <v>204.80799868699998</v>
      </c>
      <c r="V10" s="682">
        <v>269.07999802</v>
      </c>
    </row>
    <row r="11" spans="1:22" ht="11.25" customHeight="1">
      <c r="A11" s="84"/>
      <c r="B11" s="196"/>
      <c r="C11" s="49"/>
      <c r="D11" s="196"/>
      <c r="E11" s="196"/>
      <c r="F11" s="88"/>
      <c r="G11" s="83"/>
      <c r="H11" s="83"/>
      <c r="I11" s="89"/>
      <c r="J11" s="5"/>
      <c r="K11" s="5"/>
      <c r="L11" s="20"/>
      <c r="N11" s="677">
        <v>6</v>
      </c>
      <c r="O11" s="678">
        <v>159.2149963</v>
      </c>
      <c r="P11" s="678">
        <v>168.8840027</v>
      </c>
      <c r="Q11" s="679">
        <v>126.6029968</v>
      </c>
      <c r="R11" s="674"/>
      <c r="S11" s="677">
        <v>6</v>
      </c>
      <c r="T11" s="680">
        <v>150.04800029899999</v>
      </c>
      <c r="U11" s="681">
        <v>201.82999366799999</v>
      </c>
      <c r="V11" s="682">
        <v>273.52000047000001</v>
      </c>
    </row>
    <row r="12" spans="1:22" ht="11.25" customHeight="1">
      <c r="A12" s="84"/>
      <c r="B12" s="196"/>
      <c r="C12" s="49"/>
      <c r="D12" s="196"/>
      <c r="E12" s="196"/>
      <c r="F12" s="88"/>
      <c r="G12" s="83"/>
      <c r="H12" s="83"/>
      <c r="I12" s="89"/>
      <c r="J12" s="5"/>
      <c r="K12" s="5"/>
      <c r="L12" s="20"/>
      <c r="N12" s="677">
        <v>7</v>
      </c>
      <c r="O12" s="678">
        <v>186.18299870000001</v>
      </c>
      <c r="P12" s="678">
        <v>196.28300479999999</v>
      </c>
      <c r="Q12" s="679">
        <v>135.7250061</v>
      </c>
      <c r="R12" s="674"/>
      <c r="S12" s="677">
        <v>7</v>
      </c>
      <c r="T12" s="680">
        <v>174.31999966699999</v>
      </c>
      <c r="U12" s="681">
        <v>199.59600258</v>
      </c>
      <c r="V12" s="682">
        <v>302.63299941999998</v>
      </c>
    </row>
    <row r="13" spans="1:22" ht="11.25" customHeight="1">
      <c r="A13" s="84"/>
      <c r="B13" s="196"/>
      <c r="C13" s="49"/>
      <c r="D13" s="196"/>
      <c r="E13" s="196"/>
      <c r="F13" s="88"/>
      <c r="G13" s="83"/>
      <c r="H13" s="83"/>
      <c r="I13" s="89"/>
      <c r="J13" s="6"/>
      <c r="K13" s="6"/>
      <c r="L13" s="16"/>
      <c r="N13" s="677">
        <v>8</v>
      </c>
      <c r="O13" s="678">
        <v>206.53900150000001</v>
      </c>
      <c r="P13" s="678">
        <v>230.18899540000001</v>
      </c>
      <c r="Q13" s="679">
        <v>159.2149963</v>
      </c>
      <c r="R13" s="674"/>
      <c r="S13" s="677">
        <v>8</v>
      </c>
      <c r="T13" s="680">
        <v>262.93500039999998</v>
      </c>
      <c r="U13" s="681">
        <v>214.34299659800001</v>
      </c>
      <c r="V13" s="682">
        <v>328.23703</v>
      </c>
    </row>
    <row r="14" spans="1:22" ht="11.25" customHeight="1">
      <c r="A14" s="84"/>
      <c r="B14" s="196"/>
      <c r="C14" s="49"/>
      <c r="D14" s="196"/>
      <c r="E14" s="196"/>
      <c r="F14" s="88"/>
      <c r="G14" s="83"/>
      <c r="H14" s="83"/>
      <c r="I14" s="89"/>
      <c r="J14" s="5"/>
      <c r="K14" s="8"/>
      <c r="L14" s="21"/>
      <c r="N14" s="677">
        <v>9</v>
      </c>
      <c r="O14" s="678">
        <v>240.9539948</v>
      </c>
      <c r="P14" s="678">
        <v>249.13000489999999</v>
      </c>
      <c r="Q14" s="679">
        <v>186.18299870000001</v>
      </c>
      <c r="R14" s="674"/>
      <c r="S14" s="677">
        <v>9</v>
      </c>
      <c r="T14" s="680">
        <v>279.08800121000002</v>
      </c>
      <c r="U14" s="681">
        <v>250.89400288000002</v>
      </c>
      <c r="V14" s="682">
        <v>343.54049999999995</v>
      </c>
    </row>
    <row r="15" spans="1:22" ht="11.25" customHeight="1">
      <c r="A15" s="84"/>
      <c r="B15" s="196"/>
      <c r="C15" s="49"/>
      <c r="D15" s="196"/>
      <c r="E15" s="196"/>
      <c r="F15" s="88"/>
      <c r="G15" s="83"/>
      <c r="H15" s="83"/>
      <c r="I15" s="89"/>
      <c r="J15" s="5"/>
      <c r="K15" s="8"/>
      <c r="L15" s="20"/>
      <c r="N15" s="677">
        <v>10</v>
      </c>
      <c r="O15" s="678">
        <v>279.86401369999999</v>
      </c>
      <c r="P15" s="678">
        <v>311.77999999999997</v>
      </c>
      <c r="Q15" s="679">
        <v>203.96099849999999</v>
      </c>
      <c r="R15" s="674"/>
      <c r="S15" s="677">
        <v>10</v>
      </c>
      <c r="T15" s="680">
        <v>283.79400062561007</v>
      </c>
      <c r="U15" s="681">
        <v>298.99899296000001</v>
      </c>
      <c r="V15" s="682">
        <v>371.29100467000001</v>
      </c>
    </row>
    <row r="16" spans="1:22" ht="11.25" customHeight="1">
      <c r="A16" s="84"/>
      <c r="B16" s="196"/>
      <c r="C16" s="49"/>
      <c r="D16" s="196"/>
      <c r="E16" s="196"/>
      <c r="F16" s="88"/>
      <c r="G16" s="83"/>
      <c r="H16" s="83"/>
      <c r="I16" s="89"/>
      <c r="J16" s="5"/>
      <c r="K16" s="8"/>
      <c r="L16" s="20"/>
      <c r="N16" s="677">
        <v>11</v>
      </c>
      <c r="O16" s="678">
        <v>308.83</v>
      </c>
      <c r="P16" s="678">
        <v>332.70800000000003</v>
      </c>
      <c r="Q16" s="679">
        <v>230.18899540000001</v>
      </c>
      <c r="R16" s="683"/>
      <c r="S16" s="677">
        <v>11</v>
      </c>
      <c r="T16" s="680">
        <v>286.24</v>
      </c>
      <c r="U16" s="681">
        <v>321.03300188000003</v>
      </c>
      <c r="V16" s="682">
        <v>390.38299555999998</v>
      </c>
    </row>
    <row r="17" spans="1:22" ht="11.25" customHeight="1">
      <c r="A17" s="84"/>
      <c r="B17" s="196"/>
      <c r="C17" s="49"/>
      <c r="D17" s="196"/>
      <c r="E17" s="196"/>
      <c r="F17" s="88"/>
      <c r="G17" s="83"/>
      <c r="H17" s="83"/>
      <c r="I17" s="89"/>
      <c r="J17" s="5"/>
      <c r="K17" s="8"/>
      <c r="L17" s="20"/>
      <c r="N17" s="677">
        <v>12</v>
      </c>
      <c r="O17" s="678">
        <v>308.829986572265</v>
      </c>
      <c r="P17" s="678">
        <v>344.881012</v>
      </c>
      <c r="Q17" s="679">
        <v>282.71701050000001</v>
      </c>
      <c r="R17" s="683"/>
      <c r="S17" s="677">
        <v>12</v>
      </c>
      <c r="T17" s="680">
        <v>285.01299476623473</v>
      </c>
      <c r="U17" s="681">
        <v>332.34900279999999</v>
      </c>
      <c r="V17" s="682">
        <v>412.41217171999995</v>
      </c>
    </row>
    <row r="18" spans="1:22" ht="11.25" customHeight="1">
      <c r="A18" s="84"/>
      <c r="B18" s="196"/>
      <c r="C18" s="49"/>
      <c r="D18" s="196"/>
      <c r="E18" s="196"/>
      <c r="F18" s="88"/>
      <c r="G18" s="83"/>
      <c r="H18" s="83"/>
      <c r="I18" s="89"/>
      <c r="J18" s="5"/>
      <c r="K18" s="8"/>
      <c r="L18" s="20"/>
      <c r="N18" s="677">
        <v>13</v>
      </c>
      <c r="O18" s="678">
        <v>308.829986572265</v>
      </c>
      <c r="P18" s="678">
        <v>338.77499390000003</v>
      </c>
      <c r="Q18" s="679">
        <v>329.68899540000001</v>
      </c>
      <c r="R18" s="683"/>
      <c r="S18" s="677">
        <v>13</v>
      </c>
      <c r="T18" s="680">
        <v>279.96900081634436</v>
      </c>
      <c r="U18" s="681">
        <v>366.02899361000004</v>
      </c>
      <c r="V18" s="682">
        <v>410.83199501000001</v>
      </c>
    </row>
    <row r="19" spans="1:22" ht="11.25" customHeight="1">
      <c r="A19" s="84"/>
      <c r="B19" s="196"/>
      <c r="C19" s="49"/>
      <c r="D19" s="196"/>
      <c r="E19" s="196"/>
      <c r="F19" s="88"/>
      <c r="G19" s="83"/>
      <c r="H19" s="83"/>
      <c r="I19" s="89"/>
      <c r="J19" s="5"/>
      <c r="K19" s="8"/>
      <c r="L19" s="20"/>
      <c r="N19" s="677">
        <v>14</v>
      </c>
      <c r="O19" s="678">
        <v>302.95901489257801</v>
      </c>
      <c r="P19" s="678">
        <v>338.77999390000002</v>
      </c>
      <c r="Q19" s="679">
        <v>329.68899540000001</v>
      </c>
      <c r="R19" s="683"/>
      <c r="S19" s="677">
        <v>14</v>
      </c>
      <c r="T19" s="680">
        <v>286.54100227355917</v>
      </c>
      <c r="U19" s="681">
        <v>382.58400344</v>
      </c>
      <c r="V19" s="682">
        <v>403.70400233999999</v>
      </c>
    </row>
    <row r="20" spans="1:22" ht="11.25" customHeight="1">
      <c r="A20" s="84"/>
      <c r="B20" s="196"/>
      <c r="C20" s="49"/>
      <c r="D20" s="196"/>
      <c r="E20" s="196"/>
      <c r="F20" s="88"/>
      <c r="G20" s="83"/>
      <c r="H20" s="83"/>
      <c r="I20" s="89"/>
      <c r="J20" s="5"/>
      <c r="K20" s="8"/>
      <c r="L20" s="20"/>
      <c r="N20" s="677">
        <v>15</v>
      </c>
      <c r="O20" s="678">
        <v>311.781005859375</v>
      </c>
      <c r="P20" s="678">
        <v>347.94900510000002</v>
      </c>
      <c r="Q20" s="679">
        <v>326.67999270000001</v>
      </c>
      <c r="R20" s="683"/>
      <c r="S20" s="677">
        <v>15</v>
      </c>
      <c r="T20" s="680">
        <v>288.78499984741165</v>
      </c>
      <c r="U20" s="681">
        <v>385.29699126999998</v>
      </c>
      <c r="V20" s="682">
        <v>399.27400204999998</v>
      </c>
    </row>
    <row r="21" spans="1:22" ht="11.25" customHeight="1">
      <c r="A21" s="84"/>
      <c r="B21" s="196"/>
      <c r="C21" s="49"/>
      <c r="D21" s="196"/>
      <c r="E21" s="196"/>
      <c r="F21" s="88"/>
      <c r="G21" s="83"/>
      <c r="H21" s="83"/>
      <c r="I21" s="89"/>
      <c r="J21" s="5"/>
      <c r="K21" s="9"/>
      <c r="L21" s="22"/>
      <c r="N21" s="677">
        <v>16</v>
      </c>
      <c r="O21" s="678">
        <v>320.69100952148398</v>
      </c>
      <c r="P21" s="678">
        <v>354.11401369999999</v>
      </c>
      <c r="Q21" s="679">
        <v>314.7409973</v>
      </c>
      <c r="R21" s="683"/>
      <c r="S21" s="677">
        <v>16</v>
      </c>
      <c r="T21" s="680">
        <v>293.26400000000001</v>
      </c>
      <c r="U21" s="681">
        <v>384.95899003</v>
      </c>
      <c r="V21" s="682">
        <v>394.58499913000003</v>
      </c>
    </row>
    <row r="22" spans="1:22" ht="11.25" customHeight="1">
      <c r="A22" s="97"/>
      <c r="B22" s="196"/>
      <c r="C22" s="49"/>
      <c r="D22" s="196"/>
      <c r="E22" s="196"/>
      <c r="F22" s="88"/>
      <c r="G22" s="83"/>
      <c r="H22" s="83"/>
      <c r="I22" s="89"/>
      <c r="J22" s="5"/>
      <c r="K22" s="8"/>
      <c r="L22" s="20"/>
      <c r="N22" s="677">
        <v>17</v>
      </c>
      <c r="O22" s="678">
        <v>326.67999267578102</v>
      </c>
      <c r="P22" s="678">
        <v>351.02700809999999</v>
      </c>
      <c r="Q22" s="679">
        <v>305.89001459999997</v>
      </c>
      <c r="R22" s="683"/>
      <c r="S22" s="677">
        <v>17</v>
      </c>
      <c r="T22" s="680">
        <v>292.87300071716299</v>
      </c>
      <c r="U22" s="681">
        <v>381.86699488000005</v>
      </c>
      <c r="V22" s="682">
        <v>392.29800030000007</v>
      </c>
    </row>
    <row r="23" spans="1:22" ht="11.25" customHeight="1">
      <c r="A23" s="97"/>
      <c r="B23" s="196"/>
      <c r="C23" s="49"/>
      <c r="D23" s="196"/>
      <c r="E23" s="196"/>
      <c r="F23" s="88"/>
      <c r="G23" s="83"/>
      <c r="H23" s="83"/>
      <c r="I23" s="89"/>
      <c r="J23" s="5"/>
      <c r="K23" s="8"/>
      <c r="L23" s="20"/>
      <c r="N23" s="677">
        <v>18</v>
      </c>
      <c r="O23" s="678">
        <v>314.74099731445301</v>
      </c>
      <c r="P23" s="678">
        <v>354.11401369999999</v>
      </c>
      <c r="Q23" s="679">
        <v>314.7409973</v>
      </c>
      <c r="R23" s="683"/>
      <c r="S23" s="677">
        <v>18</v>
      </c>
      <c r="T23" s="680">
        <v>289.06400012969908</v>
      </c>
      <c r="U23" s="681">
        <v>382.77999115</v>
      </c>
      <c r="V23" s="682">
        <v>390.15600400999995</v>
      </c>
    </row>
    <row r="24" spans="1:22" ht="11.25" customHeight="1">
      <c r="A24" s="97"/>
      <c r="B24" s="196"/>
      <c r="C24" s="49"/>
      <c r="D24" s="196"/>
      <c r="E24" s="196"/>
      <c r="F24" s="88"/>
      <c r="G24" s="83"/>
      <c r="H24" s="83"/>
      <c r="I24" s="89"/>
      <c r="J24" s="8"/>
      <c r="K24" s="8"/>
      <c r="L24" s="20"/>
      <c r="N24" s="677">
        <v>19</v>
      </c>
      <c r="O24" s="678">
        <v>308.829986572265</v>
      </c>
      <c r="P24" s="678">
        <v>363.43499759999997</v>
      </c>
      <c r="Q24" s="679">
        <v>314.7409973</v>
      </c>
      <c r="R24" s="683"/>
      <c r="S24" s="677">
        <v>19</v>
      </c>
      <c r="T24" s="680">
        <v>283.7310012817382</v>
      </c>
      <c r="U24" s="681">
        <v>381.91700169999996</v>
      </c>
      <c r="V24" s="682">
        <v>386.47099490999994</v>
      </c>
    </row>
    <row r="25" spans="1:22" ht="11.25" customHeight="1">
      <c r="A25" s="382" t="s">
        <v>541</v>
      </c>
      <c r="B25" s="196"/>
      <c r="C25" s="49"/>
      <c r="D25" s="196"/>
      <c r="E25" s="196"/>
      <c r="F25" s="88"/>
      <c r="G25" s="83"/>
      <c r="H25" s="83"/>
      <c r="I25" s="89"/>
      <c r="J25" s="5"/>
      <c r="K25" s="9"/>
      <c r="L25" s="22"/>
      <c r="N25" s="677">
        <v>20</v>
      </c>
      <c r="O25" s="678">
        <v>308.8</v>
      </c>
      <c r="P25" s="678">
        <v>366.56100459999999</v>
      </c>
      <c r="Q25" s="679">
        <v>314.7409973</v>
      </c>
      <c r="R25" s="683"/>
      <c r="S25" s="677">
        <v>20</v>
      </c>
      <c r="T25" s="680">
        <v>278.90000000000003</v>
      </c>
      <c r="U25" s="681">
        <v>379.35699083999998</v>
      </c>
      <c r="V25" s="682">
        <v>382.00799562999993</v>
      </c>
    </row>
    <row r="26" spans="1:22" ht="11.25" customHeight="1">
      <c r="A26" s="93"/>
      <c r="B26" s="196"/>
      <c r="C26" s="49"/>
      <c r="D26" s="196"/>
      <c r="E26" s="196"/>
      <c r="F26" s="88"/>
      <c r="G26" s="83"/>
      <c r="H26" s="83"/>
      <c r="I26" s="89"/>
      <c r="J26" s="6"/>
      <c r="K26" s="8"/>
      <c r="L26" s="20"/>
      <c r="N26" s="677">
        <v>21</v>
      </c>
      <c r="O26" s="678">
        <v>311.781005859375</v>
      </c>
      <c r="P26" s="678">
        <v>357.21099850000002</v>
      </c>
      <c r="Q26" s="679">
        <v>314.7409973</v>
      </c>
      <c r="R26" s="683"/>
      <c r="S26" s="677">
        <v>21</v>
      </c>
      <c r="T26" s="680">
        <v>274.65599975585928</v>
      </c>
      <c r="U26" s="681">
        <v>375.59600258</v>
      </c>
      <c r="V26" s="682">
        <v>378.52099610999994</v>
      </c>
    </row>
    <row r="27" spans="1:22" ht="11.25" customHeight="1">
      <c r="A27" s="97"/>
      <c r="B27" s="196"/>
      <c r="C27" s="49"/>
      <c r="D27" s="196"/>
      <c r="E27" s="196"/>
      <c r="F27" s="91"/>
      <c r="G27" s="91"/>
      <c r="H27" s="91"/>
      <c r="I27" s="91"/>
      <c r="J27" s="6"/>
      <c r="K27" s="8"/>
      <c r="L27" s="20"/>
      <c r="N27" s="677">
        <v>22</v>
      </c>
      <c r="O27" s="678">
        <v>314.74</v>
      </c>
      <c r="P27" s="678">
        <v>341.82</v>
      </c>
      <c r="Q27" s="679">
        <v>311.78100590000003</v>
      </c>
      <c r="R27" s="683"/>
      <c r="S27" s="677">
        <v>22</v>
      </c>
      <c r="T27" s="680">
        <v>269.74</v>
      </c>
      <c r="U27" s="681">
        <v>373.52000000000004</v>
      </c>
      <c r="V27" s="682">
        <v>375.20999716</v>
      </c>
    </row>
    <row r="28" spans="1:22" ht="11.25" customHeight="1">
      <c r="A28" s="97"/>
      <c r="B28" s="196"/>
      <c r="C28" s="49"/>
      <c r="D28" s="196"/>
      <c r="E28" s="196"/>
      <c r="F28" s="91"/>
      <c r="G28" s="91"/>
      <c r="H28" s="91"/>
      <c r="I28" s="91"/>
      <c r="J28" s="6"/>
      <c r="K28" s="8"/>
      <c r="L28" s="20"/>
      <c r="N28" s="677">
        <v>23</v>
      </c>
      <c r="O28" s="678">
        <v>308.83</v>
      </c>
      <c r="P28" s="678">
        <v>326.67999270000001</v>
      </c>
      <c r="Q28" s="679">
        <v>308.82998659999998</v>
      </c>
      <c r="R28" s="683"/>
      <c r="S28" s="677">
        <v>23</v>
      </c>
      <c r="T28" s="680">
        <v>265.4609997</v>
      </c>
      <c r="U28" s="681">
        <v>369.22100255000004</v>
      </c>
      <c r="V28" s="682">
        <v>374.07600211999994</v>
      </c>
    </row>
    <row r="29" spans="1:22" ht="11.25" customHeight="1">
      <c r="A29" s="97"/>
      <c r="B29" s="196"/>
      <c r="C29" s="49"/>
      <c r="D29" s="196"/>
      <c r="E29" s="196"/>
      <c r="F29" s="91"/>
      <c r="G29" s="91"/>
      <c r="H29" s="91"/>
      <c r="I29" s="91"/>
      <c r="J29" s="6"/>
      <c r="K29" s="8"/>
      <c r="L29" s="20"/>
      <c r="N29" s="677">
        <v>24</v>
      </c>
      <c r="O29" s="678">
        <v>300.04000000000002</v>
      </c>
      <c r="P29" s="678">
        <v>308.82998659999998</v>
      </c>
      <c r="Q29" s="679">
        <v>300.0379944</v>
      </c>
      <c r="R29" s="683"/>
      <c r="S29" s="677">
        <v>24</v>
      </c>
      <c r="T29" s="680">
        <v>261.10000000000002</v>
      </c>
      <c r="U29" s="681">
        <v>364.44200138999997</v>
      </c>
      <c r="V29" s="682">
        <v>370.89200402</v>
      </c>
    </row>
    <row r="30" spans="1:22" ht="11.25" customHeight="1">
      <c r="A30" s="92"/>
      <c r="B30" s="91"/>
      <c r="C30" s="91"/>
      <c r="D30" s="91"/>
      <c r="E30" s="91"/>
      <c r="F30" s="91"/>
      <c r="G30" s="91"/>
      <c r="H30" s="91"/>
      <c r="I30" s="91"/>
      <c r="J30" s="5"/>
      <c r="K30" s="8"/>
      <c r="L30" s="20"/>
      <c r="N30" s="677">
        <v>25</v>
      </c>
      <c r="O30" s="678">
        <v>282.71701050000001</v>
      </c>
      <c r="P30" s="678">
        <v>291.33300780000002</v>
      </c>
      <c r="Q30" s="679">
        <v>294.22500609999997</v>
      </c>
      <c r="R30" s="683"/>
      <c r="S30" s="677">
        <v>25</v>
      </c>
      <c r="T30" s="680">
        <v>256.25999989000002</v>
      </c>
      <c r="U30" s="681">
        <v>359.61999897999999</v>
      </c>
      <c r="V30" s="682">
        <v>366.71700096999996</v>
      </c>
    </row>
    <row r="31" spans="1:22" ht="11.25" customHeight="1">
      <c r="A31" s="92"/>
      <c r="B31" s="91"/>
      <c r="C31" s="91"/>
      <c r="D31" s="91"/>
      <c r="E31" s="91"/>
      <c r="F31" s="91"/>
      <c r="G31" s="91"/>
      <c r="H31" s="91"/>
      <c r="I31" s="91"/>
      <c r="J31" s="5"/>
      <c r="K31" s="8"/>
      <c r="L31" s="20"/>
      <c r="N31" s="677">
        <v>26</v>
      </c>
      <c r="O31" s="678">
        <v>262.95300292968699</v>
      </c>
      <c r="P31" s="678">
        <v>268.55099489999998</v>
      </c>
      <c r="Q31" s="679">
        <v>282.71701050000001</v>
      </c>
      <c r="R31" s="683"/>
      <c r="S31" s="677">
        <v>26</v>
      </c>
      <c r="T31" s="680">
        <v>252.54899978637627</v>
      </c>
      <c r="U31" s="681">
        <v>354.77499773999995</v>
      </c>
      <c r="V31" s="682">
        <v>361.43599508999995</v>
      </c>
    </row>
    <row r="32" spans="1:22" ht="11.25" customHeight="1">
      <c r="A32" s="92"/>
      <c r="B32" s="91"/>
      <c r="C32" s="91"/>
      <c r="D32" s="91"/>
      <c r="E32" s="91"/>
      <c r="F32" s="91"/>
      <c r="G32" s="91"/>
      <c r="H32" s="91"/>
      <c r="I32" s="91"/>
      <c r="J32" s="5"/>
      <c r="K32" s="8"/>
      <c r="L32" s="20"/>
      <c r="N32" s="677">
        <v>27</v>
      </c>
      <c r="O32" s="678">
        <v>254.63000489999999</v>
      </c>
      <c r="P32" s="678">
        <v>265.7470093</v>
      </c>
      <c r="Q32" s="679">
        <v>271.36</v>
      </c>
      <c r="R32" s="683"/>
      <c r="S32" s="677">
        <v>27</v>
      </c>
      <c r="T32" s="680">
        <v>248.26700022</v>
      </c>
      <c r="U32" s="681">
        <v>349.77999684000002</v>
      </c>
      <c r="V32" s="682">
        <v>355.34</v>
      </c>
    </row>
    <row r="33" spans="1:22" ht="11.25" customHeight="1">
      <c r="A33" s="92"/>
      <c r="B33" s="91"/>
      <c r="C33" s="91"/>
      <c r="D33" s="91"/>
      <c r="E33" s="91"/>
      <c r="F33" s="91"/>
      <c r="G33" s="91"/>
      <c r="H33" s="91"/>
      <c r="I33" s="91"/>
      <c r="J33" s="5"/>
      <c r="K33" s="8"/>
      <c r="L33" s="20"/>
      <c r="N33" s="677">
        <v>28</v>
      </c>
      <c r="O33" s="678">
        <v>240.9539948</v>
      </c>
      <c r="P33" s="684">
        <v>243.66999820000001</v>
      </c>
      <c r="Q33" s="679">
        <v>260.16900629999998</v>
      </c>
      <c r="R33" s="683"/>
      <c r="S33" s="677">
        <v>28</v>
      </c>
      <c r="T33" s="680">
        <v>243.86400222</v>
      </c>
      <c r="U33" s="681">
        <v>344.32400322999996</v>
      </c>
      <c r="V33" s="682">
        <v>349.01599981000004</v>
      </c>
    </row>
    <row r="34" spans="1:22" ht="11.25" customHeight="1">
      <c r="A34" s="92"/>
      <c r="B34" s="91"/>
      <c r="C34" s="91"/>
      <c r="D34" s="91"/>
      <c r="E34" s="91"/>
      <c r="F34" s="91"/>
      <c r="G34" s="91"/>
      <c r="H34" s="91"/>
      <c r="I34" s="91"/>
      <c r="J34" s="5"/>
      <c r="K34" s="8"/>
      <c r="L34" s="20"/>
      <c r="N34" s="677">
        <v>29</v>
      </c>
      <c r="O34" s="678">
        <v>227.5220032</v>
      </c>
      <c r="P34" s="678">
        <v>227.5220032</v>
      </c>
      <c r="Q34" s="679">
        <v>251.88</v>
      </c>
      <c r="R34" s="683"/>
      <c r="S34" s="677">
        <v>29</v>
      </c>
      <c r="T34" s="680">
        <v>239.07999988</v>
      </c>
      <c r="U34" s="681">
        <v>338.60699847999996</v>
      </c>
      <c r="V34" s="682">
        <v>343.97999999999996</v>
      </c>
    </row>
    <row r="35" spans="1:22" ht="11.25" customHeight="1">
      <c r="A35" s="92"/>
      <c r="B35" s="91"/>
      <c r="C35" s="91"/>
      <c r="D35" s="91"/>
      <c r="E35" s="91"/>
      <c r="F35" s="91"/>
      <c r="G35" s="91"/>
      <c r="H35" s="91"/>
      <c r="I35" s="91"/>
      <c r="J35" s="8"/>
      <c r="K35" s="8"/>
      <c r="L35" s="20"/>
      <c r="N35" s="677">
        <v>30</v>
      </c>
      <c r="O35" s="678">
        <v>216.95199584960901</v>
      </c>
      <c r="P35" s="678">
        <v>216.95199579999999</v>
      </c>
      <c r="Q35" s="679">
        <v>232.8650055</v>
      </c>
      <c r="R35" s="683"/>
      <c r="S35" s="677">
        <v>30</v>
      </c>
      <c r="T35" s="680">
        <v>234.2539968490598</v>
      </c>
      <c r="U35" s="681">
        <v>332.49400331000004</v>
      </c>
      <c r="V35" s="682">
        <v>342.06599807739167</v>
      </c>
    </row>
    <row r="36" spans="1:22" ht="11.25" customHeight="1">
      <c r="A36" s="92"/>
      <c r="B36" s="91"/>
      <c r="C36" s="91"/>
      <c r="D36" s="91"/>
      <c r="E36" s="91"/>
      <c r="F36" s="91"/>
      <c r="G36" s="91"/>
      <c r="H36" s="91"/>
      <c r="I36" s="91"/>
      <c r="J36" s="5"/>
      <c r="K36" s="8"/>
      <c r="L36" s="20"/>
      <c r="N36" s="677">
        <v>31</v>
      </c>
      <c r="O36" s="678">
        <v>216.95199579999999</v>
      </c>
      <c r="P36" s="678">
        <v>209.128006</v>
      </c>
      <c r="Q36" s="679">
        <v>211.726</v>
      </c>
      <c r="R36" s="683"/>
      <c r="S36" s="677">
        <v>31</v>
      </c>
      <c r="T36" s="680">
        <v>229.68000125999998</v>
      </c>
      <c r="U36" s="681">
        <v>324</v>
      </c>
      <c r="V36" s="682">
        <v>335.23199999999997</v>
      </c>
    </row>
    <row r="37" spans="1:22" ht="11.25" customHeight="1">
      <c r="A37" s="92"/>
      <c r="B37" s="91"/>
      <c r="C37" s="91"/>
      <c r="D37" s="91"/>
      <c r="E37" s="91"/>
      <c r="F37" s="91"/>
      <c r="G37" s="91"/>
      <c r="H37" s="91"/>
      <c r="I37" s="91"/>
      <c r="J37" s="5"/>
      <c r="K37" s="13"/>
      <c r="L37" s="20"/>
      <c r="N37" s="677">
        <v>32</v>
      </c>
      <c r="O37" s="678">
        <v>201.39199830000001</v>
      </c>
      <c r="P37" s="678">
        <v>198.83200070000001</v>
      </c>
      <c r="Q37" s="679">
        <v>181.19200129999999</v>
      </c>
      <c r="R37" s="683"/>
      <c r="S37" s="677">
        <v>32</v>
      </c>
      <c r="T37" s="680">
        <v>224.73799990999998</v>
      </c>
      <c r="U37" s="681">
        <v>320.73399734000003</v>
      </c>
      <c r="V37" s="682">
        <v>329.56800555999996</v>
      </c>
    </row>
    <row r="38" spans="1:22" ht="11.25" customHeight="1">
      <c r="A38" s="92"/>
      <c r="B38" s="91"/>
      <c r="C38" s="91"/>
      <c r="D38" s="91"/>
      <c r="E38" s="91"/>
      <c r="F38" s="91"/>
      <c r="G38" s="91"/>
      <c r="H38" s="91"/>
      <c r="I38" s="91"/>
      <c r="J38" s="5"/>
      <c r="K38" s="13"/>
      <c r="L38" s="48"/>
      <c r="N38" s="677">
        <v>33</v>
      </c>
      <c r="O38" s="678">
        <v>193.74299621582</v>
      </c>
      <c r="P38" s="678">
        <v>188.69299319999999</v>
      </c>
      <c r="Q38" s="679">
        <v>152.0650024</v>
      </c>
      <c r="R38" s="683"/>
      <c r="S38" s="677">
        <v>33</v>
      </c>
      <c r="T38" s="680">
        <v>219.00299835205058</v>
      </c>
      <c r="U38" s="681">
        <v>314.19900131999998</v>
      </c>
      <c r="V38" s="682">
        <v>323.79099748000004</v>
      </c>
    </row>
    <row r="39" spans="1:22" ht="11.25" customHeight="1">
      <c r="A39" s="92"/>
      <c r="B39" s="91"/>
      <c r="C39" s="91"/>
      <c r="D39" s="91"/>
      <c r="E39" s="91"/>
      <c r="F39" s="91"/>
      <c r="G39" s="91"/>
      <c r="H39" s="91"/>
      <c r="I39" s="91"/>
      <c r="J39" s="5"/>
      <c r="K39" s="9"/>
      <c r="L39" s="20"/>
      <c r="N39" s="677">
        <v>34</v>
      </c>
      <c r="O39" s="678">
        <v>181.19200129999999</v>
      </c>
      <c r="P39" s="678">
        <v>183.68200680000001</v>
      </c>
      <c r="Q39" s="679">
        <v>156.8220062</v>
      </c>
      <c r="R39" s="683"/>
      <c r="S39" s="677">
        <v>34</v>
      </c>
      <c r="T39" s="680">
        <v>214.38699817</v>
      </c>
      <c r="U39" s="681">
        <v>307.85200500000002</v>
      </c>
      <c r="V39" s="682">
        <v>317.64699750999995</v>
      </c>
    </row>
    <row r="40" spans="1:22" ht="11.25" customHeight="1">
      <c r="A40" s="92"/>
      <c r="B40" s="91"/>
      <c r="C40" s="91"/>
      <c r="D40" s="91"/>
      <c r="E40" s="91"/>
      <c r="F40" s="91"/>
      <c r="G40" s="91"/>
      <c r="H40" s="91"/>
      <c r="I40" s="91"/>
      <c r="J40" s="5"/>
      <c r="K40" s="9"/>
      <c r="L40" s="20"/>
      <c r="N40" s="677">
        <v>35</v>
      </c>
      <c r="O40" s="678">
        <v>171.32600400000001</v>
      </c>
      <c r="P40" s="685">
        <v>176.23899840000001</v>
      </c>
      <c r="Q40" s="679">
        <v>156.82</v>
      </c>
      <c r="R40" s="683"/>
      <c r="S40" s="677">
        <v>35</v>
      </c>
      <c r="T40" s="680">
        <v>208.95000171000001</v>
      </c>
      <c r="U40" s="681">
        <v>300.83900069999999</v>
      </c>
      <c r="V40" s="682">
        <v>311.42</v>
      </c>
    </row>
    <row r="41" spans="1:22" ht="11.25" customHeight="1">
      <c r="A41" s="92"/>
      <c r="B41" s="91"/>
      <c r="C41" s="91"/>
      <c r="D41" s="91"/>
      <c r="E41" s="91"/>
      <c r="F41" s="91"/>
      <c r="G41" s="91"/>
      <c r="H41" s="91"/>
      <c r="I41" s="91"/>
      <c r="J41" s="5"/>
      <c r="K41" s="9"/>
      <c r="L41" s="20"/>
      <c r="N41" s="677">
        <v>36</v>
      </c>
      <c r="O41" s="678">
        <v>164.02999879999999</v>
      </c>
      <c r="P41" s="685">
        <v>168.8840027</v>
      </c>
      <c r="Q41" s="679"/>
      <c r="R41" s="683"/>
      <c r="S41" s="677">
        <v>36</v>
      </c>
      <c r="T41" s="680">
        <v>202.97300145000003</v>
      </c>
      <c r="U41" s="681">
        <v>293.46100233999999</v>
      </c>
      <c r="V41" s="682"/>
    </row>
    <row r="42" spans="1:22" ht="11.25" customHeight="1">
      <c r="A42" s="92"/>
      <c r="B42" s="91"/>
      <c r="C42" s="91"/>
      <c r="D42" s="91"/>
      <c r="E42" s="91"/>
      <c r="F42" s="91"/>
      <c r="G42" s="91"/>
      <c r="H42" s="91"/>
      <c r="I42" s="91"/>
      <c r="J42" s="8"/>
      <c r="K42" s="13"/>
      <c r="L42" s="20"/>
      <c r="N42" s="677">
        <v>37</v>
      </c>
      <c r="O42" s="678">
        <v>147.34800720000001</v>
      </c>
      <c r="P42" s="685">
        <v>159.2149963</v>
      </c>
      <c r="Q42" s="679"/>
      <c r="R42" s="683"/>
      <c r="S42" s="677">
        <v>37</v>
      </c>
      <c r="T42" s="680">
        <v>196.95000080099999</v>
      </c>
      <c r="U42" s="681">
        <v>287.76599501999999</v>
      </c>
      <c r="V42" s="682"/>
    </row>
    <row r="43" spans="1:22" ht="11.25" customHeight="1">
      <c r="A43" s="92"/>
      <c r="B43" s="91"/>
      <c r="C43" s="91"/>
      <c r="D43" s="91"/>
      <c r="E43" s="91"/>
      <c r="F43" s="91"/>
      <c r="G43" s="91"/>
      <c r="H43" s="91"/>
      <c r="I43" s="91"/>
      <c r="J43" s="5"/>
      <c r="K43" s="13"/>
      <c r="L43" s="20"/>
      <c r="N43" s="677">
        <v>38</v>
      </c>
      <c r="O43" s="678">
        <v>131.14500430000001</v>
      </c>
      <c r="P43" s="685">
        <v>149.70199579999999</v>
      </c>
      <c r="Q43" s="679"/>
      <c r="R43" s="683"/>
      <c r="S43" s="677">
        <v>38</v>
      </c>
      <c r="T43" s="680">
        <v>190.78400421900002</v>
      </c>
      <c r="U43" s="681">
        <v>282.07300377000001</v>
      </c>
      <c r="V43" s="682"/>
    </row>
    <row r="44" spans="1:22" ht="11.25" customHeight="1">
      <c r="A44" s="92"/>
      <c r="B44" s="91"/>
      <c r="C44" s="91"/>
      <c r="D44" s="91"/>
      <c r="E44" s="91"/>
      <c r="F44" s="91"/>
      <c r="G44" s="91"/>
      <c r="H44" s="91"/>
      <c r="I44" s="91"/>
      <c r="J44" s="5"/>
      <c r="K44" s="13"/>
      <c r="L44" s="20"/>
      <c r="N44" s="677">
        <v>39</v>
      </c>
      <c r="O44" s="678">
        <v>119.8639984</v>
      </c>
      <c r="P44" s="685">
        <v>138.02999879999999</v>
      </c>
      <c r="Q44" s="679"/>
      <c r="R44" s="683"/>
      <c r="S44" s="677">
        <v>39</v>
      </c>
      <c r="T44" s="680">
        <v>184.44099947499998</v>
      </c>
      <c r="U44" s="681">
        <v>275.53000069000001</v>
      </c>
      <c r="V44" s="682"/>
    </row>
    <row r="45" spans="1:22" ht="11.25" customHeight="1">
      <c r="A45" s="92"/>
      <c r="B45" s="91"/>
      <c r="C45" s="91"/>
      <c r="D45" s="91"/>
      <c r="E45" s="91"/>
      <c r="F45" s="91"/>
      <c r="G45" s="91"/>
      <c r="H45" s="91"/>
      <c r="I45" s="91"/>
      <c r="J45" s="15"/>
      <c r="K45" s="15"/>
      <c r="L45" s="15"/>
      <c r="N45" s="677">
        <v>40</v>
      </c>
      <c r="O45" s="678">
        <v>119.8639984</v>
      </c>
      <c r="P45" s="678">
        <v>131.14500430000001</v>
      </c>
      <c r="Q45" s="679"/>
      <c r="R45" s="683"/>
      <c r="S45" s="677">
        <v>40</v>
      </c>
      <c r="T45" s="680">
        <v>177.93399906500002</v>
      </c>
      <c r="U45" s="681">
        <v>268.25699615000002</v>
      </c>
      <c r="V45" s="682"/>
    </row>
    <row r="46" spans="1:22" ht="11.25" customHeight="1">
      <c r="A46" s="92"/>
      <c r="B46" s="91"/>
      <c r="C46" s="91"/>
      <c r="D46" s="91"/>
      <c r="E46" s="91"/>
      <c r="F46" s="91"/>
      <c r="G46" s="91"/>
      <c r="H46" s="91"/>
      <c r="I46" s="91"/>
      <c r="J46" s="14"/>
      <c r="K46" s="14"/>
      <c r="L46" s="14"/>
      <c r="N46" s="677">
        <v>41</v>
      </c>
      <c r="O46" s="678">
        <v>113.213996887207</v>
      </c>
      <c r="P46" s="678">
        <v>108.82900239999999</v>
      </c>
      <c r="Q46" s="679"/>
      <c r="R46" s="683"/>
      <c r="S46" s="677">
        <v>41</v>
      </c>
      <c r="T46" s="680">
        <v>171.68900227546672</v>
      </c>
      <c r="U46" s="681">
        <v>261.21399689000003</v>
      </c>
      <c r="V46" s="682"/>
    </row>
    <row r="47" spans="1:22" ht="11.25" customHeight="1">
      <c r="A47" s="92"/>
      <c r="B47" s="91"/>
      <c r="C47" s="91"/>
      <c r="D47" s="91"/>
      <c r="E47" s="91"/>
      <c r="F47" s="91"/>
      <c r="G47" s="91"/>
      <c r="H47" s="91"/>
      <c r="I47" s="91"/>
      <c r="J47" s="14"/>
      <c r="K47" s="14"/>
      <c r="L47" s="14"/>
      <c r="N47" s="677">
        <v>42</v>
      </c>
      <c r="O47" s="678">
        <v>100.1760025</v>
      </c>
      <c r="P47" s="678">
        <v>95.908996579999993</v>
      </c>
      <c r="Q47" s="679"/>
      <c r="R47" s="683"/>
      <c r="S47" s="677">
        <v>42</v>
      </c>
      <c r="T47" s="680">
        <v>165.69499874400003</v>
      </c>
      <c r="U47" s="681">
        <v>255.58900451</v>
      </c>
      <c r="V47" s="682"/>
    </row>
    <row r="48" spans="1:22" ht="11.25" customHeight="1">
      <c r="A48" s="92"/>
      <c r="B48" s="91"/>
      <c r="C48" s="91"/>
      <c r="D48" s="91"/>
      <c r="E48" s="91"/>
      <c r="F48" s="91"/>
      <c r="G48" s="91"/>
      <c r="H48" s="91"/>
      <c r="I48" s="91"/>
      <c r="J48" s="14"/>
      <c r="K48" s="14"/>
      <c r="L48" s="14"/>
      <c r="N48" s="677">
        <v>43</v>
      </c>
      <c r="O48" s="678">
        <v>89.581001279999995</v>
      </c>
      <c r="P48" s="678">
        <v>83.341003420000007</v>
      </c>
      <c r="Q48" s="679"/>
      <c r="R48" s="683"/>
      <c r="S48" s="677">
        <v>43</v>
      </c>
      <c r="T48" s="680">
        <v>160.397996525</v>
      </c>
      <c r="U48" s="681">
        <v>249.85500335</v>
      </c>
      <c r="V48" s="682"/>
    </row>
    <row r="49" spans="1:22" ht="11.25" customHeight="1">
      <c r="A49" s="92"/>
      <c r="B49" s="91"/>
      <c r="C49" s="91"/>
      <c r="D49" s="91"/>
      <c r="E49" s="91"/>
      <c r="F49" s="91"/>
      <c r="G49" s="91"/>
      <c r="H49" s="91"/>
      <c r="I49" s="91"/>
      <c r="J49" s="14"/>
      <c r="K49" s="14"/>
      <c r="L49" s="14"/>
      <c r="N49" s="677">
        <v>44</v>
      </c>
      <c r="O49" s="678">
        <v>75.156997680000003</v>
      </c>
      <c r="P49" s="678">
        <v>75.16</v>
      </c>
      <c r="Q49" s="679"/>
      <c r="R49" s="683"/>
      <c r="S49" s="677">
        <v>44</v>
      </c>
      <c r="T49" s="680">
        <v>154.79199918699999</v>
      </c>
      <c r="U49" s="681">
        <v>242.79000000000002</v>
      </c>
      <c r="V49" s="682"/>
    </row>
    <row r="50" spans="1:22" ht="12.75">
      <c r="A50" s="92"/>
      <c r="B50" s="91"/>
      <c r="C50" s="91"/>
      <c r="D50" s="91"/>
      <c r="E50" s="91"/>
      <c r="F50" s="91"/>
      <c r="G50" s="91"/>
      <c r="H50" s="91"/>
      <c r="I50" s="91"/>
      <c r="J50" s="14"/>
      <c r="K50" s="14"/>
      <c r="L50" s="14"/>
      <c r="N50" s="677">
        <v>45</v>
      </c>
      <c r="O50" s="678">
        <v>61.2140007</v>
      </c>
      <c r="P50" s="678">
        <v>65.149002080000002</v>
      </c>
      <c r="Q50" s="679"/>
      <c r="R50" s="683"/>
      <c r="S50" s="677">
        <v>45</v>
      </c>
      <c r="T50" s="680">
        <v>149.715000041</v>
      </c>
      <c r="U50" s="681">
        <v>235.60499572000001</v>
      </c>
      <c r="V50" s="682"/>
    </row>
    <row r="51" spans="1:22" ht="12.75">
      <c r="A51" s="92"/>
      <c r="B51" s="91"/>
      <c r="C51" s="91"/>
      <c r="D51" s="91"/>
      <c r="E51" s="91"/>
      <c r="F51" s="91"/>
      <c r="G51" s="91"/>
      <c r="H51" s="91"/>
      <c r="I51" s="91"/>
      <c r="J51" s="14"/>
      <c r="K51" s="14"/>
      <c r="L51" s="14"/>
      <c r="N51" s="677">
        <v>46</v>
      </c>
      <c r="O51" s="678">
        <v>43.990001679999999</v>
      </c>
      <c r="P51" s="678">
        <v>47.749000549999998</v>
      </c>
      <c r="Q51" s="679"/>
      <c r="R51" s="683"/>
      <c r="S51" s="677">
        <v>46</v>
      </c>
      <c r="T51" s="680">
        <v>144.11800040400001</v>
      </c>
      <c r="U51" s="681">
        <v>230.54900361099999</v>
      </c>
      <c r="V51" s="682"/>
    </row>
    <row r="52" spans="1:22" ht="12.75">
      <c r="A52" s="92"/>
      <c r="B52" s="91"/>
      <c r="C52" s="91"/>
      <c r="D52" s="91"/>
      <c r="E52" s="91"/>
      <c r="F52" s="91"/>
      <c r="G52" s="91"/>
      <c r="H52" s="91"/>
      <c r="I52" s="91"/>
      <c r="J52" s="14"/>
      <c r="K52" s="14"/>
      <c r="L52" s="14"/>
      <c r="N52" s="677">
        <v>47</v>
      </c>
      <c r="O52" s="678">
        <v>25.781999590000002</v>
      </c>
      <c r="P52" s="678">
        <v>34.763999939999998</v>
      </c>
      <c r="Q52" s="679"/>
      <c r="R52" s="683"/>
      <c r="S52" s="677">
        <v>47</v>
      </c>
      <c r="T52" s="680">
        <v>138.82499813000001</v>
      </c>
      <c r="U52" s="681">
        <v>223.60000467499998</v>
      </c>
      <c r="V52" s="682"/>
    </row>
    <row r="53" spans="1:22" ht="12.75">
      <c r="A53" s="92"/>
      <c r="B53" s="91"/>
      <c r="C53" s="91"/>
      <c r="D53" s="91"/>
      <c r="E53" s="91"/>
      <c r="F53" s="91"/>
      <c r="G53" s="91"/>
      <c r="H53" s="91"/>
      <c r="I53" s="91"/>
      <c r="J53" s="14"/>
      <c r="K53" s="14"/>
      <c r="L53" s="14"/>
      <c r="N53" s="677">
        <v>48</v>
      </c>
      <c r="O53" s="678">
        <v>29.344999309999999</v>
      </c>
      <c r="P53" s="678">
        <v>13.618000029999999</v>
      </c>
      <c r="Q53" s="679"/>
      <c r="R53" s="683"/>
      <c r="S53" s="677">
        <v>48</v>
      </c>
      <c r="T53" s="680">
        <v>133.112998957</v>
      </c>
      <c r="U53" s="681">
        <v>217.17600035300001</v>
      </c>
      <c r="V53" s="682"/>
    </row>
    <row r="54" spans="1:22" ht="13.5">
      <c r="A54" s="92"/>
      <c r="B54" s="91"/>
      <c r="C54" s="91"/>
      <c r="D54" s="91"/>
      <c r="E54" s="91"/>
      <c r="F54" s="91"/>
      <c r="G54" s="91"/>
      <c r="H54" s="91"/>
      <c r="I54" s="91"/>
      <c r="J54" s="14"/>
      <c r="K54" s="14"/>
      <c r="L54" s="14"/>
      <c r="N54" s="677">
        <v>49</v>
      </c>
      <c r="O54" s="686">
        <v>34.763999939999998</v>
      </c>
      <c r="P54" s="678">
        <v>8.5520000459999999</v>
      </c>
      <c r="Q54" s="679"/>
      <c r="R54" s="683"/>
      <c r="S54" s="677">
        <v>49</v>
      </c>
      <c r="T54" s="680">
        <v>128.370002666</v>
      </c>
      <c r="U54" s="681">
        <v>210.45100211699997</v>
      </c>
      <c r="V54" s="682"/>
    </row>
    <row r="55" spans="1:22" ht="12.75">
      <c r="A55" s="92"/>
      <c r="B55" s="91"/>
      <c r="C55" s="91"/>
      <c r="D55" s="91"/>
      <c r="E55" s="91"/>
      <c r="F55" s="91"/>
      <c r="G55" s="91"/>
      <c r="H55" s="91"/>
      <c r="I55" s="91"/>
      <c r="J55" s="14"/>
      <c r="K55" s="14"/>
      <c r="L55" s="14"/>
      <c r="N55" s="677">
        <v>50</v>
      </c>
      <c r="O55" s="678">
        <v>32.948001859999998</v>
      </c>
      <c r="P55" s="678">
        <v>13.618000029999999</v>
      </c>
      <c r="Q55" s="679"/>
      <c r="R55" s="683"/>
      <c r="S55" s="677">
        <v>50</v>
      </c>
      <c r="T55" s="680">
        <v>122.71499820000001</v>
      </c>
      <c r="U55" s="681">
        <v>203.37099885499998</v>
      </c>
      <c r="V55" s="682"/>
    </row>
    <row r="56" spans="1:22" ht="12.75">
      <c r="A56" s="92"/>
      <c r="B56" s="91"/>
      <c r="C56" s="91"/>
      <c r="D56" s="91"/>
      <c r="E56" s="91"/>
      <c r="F56" s="91"/>
      <c r="G56" s="91"/>
      <c r="H56" s="91"/>
      <c r="I56" s="91"/>
      <c r="J56" s="14"/>
      <c r="K56" s="14"/>
      <c r="L56" s="14"/>
      <c r="N56" s="677">
        <v>51</v>
      </c>
      <c r="O56" s="678">
        <v>25.781999590000002</v>
      </c>
      <c r="P56" s="678">
        <v>18.771999359999999</v>
      </c>
      <c r="Q56" s="679"/>
      <c r="R56" s="683"/>
      <c r="S56" s="677">
        <v>51</v>
      </c>
      <c r="T56" s="680">
        <v>120.15600296300001</v>
      </c>
      <c r="U56" s="681">
        <v>202.35899971500001</v>
      </c>
      <c r="V56" s="682"/>
    </row>
    <row r="57" spans="1:22" ht="12.75">
      <c r="A57" s="92"/>
      <c r="B57" s="91"/>
      <c r="C57" s="91"/>
      <c r="D57" s="91"/>
      <c r="E57" s="91"/>
      <c r="F57" s="91"/>
      <c r="G57" s="91"/>
      <c r="H57" s="91"/>
      <c r="I57" s="91"/>
      <c r="N57" s="677">
        <v>52</v>
      </c>
      <c r="O57" s="678">
        <v>22.256999969999999</v>
      </c>
      <c r="P57" s="678">
        <v>25.781999590000002</v>
      </c>
      <c r="Q57" s="679"/>
      <c r="R57" s="683"/>
      <c r="S57" s="677">
        <v>52</v>
      </c>
      <c r="T57" s="680">
        <v>116.12899696700001</v>
      </c>
      <c r="U57" s="681">
        <v>201.25199794899999</v>
      </c>
      <c r="V57" s="682"/>
    </row>
    <row r="58" spans="1:22" ht="12.75">
      <c r="A58" s="92"/>
      <c r="B58" s="91"/>
      <c r="C58" s="91"/>
      <c r="D58" s="91"/>
      <c r="E58" s="91"/>
      <c r="F58" s="91"/>
      <c r="G58" s="91"/>
      <c r="H58" s="91"/>
      <c r="I58" s="91"/>
      <c r="N58" s="677">
        <v>53</v>
      </c>
      <c r="O58" s="683"/>
      <c r="P58" s="683"/>
      <c r="Q58" s="683"/>
      <c r="R58" s="683"/>
      <c r="S58" s="677">
        <v>53</v>
      </c>
      <c r="T58" s="680"/>
      <c r="U58" s="681"/>
      <c r="V58" s="682"/>
    </row>
    <row r="59" spans="1:22" ht="12.75">
      <c r="B59" s="91"/>
      <c r="C59" s="91"/>
      <c r="D59" s="91"/>
      <c r="E59" s="91"/>
      <c r="F59" s="91"/>
      <c r="G59" s="91"/>
      <c r="H59" s="91"/>
      <c r="I59" s="91"/>
      <c r="N59" s="674"/>
      <c r="O59" s="674"/>
      <c r="P59" s="674"/>
      <c r="Q59" s="674"/>
      <c r="R59" s="674"/>
      <c r="S59" s="674"/>
      <c r="T59" s="674"/>
      <c r="U59" s="674"/>
      <c r="V59" s="674"/>
    </row>
    <row r="60" spans="1:22" ht="12.75">
      <c r="A60" s="92"/>
      <c r="B60" s="91"/>
      <c r="C60" s="91"/>
      <c r="D60" s="91"/>
      <c r="E60" s="91"/>
      <c r="F60" s="91"/>
      <c r="G60" s="91"/>
      <c r="H60" s="91"/>
      <c r="I60" s="91"/>
    </row>
    <row r="63" spans="1:22">
      <c r="A63" s="382" t="s">
        <v>542</v>
      </c>
    </row>
  </sheetData>
  <mergeCells count="2">
    <mergeCell ref="A5:I5"/>
    <mergeCell ref="B7:C7"/>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5FBB4-F1D1-463D-A28B-736887416DC4}">
  <sheetPr>
    <tabColor theme="4"/>
  </sheetPr>
  <dimension ref="A1:U146"/>
  <sheetViews>
    <sheetView showGridLines="0" view="pageBreakPreview" zoomScale="130" zoomScaleNormal="100" zoomScaleSheetLayoutView="130" zoomScalePageLayoutView="130" workbookViewId="0">
      <selection activeCell="Q15" sqref="Q15"/>
    </sheetView>
  </sheetViews>
  <sheetFormatPr defaultRowHeight="11.25"/>
  <cols>
    <col min="1" max="2" width="9.33203125" style="3"/>
    <col min="3" max="3" width="28.5" style="3" customWidth="1"/>
    <col min="4" max="5" width="12" style="3" customWidth="1"/>
    <col min="6" max="6" width="12.33203125" style="3" customWidth="1"/>
    <col min="7" max="7" width="9.33203125" style="3"/>
    <col min="8" max="9" width="9.33203125" style="3" customWidth="1"/>
    <col min="10" max="10" width="9.33203125" style="436"/>
    <col min="11" max="11" width="9.33203125" style="668"/>
    <col min="12" max="12" width="3.1640625" style="669" bestFit="1" customWidth="1"/>
    <col min="13" max="21" width="9.33203125" style="668"/>
    <col min="22" max="16384" width="9.33203125" style="3"/>
  </cols>
  <sheetData>
    <row r="1" spans="1:15" ht="11.25" customHeight="1"/>
    <row r="2" spans="1:15" ht="11.25" customHeight="1">
      <c r="A2" s="25"/>
      <c r="B2" s="25"/>
      <c r="C2" s="25"/>
      <c r="D2" s="25"/>
      <c r="E2" s="91"/>
      <c r="F2" s="91"/>
      <c r="G2" s="91"/>
    </row>
    <row r="3" spans="1:15" ht="17.25" customHeight="1">
      <c r="A3" s="950" t="s">
        <v>489</v>
      </c>
      <c r="B3" s="950"/>
      <c r="C3" s="950"/>
      <c r="D3" s="950"/>
      <c r="E3" s="950"/>
      <c r="F3" s="950"/>
      <c r="G3" s="950"/>
      <c r="H3" s="45"/>
      <c r="I3" s="45"/>
      <c r="K3" s="668" t="s">
        <v>298</v>
      </c>
      <c r="M3" s="668" t="s">
        <v>299</v>
      </c>
      <c r="N3" s="668" t="s">
        <v>300</v>
      </c>
      <c r="O3" s="668" t="s">
        <v>301</v>
      </c>
    </row>
    <row r="4" spans="1:15" ht="11.25" customHeight="1">
      <c r="A4" s="92"/>
      <c r="B4" s="91"/>
      <c r="C4" s="91"/>
      <c r="D4" s="91"/>
      <c r="E4" s="91"/>
      <c r="F4" s="91"/>
      <c r="G4" s="91"/>
      <c r="H4" s="45"/>
      <c r="I4" s="45"/>
      <c r="J4" s="436">
        <v>2016</v>
      </c>
      <c r="K4" s="668">
        <v>1</v>
      </c>
      <c r="L4" s="669">
        <v>1</v>
      </c>
      <c r="M4" s="670">
        <v>40.61</v>
      </c>
      <c r="N4" s="670">
        <v>96.75</v>
      </c>
      <c r="O4" s="670">
        <v>16.37</v>
      </c>
    </row>
    <row r="5" spans="1:15" ht="11.25" customHeight="1">
      <c r="A5" s="92"/>
      <c r="B5" s="91"/>
      <c r="C5" s="91"/>
      <c r="D5" s="91"/>
      <c r="E5" s="91"/>
      <c r="F5" s="91"/>
      <c r="G5" s="91"/>
      <c r="H5" s="16"/>
      <c r="I5" s="16"/>
      <c r="L5" s="669">
        <v>2</v>
      </c>
      <c r="M5" s="670">
        <v>29.82</v>
      </c>
      <c r="N5" s="670">
        <v>76.510000000000005</v>
      </c>
      <c r="O5" s="670">
        <v>15.9</v>
      </c>
    </row>
    <row r="6" spans="1:15" ht="29.25" customHeight="1">
      <c r="A6" s="157"/>
      <c r="C6" s="804" t="s">
        <v>155</v>
      </c>
      <c r="D6" s="807" t="str">
        <f>UPPER('1. Resumen'!Q4)&amp;"
 "&amp;'1. Resumen'!Q5</f>
        <v>AGOSTO
 2018</v>
      </c>
      <c r="E6" s="808" t="str">
        <f>UPPER('1. Resumen'!Q4)&amp;"
 "&amp;'1. Resumen'!Q5-1</f>
        <v>AGOSTO
 2017</v>
      </c>
      <c r="F6" s="809" t="s">
        <v>133</v>
      </c>
      <c r="G6" s="159"/>
      <c r="H6" s="31"/>
      <c r="I6" s="16"/>
      <c r="L6" s="669">
        <v>3</v>
      </c>
      <c r="M6" s="670">
        <v>27.06</v>
      </c>
      <c r="N6" s="670">
        <v>80.096000000000004</v>
      </c>
      <c r="O6" s="670">
        <v>29.21</v>
      </c>
    </row>
    <row r="7" spans="1:15" ht="11.25" customHeight="1">
      <c r="A7" s="218"/>
      <c r="C7" s="224" t="s">
        <v>156</v>
      </c>
      <c r="D7" s="219">
        <v>9.35</v>
      </c>
      <c r="E7" s="219">
        <v>4.8000001909999996</v>
      </c>
      <c r="F7" s="220">
        <f>IF(E7=0,"",(D7-E7)/E7)</f>
        <v>0.94791658915581911</v>
      </c>
      <c r="G7" s="159"/>
      <c r="H7" s="32"/>
      <c r="I7" s="5"/>
      <c r="K7" s="668">
        <v>4</v>
      </c>
      <c r="L7" s="669">
        <v>4</v>
      </c>
      <c r="M7" s="670">
        <v>27.93</v>
      </c>
      <c r="N7" s="670">
        <v>77.09</v>
      </c>
      <c r="O7" s="670">
        <v>20.7</v>
      </c>
    </row>
    <row r="8" spans="1:15" ht="11.25" customHeight="1">
      <c r="A8" s="218"/>
      <c r="C8" s="223" t="s">
        <v>162</v>
      </c>
      <c r="D8" s="221">
        <v>9.9700000000000006</v>
      </c>
      <c r="E8" s="221">
        <v>7.1880002019999996</v>
      </c>
      <c r="F8" s="222">
        <f t="shared" ref="F8:F30" si="0">IF(E8=0,"",(D8-E8)/E8)</f>
        <v>0.38703390648569175</v>
      </c>
      <c r="G8" s="159"/>
      <c r="H8" s="30"/>
      <c r="I8" s="5"/>
      <c r="L8" s="669">
        <v>5</v>
      </c>
      <c r="M8" s="670">
        <v>49.585999999999999</v>
      </c>
      <c r="N8" s="670">
        <v>140.12</v>
      </c>
      <c r="O8" s="670">
        <v>74.02</v>
      </c>
    </row>
    <row r="9" spans="1:15" ht="11.25" customHeight="1">
      <c r="A9" s="218"/>
      <c r="C9" s="224" t="s">
        <v>163</v>
      </c>
      <c r="D9" s="219">
        <v>51.19</v>
      </c>
      <c r="E9" s="219">
        <v>27.166999820000001</v>
      </c>
      <c r="F9" s="220">
        <f t="shared" si="0"/>
        <v>0.88427137111822585</v>
      </c>
      <c r="G9" s="159"/>
      <c r="H9" s="32"/>
      <c r="I9" s="5"/>
      <c r="L9" s="669">
        <v>6</v>
      </c>
      <c r="M9" s="670">
        <v>57</v>
      </c>
      <c r="N9" s="670">
        <v>144.66999999999999</v>
      </c>
      <c r="O9" s="670">
        <v>78.08</v>
      </c>
    </row>
    <row r="10" spans="1:15" ht="11.25" customHeight="1">
      <c r="A10" s="218"/>
      <c r="C10" s="223" t="s">
        <v>170</v>
      </c>
      <c r="D10" s="221">
        <v>24.7</v>
      </c>
      <c r="E10" s="221">
        <v>25.5340004</v>
      </c>
      <c r="F10" s="222">
        <f t="shared" si="0"/>
        <v>-3.2662347729891975E-2</v>
      </c>
      <c r="G10" s="159"/>
      <c r="H10" s="32"/>
      <c r="I10" s="5"/>
      <c r="L10" s="669">
        <v>7</v>
      </c>
      <c r="M10" s="670">
        <v>52.31</v>
      </c>
      <c r="N10" s="670">
        <v>117.32</v>
      </c>
      <c r="O10" s="670">
        <v>41.34</v>
      </c>
    </row>
    <row r="11" spans="1:15" ht="11.25" customHeight="1">
      <c r="A11" s="218"/>
      <c r="C11" s="224" t="s">
        <v>171</v>
      </c>
      <c r="D11" s="219">
        <v>5.41</v>
      </c>
      <c r="E11" s="219">
        <v>7.6599998469999999</v>
      </c>
      <c r="F11" s="220">
        <f t="shared" si="0"/>
        <v>-0.29373366735525469</v>
      </c>
      <c r="G11" s="159"/>
      <c r="H11" s="32"/>
      <c r="I11" s="5"/>
      <c r="K11" s="668">
        <v>8</v>
      </c>
      <c r="L11" s="669">
        <v>8</v>
      </c>
      <c r="M11" s="670">
        <v>57.96</v>
      </c>
      <c r="N11" s="670">
        <v>140.31</v>
      </c>
      <c r="O11" s="670">
        <v>96.52</v>
      </c>
    </row>
    <row r="12" spans="1:15" ht="11.25" customHeight="1">
      <c r="A12" s="218"/>
      <c r="C12" s="223" t="s">
        <v>173</v>
      </c>
      <c r="D12" s="221">
        <v>2.54</v>
      </c>
      <c r="E12" s="221">
        <v>4.8769998550000002</v>
      </c>
      <c r="F12" s="222">
        <f t="shared" si="0"/>
        <v>-0.47918800994100091</v>
      </c>
      <c r="G12" s="159"/>
      <c r="H12" s="32"/>
      <c r="I12" s="5"/>
      <c r="L12" s="669">
        <v>9</v>
      </c>
      <c r="M12" s="670">
        <v>100.51885660000001</v>
      </c>
      <c r="N12" s="670">
        <v>268.94750210000001</v>
      </c>
      <c r="O12" s="670">
        <v>150.104332</v>
      </c>
    </row>
    <row r="13" spans="1:15" ht="11.25" customHeight="1">
      <c r="A13" s="218"/>
      <c r="C13" s="224" t="s">
        <v>161</v>
      </c>
      <c r="D13" s="219">
        <v>11.858198924731182</v>
      </c>
      <c r="E13" s="219">
        <v>13.9</v>
      </c>
      <c r="F13" s="220">
        <f t="shared" si="0"/>
        <v>-0.14689216368840419</v>
      </c>
      <c r="G13" s="159"/>
      <c r="H13" s="30"/>
      <c r="I13" s="5"/>
      <c r="L13" s="669">
        <v>10</v>
      </c>
      <c r="M13" s="670">
        <v>75.15657152448378</v>
      </c>
      <c r="N13" s="670">
        <v>243.71150207519463</v>
      </c>
      <c r="O13" s="670">
        <v>181.79733530680286</v>
      </c>
    </row>
    <row r="14" spans="1:15" ht="11.25" customHeight="1">
      <c r="A14" s="218"/>
      <c r="C14" s="223" t="s">
        <v>289</v>
      </c>
      <c r="D14" s="221">
        <v>19.420000000000002</v>
      </c>
      <c r="E14" s="221">
        <v>19.995870589999999</v>
      </c>
      <c r="F14" s="222">
        <f t="shared" si="0"/>
        <v>-2.8799475742156092E-2</v>
      </c>
      <c r="G14" s="159"/>
      <c r="H14" s="32"/>
      <c r="I14" s="5"/>
      <c r="L14" s="669">
        <v>11</v>
      </c>
      <c r="M14" s="670">
        <v>52.24</v>
      </c>
      <c r="N14" s="670">
        <v>154.21</v>
      </c>
      <c r="O14" s="670">
        <v>79.12</v>
      </c>
    </row>
    <row r="15" spans="1:15" ht="11.25" customHeight="1">
      <c r="A15" s="218"/>
      <c r="C15" s="224" t="s">
        <v>290</v>
      </c>
      <c r="D15" s="219">
        <v>41.94</v>
      </c>
      <c r="E15" s="219">
        <v>32.790000919999997</v>
      </c>
      <c r="F15" s="220">
        <f t="shared" si="0"/>
        <v>0.27904845450672228</v>
      </c>
      <c r="G15" s="159"/>
      <c r="H15" s="32"/>
      <c r="I15" s="5"/>
      <c r="K15" s="668">
        <v>12</v>
      </c>
      <c r="L15" s="669">
        <v>12</v>
      </c>
      <c r="M15" s="670">
        <v>44.628571101597331</v>
      </c>
      <c r="N15" s="670">
        <v>116.62271445138057</v>
      </c>
      <c r="O15" s="670">
        <v>41.373285293579045</v>
      </c>
    </row>
    <row r="16" spans="1:15" ht="11.25" customHeight="1">
      <c r="A16" s="218"/>
      <c r="C16" s="223" t="s">
        <v>168</v>
      </c>
      <c r="D16" s="221">
        <v>16.260000000000002</v>
      </c>
      <c r="E16" s="221">
        <v>16.275999070000001</v>
      </c>
      <c r="F16" s="222">
        <f t="shared" si="0"/>
        <v>-9.8298543340967688E-4</v>
      </c>
      <c r="G16" s="159"/>
      <c r="H16" s="32"/>
      <c r="I16" s="5"/>
      <c r="L16" s="669">
        <v>13</v>
      </c>
      <c r="M16" s="670">
        <v>42.599998474121001</v>
      </c>
      <c r="N16" s="670">
        <v>120.78800201416</v>
      </c>
      <c r="O16" s="670">
        <v>93.665000915527301</v>
      </c>
    </row>
    <row r="17" spans="1:15" ht="11.25" customHeight="1">
      <c r="A17" s="218"/>
      <c r="C17" s="224" t="s">
        <v>172</v>
      </c>
      <c r="D17" s="219">
        <v>7.66</v>
      </c>
      <c r="E17" s="219">
        <v>7.7579998970000004</v>
      </c>
      <c r="F17" s="220">
        <f t="shared" si="0"/>
        <v>-1.2632108571939598E-2</v>
      </c>
      <c r="G17" s="159"/>
      <c r="H17" s="32"/>
      <c r="I17" s="5"/>
      <c r="L17" s="669">
        <v>14</v>
      </c>
      <c r="M17" s="670">
        <v>49.743000030517535</v>
      </c>
      <c r="N17" s="670">
        <v>125.66285814557708</v>
      </c>
      <c r="O17" s="670">
        <v>131.74585723876913</v>
      </c>
    </row>
    <row r="18" spans="1:15" ht="11.25" customHeight="1">
      <c r="A18" s="218"/>
      <c r="C18" s="223" t="s">
        <v>291</v>
      </c>
      <c r="D18" s="221">
        <v>10.95</v>
      </c>
      <c r="E18" s="221">
        <v>12</v>
      </c>
      <c r="F18" s="222">
        <f t="shared" si="0"/>
        <v>-8.7500000000000064E-2</v>
      </c>
      <c r="G18" s="159"/>
      <c r="H18" s="32"/>
      <c r="I18" s="5"/>
      <c r="L18" s="669">
        <v>15</v>
      </c>
      <c r="M18" s="670">
        <v>54.414285387311615</v>
      </c>
      <c r="N18" s="670">
        <v>127.68985639299636</v>
      </c>
      <c r="O18" s="670">
        <v>71.706143515450577</v>
      </c>
    </row>
    <row r="19" spans="1:15" ht="11.25" customHeight="1">
      <c r="A19" s="218"/>
      <c r="C19" s="224" t="s">
        <v>292</v>
      </c>
      <c r="D19" s="219">
        <v>16.833704395161291</v>
      </c>
      <c r="E19" s="219">
        <v>14.673</v>
      </c>
      <c r="F19" s="220">
        <f t="shared" si="0"/>
        <v>0.14725716589390658</v>
      </c>
      <c r="G19" s="159"/>
      <c r="H19" s="32"/>
      <c r="I19" s="5"/>
      <c r="K19" s="668">
        <v>16</v>
      </c>
      <c r="L19" s="669">
        <v>16</v>
      </c>
      <c r="M19" s="670">
        <v>47.73</v>
      </c>
      <c r="N19" s="670">
        <v>97.4</v>
      </c>
      <c r="O19" s="670">
        <v>53.49</v>
      </c>
    </row>
    <row r="20" spans="1:15" ht="11.25" customHeight="1">
      <c r="A20" s="218"/>
      <c r="C20" s="223" t="s">
        <v>293</v>
      </c>
      <c r="D20" s="221">
        <v>1.41</v>
      </c>
      <c r="E20" s="221">
        <v>0.49000000999999999</v>
      </c>
      <c r="F20" s="222">
        <f t="shared" si="0"/>
        <v>1.8775509616826336</v>
      </c>
      <c r="G20" s="159"/>
      <c r="H20" s="32"/>
      <c r="I20" s="5"/>
      <c r="L20" s="669">
        <v>17</v>
      </c>
      <c r="M20" s="670">
        <v>42.142857687813873</v>
      </c>
      <c r="N20" s="670">
        <v>85.487143380301248</v>
      </c>
      <c r="O20" s="670">
        <v>51.424428122384178</v>
      </c>
    </row>
    <row r="21" spans="1:15" ht="11.25" customHeight="1">
      <c r="A21" s="218"/>
      <c r="C21" s="224" t="s">
        <v>159</v>
      </c>
      <c r="D21" s="219">
        <v>105.35</v>
      </c>
      <c r="E21" s="219">
        <v>87.097999569999999</v>
      </c>
      <c r="F21" s="220">
        <f t="shared" si="0"/>
        <v>0.20955705665008989</v>
      </c>
      <c r="G21" s="159"/>
      <c r="H21" s="32"/>
      <c r="I21" s="5"/>
      <c r="L21" s="669">
        <v>18</v>
      </c>
      <c r="M21" s="670">
        <v>27.452428545270582</v>
      </c>
      <c r="N21" s="670">
        <v>62.369998931884716</v>
      </c>
      <c r="O21" s="670">
        <v>34.353571755545424</v>
      </c>
    </row>
    <row r="22" spans="1:15" ht="11.25" customHeight="1">
      <c r="A22" s="218"/>
      <c r="C22" s="223" t="s">
        <v>157</v>
      </c>
      <c r="D22" s="221">
        <v>2.85</v>
      </c>
      <c r="E22" s="221">
        <v>0.89999997600000003</v>
      </c>
      <c r="F22" s="222">
        <f t="shared" si="0"/>
        <v>2.1666667511111131</v>
      </c>
      <c r="G22" s="159"/>
      <c r="H22" s="32"/>
      <c r="I22" s="5"/>
      <c r="L22" s="669">
        <v>19</v>
      </c>
      <c r="M22" s="670">
        <v>21.857142584664455</v>
      </c>
      <c r="N22" s="670">
        <v>58.684285300118525</v>
      </c>
      <c r="O22" s="670">
        <v>29.207143238612552</v>
      </c>
    </row>
    <row r="23" spans="1:15" ht="11.25" customHeight="1">
      <c r="A23" s="218"/>
      <c r="C23" s="224" t="s">
        <v>158</v>
      </c>
      <c r="D23" s="219">
        <v>32.24</v>
      </c>
      <c r="E23" s="219">
        <v>19.056999210000001</v>
      </c>
      <c r="F23" s="220">
        <f t="shared" si="0"/>
        <v>0.69176687498010347</v>
      </c>
      <c r="G23" s="159"/>
      <c r="H23" s="32"/>
      <c r="I23" s="5"/>
      <c r="K23" s="668">
        <v>20</v>
      </c>
      <c r="L23" s="669">
        <v>20</v>
      </c>
      <c r="M23" s="670">
        <v>19.5</v>
      </c>
      <c r="N23" s="670">
        <v>54</v>
      </c>
      <c r="O23" s="670">
        <v>22.1</v>
      </c>
    </row>
    <row r="24" spans="1:15" ht="11.25" customHeight="1">
      <c r="A24" s="218"/>
      <c r="C24" s="223" t="s">
        <v>174</v>
      </c>
      <c r="D24" s="221">
        <v>10.45</v>
      </c>
      <c r="E24" s="221">
        <v>10.51500034</v>
      </c>
      <c r="F24" s="222">
        <f t="shared" si="0"/>
        <v>-6.1816774035407199E-3</v>
      </c>
      <c r="G24" s="159"/>
      <c r="H24" s="33"/>
      <c r="I24" s="5"/>
      <c r="L24" s="669">
        <v>21</v>
      </c>
      <c r="M24" s="670">
        <v>19.485713958740185</v>
      </c>
      <c r="N24" s="670">
        <v>50.756999969482365</v>
      </c>
      <c r="O24" s="670">
        <v>17.473428726196214</v>
      </c>
    </row>
    <row r="25" spans="1:15" ht="11.25" customHeight="1">
      <c r="A25" s="225"/>
      <c r="C25" s="224" t="s">
        <v>164</v>
      </c>
      <c r="D25" s="219">
        <v>10.56</v>
      </c>
      <c r="E25" s="219">
        <v>8.8999996190000008</v>
      </c>
      <c r="F25" s="220">
        <f t="shared" si="0"/>
        <v>0.18651690472617305</v>
      </c>
      <c r="G25" s="192"/>
      <c r="H25" s="32"/>
      <c r="I25" s="5"/>
      <c r="L25" s="669">
        <v>22</v>
      </c>
      <c r="M25" s="670">
        <v>16.329999999999998</v>
      </c>
      <c r="N25" s="670">
        <v>46.59</v>
      </c>
      <c r="O25" s="670">
        <v>17.04</v>
      </c>
    </row>
    <row r="26" spans="1:15" ht="11.25" customHeight="1">
      <c r="A26" s="226"/>
      <c r="C26" s="223" t="s">
        <v>165</v>
      </c>
      <c r="D26" s="221">
        <v>8.52</v>
      </c>
      <c r="E26" s="221">
        <v>13.600999829999999</v>
      </c>
      <c r="F26" s="222">
        <f t="shared" si="0"/>
        <v>-0.37357546456200491</v>
      </c>
      <c r="G26" s="159"/>
      <c r="H26" s="30"/>
      <c r="I26" s="5"/>
      <c r="L26" s="669">
        <v>23</v>
      </c>
      <c r="M26" s="670">
        <v>15.18</v>
      </c>
      <c r="N26" s="670">
        <v>40.29</v>
      </c>
      <c r="O26" s="670">
        <v>22.12</v>
      </c>
    </row>
    <row r="27" spans="1:15" ht="11.25" customHeight="1">
      <c r="A27" s="159"/>
      <c r="C27" s="224" t="s">
        <v>166</v>
      </c>
      <c r="D27" s="219">
        <v>3.3</v>
      </c>
      <c r="E27" s="219">
        <v>0.59200000799999997</v>
      </c>
      <c r="F27" s="220">
        <f t="shared" si="0"/>
        <v>4.5743242489956186</v>
      </c>
      <c r="G27" s="159"/>
      <c r="H27" s="30"/>
      <c r="I27" s="5"/>
      <c r="K27" s="668">
        <v>24</v>
      </c>
      <c r="L27" s="669">
        <v>24</v>
      </c>
      <c r="M27" s="670">
        <v>15.1</v>
      </c>
      <c r="N27" s="670">
        <v>35.630000000000003</v>
      </c>
      <c r="O27" s="670">
        <v>13.87</v>
      </c>
    </row>
    <row r="28" spans="1:15" ht="11.25" customHeight="1">
      <c r="A28" s="159"/>
      <c r="C28" s="223" t="s">
        <v>167</v>
      </c>
      <c r="D28" s="221">
        <v>5.221774193548387</v>
      </c>
      <c r="E28" s="221">
        <v>2.3E-2</v>
      </c>
      <c r="F28" s="222">
        <f t="shared" si="0"/>
        <v>226.03366058906033</v>
      </c>
      <c r="G28" s="159"/>
      <c r="H28" s="30"/>
      <c r="I28" s="5"/>
      <c r="L28" s="669">
        <v>25</v>
      </c>
      <c r="M28" s="670">
        <v>18.016999930000001</v>
      </c>
      <c r="N28" s="670">
        <v>34.608428410000002</v>
      </c>
      <c r="O28" s="670">
        <v>10.78285721</v>
      </c>
    </row>
    <row r="29" spans="1:15" ht="11.25" customHeight="1">
      <c r="A29" s="192"/>
      <c r="C29" s="224" t="s">
        <v>169</v>
      </c>
      <c r="D29" s="219">
        <v>2.6</v>
      </c>
      <c r="E29" s="219">
        <v>4.5943999289999997</v>
      </c>
      <c r="F29" s="220">
        <f t="shared" si="0"/>
        <v>-0.43409367051642223</v>
      </c>
      <c r="G29" s="227"/>
      <c r="H29" s="30"/>
      <c r="I29" s="5"/>
      <c r="L29" s="669">
        <v>26</v>
      </c>
      <c r="M29" s="670">
        <v>16.489714209999999</v>
      </c>
      <c r="N29" s="670">
        <v>34.074285510000003</v>
      </c>
      <c r="O29" s="670">
        <v>9.5958572120000003</v>
      </c>
    </row>
    <row r="30" spans="1:15" ht="11.25" customHeight="1">
      <c r="A30" s="226"/>
      <c r="C30" s="228" t="s">
        <v>160</v>
      </c>
      <c r="D30" s="229">
        <v>5.547715053763441</v>
      </c>
      <c r="E30" s="229">
        <v>5</v>
      </c>
      <c r="F30" s="230">
        <f t="shared" si="0"/>
        <v>0.1095430107526882</v>
      </c>
      <c r="G30" s="159"/>
      <c r="H30" s="32"/>
      <c r="I30" s="5"/>
      <c r="L30" s="669">
        <v>27</v>
      </c>
      <c r="M30" s="670">
        <v>16.199999810000001</v>
      </c>
      <c r="N30" s="670">
        <v>29.599571770000001</v>
      </c>
      <c r="O30" s="670">
        <v>7.8892858370000001</v>
      </c>
    </row>
    <row r="31" spans="1:15" ht="11.25" customHeight="1">
      <c r="A31" s="158"/>
      <c r="C31" s="383" t="str">
        <f>"Cuadro N°10: Promedio de caudales en "&amp;'1. Resumen'!Q4</f>
        <v>Cuadro N°10: Promedio de caudales en agosto</v>
      </c>
      <c r="D31" s="158"/>
      <c r="E31" s="158"/>
      <c r="F31" s="158"/>
      <c r="G31" s="158"/>
      <c r="H31" s="32"/>
      <c r="I31" s="8"/>
      <c r="K31" s="668">
        <v>28</v>
      </c>
      <c r="L31" s="669">
        <v>28</v>
      </c>
      <c r="M31" s="670">
        <v>12.016285760000001</v>
      </c>
      <c r="N31" s="670">
        <v>29.3955713</v>
      </c>
      <c r="O31" s="670">
        <v>7.2334286140000001</v>
      </c>
    </row>
    <row r="32" spans="1:15" ht="11.25" customHeight="1">
      <c r="A32" s="158"/>
      <c r="B32" s="158"/>
      <c r="C32" s="158"/>
      <c r="D32" s="158"/>
      <c r="E32" s="158"/>
      <c r="F32" s="158"/>
      <c r="G32" s="158"/>
      <c r="H32" s="32"/>
      <c r="I32" s="8"/>
      <c r="L32" s="669">
        <v>29</v>
      </c>
      <c r="M32" s="670">
        <v>10.423571450000001</v>
      </c>
      <c r="N32" s="670">
        <v>32.468857079999999</v>
      </c>
      <c r="O32" s="670">
        <v>6.729428564</v>
      </c>
    </row>
    <row r="33" spans="1:15" ht="11.25" customHeight="1">
      <c r="A33" s="158"/>
      <c r="B33" s="158"/>
      <c r="C33" s="158"/>
      <c r="D33" s="158"/>
      <c r="E33" s="158"/>
      <c r="F33" s="158"/>
      <c r="G33" s="158"/>
      <c r="H33" s="32"/>
      <c r="I33" s="8"/>
      <c r="L33" s="669">
        <v>30</v>
      </c>
      <c r="M33" s="670">
        <v>10.043285640000001</v>
      </c>
      <c r="N33" s="670">
        <v>32.112285890000003</v>
      </c>
      <c r="O33" s="670">
        <v>5.6338571819999999</v>
      </c>
    </row>
    <row r="34" spans="1:15" ht="11.25" customHeight="1">
      <c r="A34" s="158"/>
      <c r="B34" s="158"/>
      <c r="C34" s="158"/>
      <c r="D34" s="158"/>
      <c r="E34" s="158"/>
      <c r="F34" s="158"/>
      <c r="G34" s="158"/>
      <c r="H34" s="32"/>
      <c r="I34" s="8"/>
      <c r="L34" s="669">
        <v>31</v>
      </c>
      <c r="M34" s="670">
        <v>10.086428642272944</v>
      </c>
      <c r="N34" s="670">
        <v>29.132714407784558</v>
      </c>
      <c r="O34" s="670">
        <v>5.181999887738904</v>
      </c>
    </row>
    <row r="35" spans="1:15" ht="11.25" customHeight="1">
      <c r="A35" s="950" t="s">
        <v>490</v>
      </c>
      <c r="B35" s="950"/>
      <c r="C35" s="950"/>
      <c r="D35" s="950"/>
      <c r="E35" s="950"/>
      <c r="F35" s="950"/>
      <c r="G35" s="950"/>
      <c r="H35" s="32"/>
      <c r="I35" s="8"/>
      <c r="K35" s="668">
        <v>32</v>
      </c>
      <c r="L35" s="669">
        <v>32</v>
      </c>
      <c r="M35" s="670">
        <v>12.08228561</v>
      </c>
      <c r="N35" s="670">
        <v>34.150143489999998</v>
      </c>
      <c r="O35" s="670">
        <v>4.8032856669999999</v>
      </c>
    </row>
    <row r="36" spans="1:15" ht="11.25" customHeight="1">
      <c r="A36" s="158"/>
      <c r="B36" s="158"/>
      <c r="C36" s="158"/>
      <c r="D36" s="158"/>
      <c r="E36" s="158"/>
      <c r="F36" s="158"/>
      <c r="G36" s="158"/>
      <c r="H36" s="32"/>
      <c r="I36" s="8"/>
      <c r="L36" s="669">
        <v>33</v>
      </c>
      <c r="M36" s="670">
        <v>11.874000004359614</v>
      </c>
      <c r="N36" s="670">
        <v>35.225571223667643</v>
      </c>
      <c r="O36" s="670">
        <v>4.3821428843906904</v>
      </c>
    </row>
    <row r="37" spans="1:15" ht="11.25" customHeight="1">
      <c r="A37" s="157"/>
      <c r="B37" s="159"/>
      <c r="C37" s="159"/>
      <c r="D37" s="159"/>
      <c r="E37" s="159"/>
      <c r="F37" s="159"/>
      <c r="G37" s="159"/>
      <c r="H37" s="33"/>
      <c r="I37" s="8"/>
      <c r="L37" s="669">
        <v>34</v>
      </c>
      <c r="M37" s="670">
        <v>10.842857090000001</v>
      </c>
      <c r="N37" s="670">
        <v>35.168570930000001</v>
      </c>
      <c r="O37" s="670">
        <v>13.837000059999999</v>
      </c>
    </row>
    <row r="38" spans="1:15" ht="11.25" customHeight="1">
      <c r="A38" s="92"/>
      <c r="B38" s="91"/>
      <c r="C38" s="91"/>
      <c r="D38" s="91"/>
      <c r="E38" s="91"/>
      <c r="F38" s="91"/>
      <c r="G38" s="91"/>
      <c r="H38" s="5"/>
      <c r="I38" s="8"/>
      <c r="L38" s="669">
        <v>35</v>
      </c>
      <c r="M38" s="670">
        <v>10.48142842</v>
      </c>
      <c r="N38" s="670">
        <v>37.824428560000001</v>
      </c>
      <c r="O38" s="670">
        <v>3.922857182</v>
      </c>
    </row>
    <row r="39" spans="1:15" ht="11.25" customHeight="1">
      <c r="A39" s="92"/>
      <c r="B39" s="91"/>
      <c r="C39" s="91"/>
      <c r="D39" s="91"/>
      <c r="E39" s="91"/>
      <c r="F39" s="91"/>
      <c r="G39" s="91"/>
      <c r="H39" s="5"/>
      <c r="I39" s="13"/>
      <c r="K39" s="668">
        <v>36</v>
      </c>
      <c r="L39" s="669">
        <v>36</v>
      </c>
      <c r="M39" s="670">
        <v>11.85</v>
      </c>
      <c r="N39" s="670">
        <v>39.78</v>
      </c>
      <c r="O39" s="670">
        <v>4.9800000000000004</v>
      </c>
    </row>
    <row r="40" spans="1:15" ht="11.25" customHeight="1">
      <c r="A40" s="92"/>
      <c r="B40" s="91"/>
      <c r="C40" s="91"/>
      <c r="D40" s="91"/>
      <c r="E40" s="91"/>
      <c r="F40" s="91"/>
      <c r="G40" s="91"/>
      <c r="H40" s="5"/>
      <c r="I40" s="13"/>
      <c r="L40" s="669">
        <v>37</v>
      </c>
      <c r="M40" s="670">
        <v>12.08</v>
      </c>
      <c r="N40" s="670">
        <v>44.25</v>
      </c>
      <c r="O40" s="670">
        <v>4.92</v>
      </c>
    </row>
    <row r="41" spans="1:15" ht="11.25" customHeight="1">
      <c r="A41" s="92"/>
      <c r="B41" s="91"/>
      <c r="C41" s="91"/>
      <c r="D41" s="91"/>
      <c r="E41" s="91"/>
      <c r="F41" s="91"/>
      <c r="G41" s="91"/>
      <c r="H41" s="5"/>
      <c r="I41" s="9"/>
      <c r="L41" s="669">
        <v>38</v>
      </c>
      <c r="M41" s="670">
        <v>11.88371427</v>
      </c>
      <c r="N41" s="670">
        <v>41.311858039999997</v>
      </c>
      <c r="O41" s="670">
        <v>4.6447142870000002</v>
      </c>
    </row>
    <row r="42" spans="1:15" ht="11.25" customHeight="1">
      <c r="A42" s="92"/>
      <c r="B42" s="91"/>
      <c r="C42" s="91"/>
      <c r="D42" s="91"/>
      <c r="E42" s="91"/>
      <c r="F42" s="91"/>
      <c r="G42" s="91"/>
      <c r="H42" s="5"/>
      <c r="I42" s="9"/>
      <c r="K42" s="668">
        <v>39</v>
      </c>
      <c r="L42" s="669">
        <v>39</v>
      </c>
      <c r="M42" s="670">
        <v>13.06</v>
      </c>
      <c r="N42" s="670">
        <v>41.13</v>
      </c>
      <c r="O42" s="670">
        <v>4.2699999999999996</v>
      </c>
    </row>
    <row r="43" spans="1:15" ht="11.25" customHeight="1">
      <c r="A43" s="92"/>
      <c r="B43" s="91"/>
      <c r="C43" s="91"/>
      <c r="D43" s="91"/>
      <c r="E43" s="91"/>
      <c r="F43" s="91"/>
      <c r="G43" s="91"/>
      <c r="H43" s="5"/>
      <c r="I43" s="9"/>
      <c r="L43" s="669">
        <v>40</v>
      </c>
      <c r="M43" s="670">
        <v>15.945571764285715</v>
      </c>
      <c r="N43" s="670">
        <v>46.466000694285704</v>
      </c>
      <c r="O43" s="670">
        <v>5.3634285927142864</v>
      </c>
    </row>
    <row r="44" spans="1:15" ht="11.25" customHeight="1">
      <c r="A44" s="92"/>
      <c r="B44" s="91"/>
      <c r="C44" s="91"/>
      <c r="D44" s="91"/>
      <c r="E44" s="91"/>
      <c r="F44" s="91"/>
      <c r="G44" s="91"/>
      <c r="H44" s="8"/>
      <c r="I44" s="13"/>
      <c r="L44" s="669">
        <v>41</v>
      </c>
      <c r="M44" s="670">
        <v>15.848856789725129</v>
      </c>
      <c r="N44" s="670">
        <v>37.273714882986837</v>
      </c>
      <c r="O44" s="670">
        <v>6.9682856968470812</v>
      </c>
    </row>
    <row r="45" spans="1:15" ht="11.25" customHeight="1">
      <c r="A45" s="92"/>
      <c r="B45" s="91"/>
      <c r="C45" s="91"/>
      <c r="D45" s="91"/>
      <c r="E45" s="91"/>
      <c r="F45" s="91"/>
      <c r="G45" s="91"/>
      <c r="H45" s="5"/>
      <c r="I45" s="13"/>
      <c r="L45" s="669">
        <v>42</v>
      </c>
      <c r="M45" s="670">
        <v>15.549142972857144</v>
      </c>
      <c r="N45" s="670">
        <v>48.572000228571433</v>
      </c>
      <c r="O45" s="670">
        <v>11.100428648285714</v>
      </c>
    </row>
    <row r="46" spans="1:15" ht="11.25" customHeight="1">
      <c r="A46" s="92"/>
      <c r="B46" s="91"/>
      <c r="C46" s="91"/>
      <c r="D46" s="91"/>
      <c r="E46" s="91"/>
      <c r="F46" s="91"/>
      <c r="G46" s="91"/>
      <c r="H46" s="5"/>
      <c r="I46" s="13"/>
      <c r="K46" s="668">
        <v>43</v>
      </c>
      <c r="L46" s="669">
        <v>43</v>
      </c>
      <c r="M46" s="670">
        <v>13.17</v>
      </c>
      <c r="N46" s="670">
        <v>35.32</v>
      </c>
      <c r="O46" s="670">
        <v>6.01</v>
      </c>
    </row>
    <row r="47" spans="1:15" ht="11.25" customHeight="1">
      <c r="A47" s="92"/>
      <c r="B47" s="91"/>
      <c r="C47" s="91"/>
      <c r="D47" s="91"/>
      <c r="E47" s="91"/>
      <c r="F47" s="91"/>
      <c r="G47" s="91"/>
      <c r="H47" s="15"/>
      <c r="I47" s="15"/>
      <c r="L47" s="669">
        <v>44</v>
      </c>
      <c r="M47" s="670">
        <v>13.18</v>
      </c>
      <c r="N47" s="670">
        <v>36.83</v>
      </c>
      <c r="O47" s="670">
        <v>4.57</v>
      </c>
    </row>
    <row r="48" spans="1:15" ht="11.25" customHeight="1">
      <c r="A48" s="92"/>
      <c r="B48" s="91"/>
      <c r="C48" s="91"/>
      <c r="D48" s="91"/>
      <c r="E48" s="91"/>
      <c r="F48" s="91"/>
      <c r="G48" s="91"/>
      <c r="H48" s="14"/>
      <c r="I48" s="14"/>
      <c r="L48" s="669">
        <v>45</v>
      </c>
      <c r="M48" s="670">
        <v>13.49</v>
      </c>
      <c r="N48" s="670">
        <v>39.520000000000003</v>
      </c>
      <c r="O48" s="670">
        <v>4.83</v>
      </c>
    </row>
    <row r="49" spans="1:15" ht="11.25" customHeight="1">
      <c r="A49" s="92"/>
      <c r="B49" s="91"/>
      <c r="C49" s="91"/>
      <c r="D49" s="91"/>
      <c r="E49" s="91"/>
      <c r="F49" s="91"/>
      <c r="G49" s="91"/>
      <c r="H49" s="14"/>
      <c r="I49" s="14"/>
      <c r="L49" s="669">
        <v>46</v>
      </c>
      <c r="M49" s="670">
        <v>15.4</v>
      </c>
      <c r="N49" s="670">
        <v>53.38</v>
      </c>
      <c r="O49" s="670">
        <v>3.73</v>
      </c>
    </row>
    <row r="50" spans="1:15" ht="11.25" customHeight="1">
      <c r="A50" s="92"/>
      <c r="B50" s="91"/>
      <c r="C50" s="91"/>
      <c r="D50" s="91"/>
      <c r="E50" s="91"/>
      <c r="F50" s="91"/>
      <c r="G50" s="91"/>
      <c r="H50" s="14"/>
      <c r="I50" s="14"/>
      <c r="L50" s="669">
        <v>47</v>
      </c>
      <c r="M50" s="670">
        <v>16.408999999999999</v>
      </c>
      <c r="N50" s="670">
        <v>61.853000000000002</v>
      </c>
      <c r="O50" s="670">
        <v>2.5211429999999999</v>
      </c>
    </row>
    <row r="51" spans="1:15" ht="11.25" customHeight="1">
      <c r="A51" s="92"/>
      <c r="B51" s="91"/>
      <c r="C51" s="91"/>
      <c r="D51" s="91"/>
      <c r="E51" s="91"/>
      <c r="F51" s="91"/>
      <c r="G51" s="91"/>
      <c r="H51" s="14"/>
      <c r="I51" s="14"/>
      <c r="K51" s="668">
        <v>48</v>
      </c>
      <c r="L51" s="669">
        <v>48</v>
      </c>
      <c r="M51" s="670">
        <v>16.328857422857144</v>
      </c>
      <c r="N51" s="670">
        <v>65.330427987142869</v>
      </c>
      <c r="O51" s="670">
        <v>3.571428503285714</v>
      </c>
    </row>
    <row r="52" spans="1:15" ht="11.25" customHeight="1">
      <c r="A52" s="92"/>
      <c r="B52" s="91"/>
      <c r="C52" s="91"/>
      <c r="D52" s="91"/>
      <c r="E52" s="91"/>
      <c r="F52" s="91"/>
      <c r="G52" s="91"/>
      <c r="H52" s="14"/>
      <c r="I52" s="14"/>
      <c r="L52" s="669">
        <v>49</v>
      </c>
      <c r="M52" s="670">
        <v>20.236285890000001</v>
      </c>
      <c r="N52" s="670">
        <v>66.680000000000007</v>
      </c>
      <c r="O52" s="670">
        <v>6.1</v>
      </c>
    </row>
    <row r="53" spans="1:15" ht="11.25" customHeight="1">
      <c r="A53" s="92"/>
      <c r="B53" s="91"/>
      <c r="C53" s="91"/>
      <c r="D53" s="91"/>
      <c r="E53" s="91"/>
      <c r="F53" s="91"/>
      <c r="G53" s="91"/>
      <c r="H53" s="14"/>
      <c r="I53" s="14"/>
      <c r="L53" s="669">
        <v>50</v>
      </c>
      <c r="M53" s="670">
        <v>19.809999999999999</v>
      </c>
      <c r="N53" s="670">
        <v>61.31</v>
      </c>
      <c r="O53" s="670">
        <v>6.69</v>
      </c>
    </row>
    <row r="54" spans="1:15" ht="11.25" customHeight="1">
      <c r="A54" s="92"/>
      <c r="B54" s="91"/>
      <c r="C54" s="91"/>
      <c r="D54" s="91"/>
      <c r="E54" s="91"/>
      <c r="F54" s="91"/>
      <c r="G54" s="91"/>
      <c r="H54" s="14"/>
      <c r="I54" s="14"/>
      <c r="L54" s="669">
        <v>51</v>
      </c>
      <c r="M54" s="670">
        <v>21.91</v>
      </c>
      <c r="N54" s="670">
        <v>70.790000000000006</v>
      </c>
      <c r="O54" s="670">
        <v>13.15</v>
      </c>
    </row>
    <row r="55" spans="1:15" ht="12.75">
      <c r="A55" s="92"/>
      <c r="B55" s="91"/>
      <c r="C55" s="91"/>
      <c r="D55" s="91"/>
      <c r="E55" s="91"/>
      <c r="F55" s="91"/>
      <c r="G55" s="91"/>
      <c r="H55" s="14"/>
      <c r="I55" s="14"/>
      <c r="K55" s="668">
        <v>52</v>
      </c>
      <c r="L55" s="669">
        <v>52</v>
      </c>
      <c r="M55" s="670">
        <v>22</v>
      </c>
      <c r="N55" s="670">
        <v>77.434859137142865</v>
      </c>
      <c r="O55" s="670">
        <v>17.75700037857143</v>
      </c>
    </row>
    <row r="56" spans="1:15" ht="12.75">
      <c r="A56" s="92"/>
      <c r="B56" s="91"/>
      <c r="C56" s="91"/>
      <c r="D56" s="91"/>
      <c r="E56" s="91"/>
      <c r="F56" s="91"/>
      <c r="G56" s="91"/>
      <c r="H56" s="14"/>
      <c r="I56" s="14"/>
      <c r="J56" s="436">
        <v>2017</v>
      </c>
      <c r="K56" s="668">
        <v>1</v>
      </c>
      <c r="L56" s="669">
        <v>1</v>
      </c>
      <c r="M56" s="670">
        <v>41.55</v>
      </c>
      <c r="N56" s="670">
        <v>103.58</v>
      </c>
      <c r="O56" s="670">
        <v>29.67</v>
      </c>
    </row>
    <row r="57" spans="1:15" ht="12.75">
      <c r="A57" s="92"/>
      <c r="B57" s="91"/>
      <c r="C57" s="91"/>
      <c r="D57" s="91"/>
      <c r="E57" s="91"/>
      <c r="F57" s="91"/>
      <c r="G57" s="91"/>
      <c r="H57" s="14"/>
      <c r="I57" s="14"/>
      <c r="L57" s="669">
        <v>2</v>
      </c>
      <c r="M57" s="670">
        <v>39.6</v>
      </c>
      <c r="N57" s="670">
        <v>105.01</v>
      </c>
      <c r="O57" s="670">
        <v>51.2</v>
      </c>
    </row>
    <row r="58" spans="1:15" ht="12.75">
      <c r="A58" s="92"/>
      <c r="B58" s="91"/>
      <c r="C58" s="91"/>
      <c r="D58" s="91"/>
      <c r="E58" s="91"/>
      <c r="F58" s="91"/>
      <c r="G58" s="91"/>
      <c r="H58" s="14"/>
      <c r="I58" s="14"/>
      <c r="L58" s="669">
        <v>3</v>
      </c>
      <c r="M58" s="670">
        <v>73.650000000000006</v>
      </c>
      <c r="N58" s="670">
        <v>137.41</v>
      </c>
      <c r="O58" s="670">
        <v>43.26</v>
      </c>
    </row>
    <row r="59" spans="1:15" ht="12.75">
      <c r="A59" s="92"/>
      <c r="B59" s="91"/>
      <c r="C59" s="91"/>
      <c r="D59" s="91"/>
      <c r="E59" s="91"/>
      <c r="F59" s="91"/>
      <c r="G59" s="91"/>
      <c r="H59" s="14"/>
      <c r="I59" s="14"/>
      <c r="K59" s="668">
        <v>4</v>
      </c>
      <c r="L59" s="669">
        <v>4</v>
      </c>
      <c r="M59" s="670">
        <v>65.03</v>
      </c>
      <c r="N59" s="670">
        <v>127.83</v>
      </c>
      <c r="O59" s="670">
        <v>32.72</v>
      </c>
    </row>
    <row r="60" spans="1:15" ht="12.75">
      <c r="A60" s="92"/>
      <c r="B60" s="91"/>
      <c r="C60" s="91"/>
      <c r="D60" s="91"/>
      <c r="E60" s="91"/>
      <c r="F60" s="91"/>
      <c r="G60" s="91"/>
      <c r="H60" s="14"/>
      <c r="I60" s="14"/>
      <c r="L60" s="669">
        <v>5</v>
      </c>
      <c r="M60" s="670">
        <v>56.95</v>
      </c>
      <c r="N60" s="670">
        <v>97.31</v>
      </c>
      <c r="O60" s="670">
        <v>48.46</v>
      </c>
    </row>
    <row r="61" spans="1:15" ht="12.75">
      <c r="A61" s="383" t="s">
        <v>573</v>
      </c>
      <c r="B61" s="91"/>
      <c r="C61" s="91"/>
      <c r="D61" s="91"/>
      <c r="E61" s="91"/>
      <c r="F61" s="91"/>
      <c r="G61" s="91"/>
      <c r="H61" s="14"/>
      <c r="I61" s="14"/>
      <c r="L61" s="669">
        <v>6</v>
      </c>
      <c r="M61" s="670">
        <v>61.87</v>
      </c>
      <c r="N61" s="670">
        <v>123.44</v>
      </c>
      <c r="O61" s="670">
        <v>72.52</v>
      </c>
    </row>
    <row r="62" spans="1:15">
      <c r="L62" s="669">
        <v>7</v>
      </c>
      <c r="M62" s="670">
        <v>77.569999999999993</v>
      </c>
      <c r="N62" s="670">
        <v>145.02000000000001</v>
      </c>
      <c r="O62" s="670">
        <v>59.16</v>
      </c>
    </row>
    <row r="63" spans="1:15">
      <c r="K63" s="668">
        <v>8</v>
      </c>
      <c r="L63" s="669">
        <v>8</v>
      </c>
      <c r="M63" s="670">
        <v>86.94</v>
      </c>
      <c r="N63" s="670">
        <v>175.03</v>
      </c>
      <c r="O63" s="670">
        <v>24.36</v>
      </c>
    </row>
    <row r="64" spans="1:15">
      <c r="L64" s="669">
        <v>9</v>
      </c>
      <c r="M64" s="670">
        <v>85.13</v>
      </c>
      <c r="N64" s="670">
        <v>206.14</v>
      </c>
      <c r="O64" s="670">
        <v>39.07</v>
      </c>
    </row>
    <row r="65" spans="11:15">
      <c r="L65" s="669">
        <v>10</v>
      </c>
      <c r="M65" s="670">
        <v>84.78</v>
      </c>
      <c r="N65" s="670">
        <v>270.17</v>
      </c>
      <c r="O65" s="670">
        <v>109.16</v>
      </c>
    </row>
    <row r="66" spans="11:15">
      <c r="L66" s="669">
        <v>11</v>
      </c>
      <c r="M66" s="670">
        <v>84.78</v>
      </c>
      <c r="N66" s="670">
        <v>376.42</v>
      </c>
      <c r="O66" s="670">
        <v>188.18</v>
      </c>
    </row>
    <row r="67" spans="11:15">
      <c r="K67" s="668">
        <v>12</v>
      </c>
      <c r="L67" s="669">
        <v>12</v>
      </c>
      <c r="M67" s="670">
        <v>106.16</v>
      </c>
      <c r="N67" s="670">
        <v>351.57</v>
      </c>
      <c r="O67" s="670">
        <v>159.6</v>
      </c>
    </row>
    <row r="68" spans="11:15">
      <c r="L68" s="669">
        <v>13</v>
      </c>
      <c r="M68" s="670">
        <v>101.71</v>
      </c>
      <c r="N68" s="670">
        <v>384.37</v>
      </c>
      <c r="O68" s="670">
        <v>161.77000000000001</v>
      </c>
    </row>
    <row r="69" spans="11:15">
      <c r="L69" s="669">
        <v>14</v>
      </c>
      <c r="M69" s="670">
        <v>83.1</v>
      </c>
      <c r="N69" s="670">
        <v>337.84</v>
      </c>
      <c r="O69" s="670">
        <v>115.43</v>
      </c>
    </row>
    <row r="70" spans="11:15">
      <c r="L70" s="669">
        <v>15</v>
      </c>
      <c r="M70" s="670">
        <v>61.23</v>
      </c>
      <c r="N70" s="670">
        <v>282.32</v>
      </c>
      <c r="O70" s="670">
        <v>98.92</v>
      </c>
    </row>
    <row r="71" spans="11:15">
      <c r="K71" s="668">
        <v>16</v>
      </c>
      <c r="L71" s="669">
        <v>16</v>
      </c>
      <c r="M71" s="670">
        <v>49.8</v>
      </c>
      <c r="N71" s="670">
        <v>191.65</v>
      </c>
      <c r="O71" s="670">
        <v>82.48</v>
      </c>
    </row>
    <row r="72" spans="11:15">
      <c r="L72" s="669">
        <v>17</v>
      </c>
      <c r="M72" s="670">
        <v>40.21</v>
      </c>
      <c r="N72" s="670">
        <v>160.35</v>
      </c>
      <c r="O72" s="670">
        <v>77.02</v>
      </c>
    </row>
    <row r="73" spans="11:15">
      <c r="L73" s="669">
        <v>18</v>
      </c>
      <c r="M73" s="670">
        <v>43.46</v>
      </c>
      <c r="N73" s="670">
        <v>136.65</v>
      </c>
      <c r="O73" s="670">
        <v>62.63</v>
      </c>
    </row>
    <row r="74" spans="11:15">
      <c r="L74" s="669">
        <v>19</v>
      </c>
      <c r="M74" s="670">
        <v>35.65</v>
      </c>
      <c r="N74" s="670">
        <v>135.97</v>
      </c>
      <c r="O74" s="670">
        <v>93.03</v>
      </c>
    </row>
    <row r="75" spans="11:15">
      <c r="K75" s="668">
        <v>20</v>
      </c>
      <c r="L75" s="669">
        <v>20</v>
      </c>
      <c r="M75" s="670">
        <v>26.22</v>
      </c>
      <c r="N75" s="670">
        <v>135.66</v>
      </c>
      <c r="O75" s="670">
        <v>72.349999999999994</v>
      </c>
    </row>
    <row r="76" spans="11:15">
      <c r="L76" s="669">
        <v>21</v>
      </c>
      <c r="M76" s="670">
        <v>27.95</v>
      </c>
      <c r="N76" s="670">
        <v>113.82</v>
      </c>
      <c r="O76" s="670">
        <v>90.75</v>
      </c>
    </row>
    <row r="77" spans="11:15">
      <c r="L77" s="669">
        <v>22</v>
      </c>
      <c r="M77" s="670">
        <v>32.409999999999997</v>
      </c>
      <c r="N77" s="670">
        <v>64.03</v>
      </c>
      <c r="O77" s="670">
        <v>53.02</v>
      </c>
    </row>
    <row r="78" spans="11:15">
      <c r="L78" s="669">
        <v>23</v>
      </c>
      <c r="M78" s="670">
        <v>28.93</v>
      </c>
      <c r="N78" s="670">
        <v>53.15</v>
      </c>
      <c r="O78" s="670">
        <v>32.43</v>
      </c>
    </row>
    <row r="79" spans="11:15">
      <c r="K79" s="668">
        <v>24</v>
      </c>
      <c r="L79" s="669">
        <v>24</v>
      </c>
      <c r="M79" s="670">
        <v>26.59</v>
      </c>
      <c r="N79" s="670">
        <v>45.98</v>
      </c>
      <c r="O79" s="670">
        <v>27.75</v>
      </c>
    </row>
    <row r="80" spans="11:15">
      <c r="L80" s="669">
        <v>25</v>
      </c>
      <c r="M80" s="670">
        <v>23.61</v>
      </c>
      <c r="N80" s="670">
        <v>38.68</v>
      </c>
      <c r="O80" s="670">
        <v>24.81</v>
      </c>
    </row>
    <row r="81" spans="11:15">
      <c r="L81" s="669">
        <v>26</v>
      </c>
      <c r="M81" s="670">
        <v>24.94</v>
      </c>
      <c r="N81" s="670">
        <v>34.68</v>
      </c>
      <c r="O81" s="670">
        <v>21.81</v>
      </c>
    </row>
    <row r="82" spans="11:15">
      <c r="L82" s="669">
        <v>27</v>
      </c>
      <c r="M82" s="670">
        <v>25.54</v>
      </c>
      <c r="N82" s="670">
        <v>31.72</v>
      </c>
      <c r="O82" s="670">
        <v>18.649999999999999</v>
      </c>
    </row>
    <row r="83" spans="11:15">
      <c r="K83" s="668">
        <v>28</v>
      </c>
      <c r="L83" s="669">
        <v>28</v>
      </c>
      <c r="M83" s="670">
        <v>23.56</v>
      </c>
      <c r="N83" s="670">
        <v>29.25</v>
      </c>
      <c r="O83" s="670">
        <v>14.27</v>
      </c>
    </row>
    <row r="84" spans="11:15">
      <c r="L84" s="669">
        <v>29</v>
      </c>
      <c r="M84" s="670">
        <v>22.4</v>
      </c>
      <c r="N84" s="670">
        <v>29.53</v>
      </c>
      <c r="O84" s="670">
        <v>11.51</v>
      </c>
    </row>
    <row r="85" spans="11:15">
      <c r="L85" s="669">
        <v>30</v>
      </c>
      <c r="M85" s="670">
        <v>21.29</v>
      </c>
      <c r="N85" s="670">
        <v>27.62</v>
      </c>
      <c r="O85" s="670">
        <v>9.7200000000000006</v>
      </c>
    </row>
    <row r="86" spans="11:15">
      <c r="L86" s="669">
        <v>31</v>
      </c>
      <c r="M86" s="670">
        <v>19.34</v>
      </c>
      <c r="N86" s="670">
        <v>27.99</v>
      </c>
      <c r="O86" s="670">
        <v>8.09</v>
      </c>
    </row>
    <row r="87" spans="11:15">
      <c r="K87" s="668">
        <v>32</v>
      </c>
      <c r="L87" s="669">
        <v>32</v>
      </c>
      <c r="M87" s="670">
        <v>19.649999999999999</v>
      </c>
      <c r="N87" s="670">
        <v>31.42</v>
      </c>
      <c r="O87" s="670">
        <v>7.62</v>
      </c>
    </row>
    <row r="88" spans="11:15">
      <c r="L88" s="669">
        <v>33</v>
      </c>
      <c r="M88" s="670">
        <v>18.420000000000002</v>
      </c>
      <c r="N88" s="670">
        <v>29.71</v>
      </c>
      <c r="O88" s="670">
        <v>9.5500000000000007</v>
      </c>
    </row>
    <row r="89" spans="11:15">
      <c r="L89" s="669">
        <v>34</v>
      </c>
      <c r="M89" s="670">
        <v>17.170000000000002</v>
      </c>
      <c r="N89" s="670">
        <v>30.51</v>
      </c>
      <c r="O89" s="670">
        <v>10.75</v>
      </c>
    </row>
    <row r="90" spans="11:15">
      <c r="L90" s="669">
        <v>35</v>
      </c>
      <c r="M90" s="670">
        <v>17.47</v>
      </c>
      <c r="N90" s="670">
        <v>27.5</v>
      </c>
      <c r="O90" s="670">
        <v>8.31</v>
      </c>
    </row>
    <row r="91" spans="11:15">
      <c r="K91" s="668">
        <v>36</v>
      </c>
      <c r="L91" s="669">
        <v>36</v>
      </c>
      <c r="M91" s="670">
        <v>13.42</v>
      </c>
      <c r="N91" s="670">
        <v>26.21</v>
      </c>
      <c r="O91" s="670">
        <v>6.53</v>
      </c>
    </row>
    <row r="92" spans="11:15">
      <c r="L92" s="669">
        <v>37</v>
      </c>
      <c r="M92" s="670">
        <v>11.2</v>
      </c>
      <c r="N92" s="670">
        <v>29.98</v>
      </c>
      <c r="O92" s="670">
        <v>9.7799999999999994</v>
      </c>
    </row>
    <row r="93" spans="11:15">
      <c r="L93" s="669">
        <v>38</v>
      </c>
      <c r="M93" s="670">
        <v>11</v>
      </c>
      <c r="N93" s="670">
        <v>34.369999999999997</v>
      </c>
      <c r="O93" s="670">
        <v>7.47</v>
      </c>
    </row>
    <row r="94" spans="11:15">
      <c r="K94" s="668">
        <v>39</v>
      </c>
      <c r="L94" s="669">
        <v>39</v>
      </c>
      <c r="M94" s="670">
        <v>11.14</v>
      </c>
      <c r="N94" s="670">
        <v>42.17</v>
      </c>
      <c r="O94" s="670">
        <v>7.49</v>
      </c>
    </row>
    <row r="95" spans="11:15">
      <c r="L95" s="669">
        <v>40</v>
      </c>
      <c r="M95" s="670">
        <v>12.8</v>
      </c>
      <c r="N95" s="670">
        <v>37.270000000000003</v>
      </c>
      <c r="O95" s="670">
        <v>15.47</v>
      </c>
    </row>
    <row r="96" spans="11:15">
      <c r="L96" s="669">
        <v>41</v>
      </c>
      <c r="M96" s="670">
        <v>14.41</v>
      </c>
      <c r="N96" s="670">
        <v>40.04</v>
      </c>
      <c r="O96" s="670">
        <v>18</v>
      </c>
    </row>
    <row r="97" spans="10:15">
      <c r="L97" s="669">
        <v>42</v>
      </c>
      <c r="M97" s="670">
        <v>15.87</v>
      </c>
      <c r="N97" s="670">
        <v>35.79</v>
      </c>
      <c r="O97" s="670">
        <v>12.74</v>
      </c>
    </row>
    <row r="98" spans="10:15">
      <c r="K98" s="668">
        <v>43</v>
      </c>
      <c r="L98" s="669">
        <v>43</v>
      </c>
      <c r="M98" s="670">
        <v>19.61</v>
      </c>
      <c r="N98" s="670">
        <v>50.36</v>
      </c>
      <c r="O98" s="670">
        <v>30.75</v>
      </c>
    </row>
    <row r="99" spans="10:15">
      <c r="L99" s="669">
        <v>44</v>
      </c>
      <c r="M99" s="670">
        <v>21.85</v>
      </c>
      <c r="N99" s="670">
        <v>54.94</v>
      </c>
      <c r="O99" s="670">
        <v>23.58</v>
      </c>
    </row>
    <row r="100" spans="10:15">
      <c r="L100" s="669">
        <v>45</v>
      </c>
      <c r="M100" s="670">
        <v>16.79</v>
      </c>
      <c r="N100" s="670">
        <v>41.16</v>
      </c>
      <c r="O100" s="670">
        <v>11.77</v>
      </c>
    </row>
    <row r="101" spans="10:15">
      <c r="L101" s="669">
        <v>46</v>
      </c>
      <c r="M101" s="670">
        <v>16.010000000000002</v>
      </c>
      <c r="N101" s="670">
        <v>42.65</v>
      </c>
      <c r="O101" s="670">
        <v>9.33</v>
      </c>
    </row>
    <row r="102" spans="10:15">
      <c r="L102" s="669">
        <v>47</v>
      </c>
      <c r="M102" s="670">
        <v>14.72</v>
      </c>
      <c r="N102" s="670">
        <v>39.76</v>
      </c>
      <c r="O102" s="670">
        <v>8.19</v>
      </c>
    </row>
    <row r="103" spans="10:15">
      <c r="K103" s="668">
        <v>48</v>
      </c>
      <c r="L103" s="669">
        <v>48</v>
      </c>
      <c r="M103" s="670">
        <v>18.932000297142856</v>
      </c>
      <c r="N103" s="670">
        <v>47.388000487142854</v>
      </c>
      <c r="O103" s="670">
        <v>19.661285946</v>
      </c>
    </row>
    <row r="104" spans="10:15">
      <c r="L104" s="669">
        <v>49</v>
      </c>
      <c r="M104" s="670">
        <v>28.48371397</v>
      </c>
      <c r="N104" s="670">
        <v>78.087428497142852</v>
      </c>
      <c r="O104" s="670">
        <v>19.181428364285715</v>
      </c>
    </row>
    <row r="105" spans="10:15">
      <c r="L105" s="669">
        <v>50</v>
      </c>
      <c r="M105" s="670">
        <v>32.583286012857144</v>
      </c>
      <c r="N105" s="670">
        <v>69.764142717142846</v>
      </c>
      <c r="O105" s="670">
        <v>23.7245715</v>
      </c>
    </row>
    <row r="106" spans="10:15">
      <c r="L106" s="669">
        <v>51</v>
      </c>
      <c r="M106" s="670">
        <v>34.501856668571428</v>
      </c>
      <c r="N106" s="670">
        <v>71.14499991142857</v>
      </c>
      <c r="O106" s="670">
        <v>26.158142907142857</v>
      </c>
    </row>
    <row r="107" spans="10:15">
      <c r="K107" s="668">
        <v>52</v>
      </c>
      <c r="L107" s="669">
        <v>52</v>
      </c>
      <c r="M107" s="670">
        <v>27.781857355714287</v>
      </c>
      <c r="N107" s="670">
        <v>83.196000228571435</v>
      </c>
      <c r="O107" s="670">
        <v>21.776999882857144</v>
      </c>
    </row>
    <row r="108" spans="10:15">
      <c r="J108" s="436">
        <v>2018</v>
      </c>
      <c r="K108" s="668">
        <v>1</v>
      </c>
      <c r="L108" s="669">
        <v>1</v>
      </c>
      <c r="M108" s="670">
        <v>29.44</v>
      </c>
      <c r="N108" s="670">
        <v>69.087142857142865</v>
      </c>
      <c r="O108" s="670">
        <v>15.747142857142856</v>
      </c>
    </row>
    <row r="109" spans="10:15">
      <c r="L109" s="669">
        <v>2</v>
      </c>
      <c r="M109" s="670">
        <v>42.880857194285717</v>
      </c>
      <c r="N109" s="670">
        <v>96.785858138571413</v>
      </c>
      <c r="O109" s="670">
        <v>37.6</v>
      </c>
    </row>
    <row r="110" spans="10:15">
      <c r="L110" s="669">
        <v>3</v>
      </c>
      <c r="M110" s="670">
        <v>74.002572194285705</v>
      </c>
      <c r="N110" s="670">
        <v>158.17728531428571</v>
      </c>
      <c r="O110" s="670">
        <v>101.26128550142856</v>
      </c>
    </row>
    <row r="111" spans="10:15">
      <c r="K111" s="668">
        <v>4</v>
      </c>
      <c r="L111" s="669">
        <v>4</v>
      </c>
      <c r="M111" s="670">
        <v>77.812570845714291</v>
      </c>
      <c r="N111" s="670">
        <v>167.02357267142858</v>
      </c>
      <c r="O111" s="670">
        <v>77.354000085714276</v>
      </c>
    </row>
    <row r="112" spans="10:15">
      <c r="L112" s="669">
        <v>5</v>
      </c>
      <c r="M112" s="670">
        <v>61.531714848571433</v>
      </c>
      <c r="N112" s="670">
        <v>113.19585745142855</v>
      </c>
      <c r="O112" s="670">
        <v>30.667142595714285</v>
      </c>
    </row>
    <row r="113" spans="11:15">
      <c r="L113" s="669">
        <v>6</v>
      </c>
      <c r="M113" s="670">
        <v>54.024142672857138</v>
      </c>
      <c r="N113" s="670">
        <v>88.535714287142852</v>
      </c>
      <c r="O113" s="670">
        <v>32.444142750000005</v>
      </c>
    </row>
    <row r="114" spans="11:15">
      <c r="L114" s="669">
        <v>7</v>
      </c>
      <c r="M114" s="670">
        <v>59.271427155714285</v>
      </c>
      <c r="N114" s="670">
        <v>99.37822619047617</v>
      </c>
      <c r="O114" s="670">
        <v>30.338148809523812</v>
      </c>
    </row>
    <row r="115" spans="11:15">
      <c r="K115" s="668">
        <v>8</v>
      </c>
      <c r="L115" s="669">
        <v>8</v>
      </c>
      <c r="M115" s="670">
        <v>78.025571005714284</v>
      </c>
      <c r="N115" s="670">
        <v>140.28</v>
      </c>
      <c r="O115" s="670">
        <v>62.97</v>
      </c>
    </row>
    <row r="116" spans="11:15">
      <c r="L116" s="669">
        <v>9</v>
      </c>
      <c r="M116" s="670">
        <v>61.11871501571428</v>
      </c>
      <c r="N116" s="670">
        <v>102.99642836285715</v>
      </c>
      <c r="O116" s="670">
        <v>31.244571685714288</v>
      </c>
    </row>
    <row r="117" spans="11:15">
      <c r="L117" s="669">
        <v>10</v>
      </c>
      <c r="M117" s="670">
        <v>84.500714981428573</v>
      </c>
      <c r="N117" s="670">
        <v>175.90485927142853</v>
      </c>
      <c r="O117" s="670">
        <v>36.038285662857142</v>
      </c>
    </row>
    <row r="118" spans="11:15">
      <c r="L118" s="669">
        <v>11</v>
      </c>
      <c r="M118" s="670">
        <v>83.643855504285725</v>
      </c>
      <c r="N118" s="670">
        <v>169.64671761428571</v>
      </c>
      <c r="O118" s="670">
        <v>25.076428275714282</v>
      </c>
    </row>
    <row r="119" spans="11:15">
      <c r="K119" s="668">
        <v>12</v>
      </c>
      <c r="L119" s="669">
        <v>12</v>
      </c>
      <c r="M119" s="670">
        <v>98.99</v>
      </c>
      <c r="N119" s="670">
        <v>198.22</v>
      </c>
      <c r="O119" s="670">
        <v>24.63</v>
      </c>
    </row>
    <row r="120" spans="11:15">
      <c r="L120" s="669">
        <v>13</v>
      </c>
      <c r="M120" s="670">
        <v>106.64928652857144</v>
      </c>
      <c r="N120" s="670">
        <v>312.6314304857143</v>
      </c>
      <c r="O120" s="670">
        <v>38.701428550000003</v>
      </c>
    </row>
    <row r="121" spans="11:15">
      <c r="L121" s="669">
        <v>14</v>
      </c>
      <c r="M121" s="670">
        <v>86.488428389999996</v>
      </c>
      <c r="N121" s="670">
        <v>235.31328691428573</v>
      </c>
      <c r="O121" s="670">
        <v>94.596427907142839</v>
      </c>
    </row>
    <row r="122" spans="11:15">
      <c r="L122" s="669">
        <v>15</v>
      </c>
      <c r="M122" s="670">
        <v>88.217001778571429</v>
      </c>
      <c r="N122" s="670">
        <v>294.1721409428572</v>
      </c>
      <c r="O122" s="670">
        <v>92.07</v>
      </c>
    </row>
    <row r="123" spans="11:15">
      <c r="K123" s="668">
        <v>16</v>
      </c>
      <c r="L123" s="669">
        <v>16</v>
      </c>
      <c r="M123" s="670">
        <v>65.84</v>
      </c>
      <c r="N123" s="670">
        <v>149.18</v>
      </c>
      <c r="O123" s="670">
        <v>45.4</v>
      </c>
    </row>
    <row r="124" spans="11:15">
      <c r="L124" s="669">
        <v>17</v>
      </c>
      <c r="M124" s="670">
        <v>51.88</v>
      </c>
      <c r="N124" s="670">
        <v>104.35</v>
      </c>
      <c r="O124" s="670">
        <v>41.47</v>
      </c>
    </row>
    <row r="125" spans="11:15">
      <c r="L125" s="669">
        <v>18</v>
      </c>
      <c r="M125" s="670">
        <v>49.672285897142856</v>
      </c>
      <c r="N125" s="670">
        <v>78.038143701428567</v>
      </c>
      <c r="O125" s="670">
        <v>65.800999782857133</v>
      </c>
    </row>
    <row r="126" spans="11:15">
      <c r="L126" s="669">
        <v>19</v>
      </c>
      <c r="M126" s="670">
        <v>45.203000204285708</v>
      </c>
      <c r="N126" s="670">
        <v>78.313856942857129</v>
      </c>
      <c r="O126" s="670">
        <v>75.104713441428572</v>
      </c>
    </row>
    <row r="127" spans="11:15">
      <c r="K127" s="668">
        <v>20</v>
      </c>
      <c r="L127" s="669">
        <v>20</v>
      </c>
      <c r="M127" s="670">
        <v>37.385857718571437</v>
      </c>
      <c r="N127" s="670">
        <v>130.92628696285712</v>
      </c>
      <c r="O127" s="670">
        <v>97.861000055714285</v>
      </c>
    </row>
    <row r="128" spans="11:15">
      <c r="L128" s="669">
        <v>21</v>
      </c>
      <c r="M128" s="670">
        <v>31.609713962857143</v>
      </c>
      <c r="N128" s="670">
        <v>64.449287412857146</v>
      </c>
      <c r="O128" s="670">
        <v>107.7964292242857</v>
      </c>
    </row>
    <row r="129" spans="11:15">
      <c r="L129" s="669">
        <v>22</v>
      </c>
      <c r="M129" s="670">
        <v>23.360142844285715</v>
      </c>
      <c r="N129" s="670">
        <v>64.449287412857146</v>
      </c>
      <c r="O129" s="670">
        <v>107.7964292242857</v>
      </c>
    </row>
    <row r="130" spans="11:15">
      <c r="L130" s="669">
        <v>23</v>
      </c>
      <c r="M130" s="670">
        <v>22.118571418571431</v>
      </c>
      <c r="N130" s="670">
        <v>39.50100054</v>
      </c>
      <c r="O130" s="670">
        <v>35.176713670000005</v>
      </c>
    </row>
    <row r="131" spans="11:15">
      <c r="K131" s="668">
        <v>24</v>
      </c>
      <c r="L131" s="669">
        <v>24</v>
      </c>
      <c r="M131" s="670">
        <v>18.655142918571432</v>
      </c>
      <c r="N131" s="670">
        <v>33.690285274285714</v>
      </c>
      <c r="O131" s="670">
        <v>23.41942841571429</v>
      </c>
    </row>
    <row r="132" spans="11:15">
      <c r="L132" s="669">
        <v>25</v>
      </c>
      <c r="M132" s="670">
        <v>15.664428437142856</v>
      </c>
      <c r="N132" s="670">
        <v>30.228428704285715</v>
      </c>
      <c r="O132" s="670">
        <v>15.98614284142857</v>
      </c>
    </row>
    <row r="133" spans="11:15">
      <c r="L133" s="669">
        <v>26</v>
      </c>
      <c r="M133" s="670">
        <v>13.848143032857147</v>
      </c>
      <c r="N133" s="670">
        <v>27.872285568571431</v>
      </c>
      <c r="O133" s="670">
        <v>14.09042848857143</v>
      </c>
    </row>
    <row r="134" spans="11:15">
      <c r="L134" s="669">
        <v>27</v>
      </c>
      <c r="M134" s="670">
        <v>12.865857259999999</v>
      </c>
      <c r="N134" s="670">
        <v>27.257571358571429</v>
      </c>
      <c r="O134" s="670">
        <v>11.838857105714284</v>
      </c>
    </row>
    <row r="135" spans="11:15">
      <c r="K135" s="668">
        <v>28</v>
      </c>
      <c r="L135" s="669">
        <v>28</v>
      </c>
      <c r="M135" s="670">
        <v>12.915285789999999</v>
      </c>
      <c r="N135" s="738">
        <v>27.217285974285712</v>
      </c>
      <c r="O135" s="670">
        <v>9.7789998731428565</v>
      </c>
    </row>
    <row r="136" spans="11:15">
      <c r="L136" s="669">
        <v>29</v>
      </c>
      <c r="M136" s="670">
        <v>15.908571428571426</v>
      </c>
      <c r="N136" s="738">
        <v>24.955714285714286</v>
      </c>
      <c r="O136" s="670">
        <v>8.4957142857142856</v>
      </c>
    </row>
    <row r="137" spans="11:15">
      <c r="L137" s="669">
        <v>30</v>
      </c>
      <c r="M137" s="670">
        <v>16.584000042857145</v>
      </c>
      <c r="N137" s="738">
        <v>24.80942862142857</v>
      </c>
      <c r="O137" s="670">
        <v>7.807428428142857</v>
      </c>
    </row>
    <row r="138" spans="11:15">
      <c r="L138" s="669">
        <v>31</v>
      </c>
      <c r="M138" s="670">
        <v>18.553000000000001</v>
      </c>
      <c r="N138" s="738">
        <v>25.690999999999999</v>
      </c>
      <c r="O138" s="670">
        <v>7.53</v>
      </c>
    </row>
    <row r="139" spans="11:15">
      <c r="K139" s="668">
        <v>32</v>
      </c>
      <c r="L139" s="669">
        <v>32</v>
      </c>
      <c r="M139" s="670">
        <v>17.769714355714285</v>
      </c>
      <c r="N139" s="738">
        <v>27.630000251428573</v>
      </c>
      <c r="O139" s="670">
        <v>6.4074286734285701</v>
      </c>
    </row>
    <row r="140" spans="11:15">
      <c r="L140" s="669">
        <v>33</v>
      </c>
      <c r="M140" s="670">
        <v>14.782857348571428</v>
      </c>
      <c r="N140" s="738">
        <v>23.78</v>
      </c>
      <c r="O140" s="670">
        <v>4.9400000000000004</v>
      </c>
    </row>
    <row r="141" spans="11:15">
      <c r="L141" s="669">
        <v>34</v>
      </c>
      <c r="M141" s="670">
        <v>15.984000069999999</v>
      </c>
      <c r="N141" s="738">
        <v>23.527999878571428</v>
      </c>
      <c r="O141" s="670">
        <v>4.6688571658571432</v>
      </c>
    </row>
    <row r="142" spans="11:15">
      <c r="K142" s="668">
        <v>35</v>
      </c>
      <c r="L142" s="669">
        <v>35</v>
      </c>
      <c r="M142" s="670">
        <v>15.55</v>
      </c>
      <c r="N142" s="738">
        <v>23.29</v>
      </c>
      <c r="O142" s="670">
        <v>4.5999999999999996</v>
      </c>
    </row>
    <row r="146" spans="13:15">
      <c r="M146" s="668" t="s">
        <v>299</v>
      </c>
      <c r="N146" s="668" t="s">
        <v>300</v>
      </c>
      <c r="O146" s="668" t="s">
        <v>301</v>
      </c>
    </row>
  </sheetData>
  <mergeCells count="2">
    <mergeCell ref="A3:G3"/>
    <mergeCell ref="A35:G35"/>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5641-C442-4E50-88E6-5F8E1AE35713}">
  <sheetPr>
    <tabColor theme="4"/>
  </sheetPr>
  <dimension ref="A1:AF143"/>
  <sheetViews>
    <sheetView showGridLines="0" view="pageBreakPreview" zoomScale="130" zoomScaleNormal="100" zoomScaleSheetLayoutView="130" zoomScalePageLayoutView="130" workbookViewId="0">
      <selection activeCell="Q15" sqref="Q15"/>
    </sheetView>
  </sheetViews>
  <sheetFormatPr defaultRowHeight="11.25"/>
  <cols>
    <col min="1" max="9" width="9.33203125" style="3"/>
    <col min="10" max="11" width="9.33203125" style="3" customWidth="1"/>
    <col min="12" max="12" width="9.33203125" style="3"/>
    <col min="13" max="25" width="9.33203125" style="668"/>
    <col min="26" max="26" width="9.33203125" style="642"/>
    <col min="27" max="30" width="9.33203125" style="464"/>
    <col min="31" max="32" width="9.33203125" style="436"/>
    <col min="33" max="16384" width="9.33203125" style="3"/>
  </cols>
  <sheetData>
    <row r="1" spans="1:25" ht="11.25" customHeight="1">
      <c r="A1" s="160"/>
      <c r="B1" s="160"/>
      <c r="C1" s="160"/>
      <c r="D1" s="160"/>
      <c r="E1" s="160"/>
      <c r="F1" s="160"/>
      <c r="G1" s="160"/>
      <c r="H1" s="160"/>
      <c r="I1" s="160"/>
      <c r="J1" s="160"/>
      <c r="K1" s="160"/>
      <c r="L1" s="160"/>
    </row>
    <row r="2" spans="1:25" ht="11.25" customHeight="1">
      <c r="A2" s="465"/>
      <c r="B2" s="466"/>
      <c r="C2" s="466"/>
      <c r="D2" s="466"/>
      <c r="E2" s="466"/>
      <c r="F2" s="466"/>
      <c r="G2" s="218"/>
      <c r="H2" s="218"/>
      <c r="I2" s="191"/>
      <c r="J2" s="160"/>
      <c r="K2" s="160"/>
      <c r="L2" s="160"/>
    </row>
    <row r="3" spans="1:25" ht="11.25" customHeight="1">
      <c r="A3" s="191"/>
      <c r="B3" s="191"/>
      <c r="C3" s="191"/>
      <c r="D3" s="191"/>
      <c r="E3" s="191"/>
      <c r="F3" s="191"/>
      <c r="G3" s="159"/>
      <c r="H3" s="159"/>
      <c r="I3" s="159"/>
      <c r="J3" s="171"/>
      <c r="K3" s="171"/>
      <c r="L3" s="171"/>
      <c r="O3" s="668" t="s">
        <v>298</v>
      </c>
      <c r="P3" s="669"/>
      <c r="Q3" s="668" t="s">
        <v>302</v>
      </c>
      <c r="R3" s="668" t="s">
        <v>303</v>
      </c>
      <c r="S3" s="668" t="s">
        <v>304</v>
      </c>
      <c r="T3" s="668" t="s">
        <v>305</v>
      </c>
      <c r="U3" s="668" t="s">
        <v>306</v>
      </c>
      <c r="V3" s="668" t="s">
        <v>307</v>
      </c>
      <c r="W3" s="668" t="s">
        <v>308</v>
      </c>
      <c r="X3" s="668" t="s">
        <v>309</v>
      </c>
      <c r="Y3" s="668" t="s">
        <v>310</v>
      </c>
    </row>
    <row r="4" spans="1:25" ht="11.25" customHeight="1">
      <c r="A4" s="191"/>
      <c r="B4" s="191"/>
      <c r="C4" s="191"/>
      <c r="D4" s="191"/>
      <c r="E4" s="191"/>
      <c r="F4" s="191"/>
      <c r="G4" s="159"/>
      <c r="H4" s="159"/>
      <c r="I4" s="159"/>
      <c r="J4" s="171"/>
      <c r="K4" s="171"/>
      <c r="L4" s="171"/>
      <c r="N4" s="668">
        <v>2016</v>
      </c>
      <c r="O4" s="668">
        <v>1</v>
      </c>
      <c r="P4" s="669">
        <v>1</v>
      </c>
      <c r="Q4" s="670">
        <v>12.12</v>
      </c>
      <c r="R4" s="670">
        <v>8.33</v>
      </c>
      <c r="S4" s="670">
        <v>165.03200000000001</v>
      </c>
      <c r="T4" s="670">
        <v>95.83</v>
      </c>
      <c r="U4" s="670">
        <v>18.5</v>
      </c>
      <c r="V4" s="670">
        <v>10.01</v>
      </c>
      <c r="W4" s="670">
        <v>1.23</v>
      </c>
      <c r="X4" s="670">
        <v>109.19</v>
      </c>
      <c r="Y4" s="670">
        <v>37.270000000000003</v>
      </c>
    </row>
    <row r="5" spans="1:25" ht="11.25" customHeight="1">
      <c r="A5" s="467"/>
      <c r="B5" s="467"/>
      <c r="C5" s="467"/>
      <c r="D5" s="467"/>
      <c r="E5" s="467"/>
      <c r="F5" s="467"/>
      <c r="G5" s="467"/>
      <c r="H5" s="467"/>
      <c r="I5" s="467"/>
      <c r="J5" s="31"/>
      <c r="K5" s="31"/>
      <c r="L5" s="152"/>
      <c r="P5" s="669">
        <v>2</v>
      </c>
      <c r="Q5" s="670">
        <v>10.45</v>
      </c>
      <c r="R5" s="670">
        <v>5.38</v>
      </c>
      <c r="S5" s="670">
        <v>137.04</v>
      </c>
      <c r="T5" s="670">
        <v>78.260000000000005</v>
      </c>
      <c r="U5" s="670">
        <v>13.1</v>
      </c>
      <c r="V5" s="670">
        <v>10</v>
      </c>
      <c r="W5" s="670">
        <v>1.18</v>
      </c>
      <c r="X5" s="670">
        <v>177.91</v>
      </c>
      <c r="Y5" s="670">
        <v>53.34</v>
      </c>
    </row>
    <row r="6" spans="1:25" ht="11.25" customHeight="1">
      <c r="A6" s="191"/>
      <c r="B6" s="468"/>
      <c r="C6" s="469"/>
      <c r="D6" s="470"/>
      <c r="E6" s="470"/>
      <c r="F6" s="471"/>
      <c r="G6" s="472"/>
      <c r="H6" s="472"/>
      <c r="I6" s="233"/>
      <c r="J6" s="31"/>
      <c r="K6" s="31"/>
      <c r="L6" s="26"/>
      <c r="P6" s="669">
        <v>3</v>
      </c>
      <c r="Q6" s="670">
        <v>10.396000000000001</v>
      </c>
      <c r="R6" s="670">
        <v>5.29</v>
      </c>
      <c r="S6" s="670">
        <v>102.45</v>
      </c>
      <c r="T6" s="670">
        <v>101.264</v>
      </c>
      <c r="U6" s="670">
        <v>15.26</v>
      </c>
      <c r="V6" s="670">
        <v>10.01</v>
      </c>
      <c r="W6" s="670">
        <v>1.2529999999999999</v>
      </c>
      <c r="X6" s="670">
        <v>248.28</v>
      </c>
      <c r="Y6" s="670">
        <v>76.69</v>
      </c>
    </row>
    <row r="7" spans="1:25" ht="11.25" customHeight="1">
      <c r="A7" s="191"/>
      <c r="B7" s="234"/>
      <c r="C7" s="234"/>
      <c r="D7" s="235"/>
      <c r="E7" s="235"/>
      <c r="F7" s="471"/>
      <c r="G7" s="472"/>
      <c r="H7" s="472"/>
      <c r="I7" s="233"/>
      <c r="J7" s="32"/>
      <c r="K7" s="32"/>
      <c r="L7" s="29"/>
      <c r="O7" s="668">
        <v>4</v>
      </c>
      <c r="P7" s="669">
        <v>4</v>
      </c>
      <c r="Q7" s="670">
        <v>10.32</v>
      </c>
      <c r="R7" s="670">
        <v>6.0640000000000001</v>
      </c>
      <c r="S7" s="670">
        <v>93.71</v>
      </c>
      <c r="T7" s="670">
        <v>79.73</v>
      </c>
      <c r="U7" s="670">
        <v>12.66</v>
      </c>
      <c r="V7" s="670">
        <v>10.01</v>
      </c>
      <c r="W7" s="670">
        <v>1.22</v>
      </c>
      <c r="X7" s="670">
        <v>142.55000000000001</v>
      </c>
      <c r="Y7" s="670">
        <v>40.92</v>
      </c>
    </row>
    <row r="8" spans="1:25" ht="11.25" customHeight="1">
      <c r="A8" s="191"/>
      <c r="B8" s="236"/>
      <c r="C8" s="173"/>
      <c r="D8" s="185"/>
      <c r="E8" s="185"/>
      <c r="F8" s="471"/>
      <c r="G8" s="472"/>
      <c r="H8" s="472"/>
      <c r="I8" s="233"/>
      <c r="J8" s="30"/>
      <c r="K8" s="30"/>
      <c r="L8" s="31"/>
      <c r="P8" s="669">
        <v>5</v>
      </c>
      <c r="Q8" s="670">
        <v>14.34</v>
      </c>
      <c r="R8" s="670">
        <v>9.59</v>
      </c>
      <c r="S8" s="670">
        <v>142.55000000000001</v>
      </c>
      <c r="T8" s="670">
        <v>128.66</v>
      </c>
      <c r="U8" s="670">
        <v>24.24</v>
      </c>
      <c r="V8" s="670">
        <v>10.01</v>
      </c>
      <c r="W8" s="670">
        <v>1.17</v>
      </c>
      <c r="X8" s="670">
        <v>251.59399999999999</v>
      </c>
      <c r="Y8" s="670">
        <v>58.97</v>
      </c>
    </row>
    <row r="9" spans="1:25" ht="11.25" customHeight="1">
      <c r="A9" s="191"/>
      <c r="B9" s="236"/>
      <c r="C9" s="173"/>
      <c r="D9" s="185"/>
      <c r="E9" s="185"/>
      <c r="F9" s="471"/>
      <c r="G9" s="472"/>
      <c r="H9" s="472"/>
      <c r="I9" s="233"/>
      <c r="J9" s="32"/>
      <c r="K9" s="33"/>
      <c r="L9" s="34"/>
      <c r="P9" s="669">
        <v>6</v>
      </c>
      <c r="Q9" s="670">
        <v>14.98</v>
      </c>
      <c r="R9" s="670">
        <v>12.82</v>
      </c>
      <c r="S9" s="670">
        <v>223.15</v>
      </c>
      <c r="T9" s="670">
        <v>174.87</v>
      </c>
      <c r="U9" s="670">
        <v>35.18</v>
      </c>
      <c r="V9" s="670">
        <v>9.01</v>
      </c>
      <c r="W9" s="670">
        <v>0.82</v>
      </c>
      <c r="X9" s="670">
        <v>388.05428210000002</v>
      </c>
      <c r="Y9" s="670">
        <v>80.41</v>
      </c>
    </row>
    <row r="10" spans="1:25" ht="11.25" customHeight="1">
      <c r="A10" s="191"/>
      <c r="B10" s="236"/>
      <c r="C10" s="173"/>
      <c r="D10" s="185"/>
      <c r="E10" s="185"/>
      <c r="F10" s="471"/>
      <c r="G10" s="472"/>
      <c r="H10" s="472"/>
      <c r="I10" s="233"/>
      <c r="J10" s="32"/>
      <c r="K10" s="32"/>
      <c r="L10" s="29"/>
      <c r="P10" s="669">
        <v>7</v>
      </c>
      <c r="Q10" s="670">
        <v>15.86</v>
      </c>
      <c r="R10" s="670">
        <v>12.43</v>
      </c>
      <c r="S10" s="670">
        <v>223.86</v>
      </c>
      <c r="T10" s="670">
        <v>126.56</v>
      </c>
      <c r="U10" s="670">
        <v>25.04</v>
      </c>
      <c r="V10" s="670">
        <v>9.01</v>
      </c>
      <c r="W10" s="670">
        <v>1.59</v>
      </c>
      <c r="X10" s="670">
        <v>283.21000240000001</v>
      </c>
      <c r="Y10" s="670">
        <v>53.36</v>
      </c>
    </row>
    <row r="11" spans="1:25" ht="11.25" customHeight="1">
      <c r="A11" s="191"/>
      <c r="B11" s="185"/>
      <c r="C11" s="173"/>
      <c r="D11" s="185"/>
      <c r="E11" s="185"/>
      <c r="F11" s="471"/>
      <c r="G11" s="472"/>
      <c r="H11" s="472"/>
      <c r="I11" s="233"/>
      <c r="J11" s="32"/>
      <c r="K11" s="32"/>
      <c r="L11" s="29"/>
      <c r="O11" s="668">
        <v>8</v>
      </c>
      <c r="P11" s="669">
        <v>8</v>
      </c>
      <c r="Q11" s="670">
        <v>22.12</v>
      </c>
      <c r="R11" s="670">
        <v>19.3</v>
      </c>
      <c r="S11" s="670">
        <v>297.45999999999998</v>
      </c>
      <c r="T11" s="670">
        <v>188.83</v>
      </c>
      <c r="U11" s="670">
        <v>26.72</v>
      </c>
      <c r="V11" s="670">
        <v>18.309999999999999</v>
      </c>
      <c r="W11" s="670">
        <v>14.62</v>
      </c>
      <c r="X11" s="670">
        <v>414.29357470000002</v>
      </c>
      <c r="Y11" s="670">
        <v>65.55</v>
      </c>
    </row>
    <row r="12" spans="1:25" ht="11.25" customHeight="1">
      <c r="A12" s="191"/>
      <c r="B12" s="185"/>
      <c r="C12" s="173"/>
      <c r="D12" s="185"/>
      <c r="E12" s="185"/>
      <c r="F12" s="471"/>
      <c r="G12" s="472"/>
      <c r="H12" s="472"/>
      <c r="I12" s="233"/>
      <c r="J12" s="32"/>
      <c r="K12" s="32"/>
      <c r="L12" s="29"/>
      <c r="P12" s="669">
        <v>9</v>
      </c>
      <c r="Q12" s="670">
        <v>31.986428669999999</v>
      </c>
      <c r="R12" s="670">
        <v>19.514333090000001</v>
      </c>
      <c r="S12" s="670">
        <v>326.48699649999998</v>
      </c>
      <c r="T12" s="670">
        <v>170.33500290000001</v>
      </c>
      <c r="U12" s="670">
        <v>30.940000529999999</v>
      </c>
      <c r="V12" s="670">
        <v>16.54985727582655</v>
      </c>
      <c r="W12" s="670">
        <v>7.4597144130000004</v>
      </c>
      <c r="X12" s="670">
        <v>382.60643219999997</v>
      </c>
      <c r="Y12" s="670">
        <v>72.96314185</v>
      </c>
    </row>
    <row r="13" spans="1:25" ht="11.25" customHeight="1">
      <c r="A13" s="191"/>
      <c r="B13" s="185"/>
      <c r="C13" s="173"/>
      <c r="D13" s="185"/>
      <c r="E13" s="185"/>
      <c r="F13" s="471"/>
      <c r="G13" s="472"/>
      <c r="H13" s="472"/>
      <c r="I13" s="233"/>
      <c r="J13" s="30"/>
      <c r="K13" s="30"/>
      <c r="L13" s="31"/>
      <c r="P13" s="669">
        <v>10</v>
      </c>
      <c r="Q13" s="670">
        <v>21.817856924874398</v>
      </c>
      <c r="R13" s="670">
        <v>20.1870002746582</v>
      </c>
      <c r="S13" s="670">
        <v>281.91442869999997</v>
      </c>
      <c r="T13" s="670">
        <v>164.05856977190246</v>
      </c>
      <c r="U13" s="670">
        <v>30.751428604125927</v>
      </c>
      <c r="V13" s="670">
        <v>9.5257144655499921</v>
      </c>
      <c r="W13" s="670">
        <v>2.1815714495522598</v>
      </c>
      <c r="X13" s="670">
        <v>245.78571646554084</v>
      </c>
      <c r="Y13" s="670">
        <v>47.002858298165428</v>
      </c>
    </row>
    <row r="14" spans="1:25" ht="11.25" customHeight="1">
      <c r="A14" s="191"/>
      <c r="B14" s="185"/>
      <c r="C14" s="173"/>
      <c r="D14" s="185"/>
      <c r="E14" s="185"/>
      <c r="F14" s="471"/>
      <c r="G14" s="472"/>
      <c r="H14" s="472"/>
      <c r="I14" s="233"/>
      <c r="J14" s="32"/>
      <c r="K14" s="33"/>
      <c r="L14" s="34"/>
      <c r="P14" s="669">
        <v>11</v>
      </c>
      <c r="Q14" s="670">
        <v>21.645000185285259</v>
      </c>
      <c r="R14" s="670">
        <v>18.452999932425314</v>
      </c>
      <c r="S14" s="670">
        <v>302.97000000000003</v>
      </c>
      <c r="T14" s="670">
        <v>146.11571393694155</v>
      </c>
      <c r="U14" s="670">
        <v>26.230000359671411</v>
      </c>
      <c r="V14" s="670">
        <v>10.001428604125973</v>
      </c>
      <c r="W14" s="670">
        <v>1.7041428429739771</v>
      </c>
      <c r="X14" s="670">
        <v>239.62</v>
      </c>
      <c r="Y14" s="670">
        <v>42.29</v>
      </c>
    </row>
    <row r="15" spans="1:25" ht="11.25" customHeight="1">
      <c r="A15" s="191"/>
      <c r="B15" s="185"/>
      <c r="C15" s="173"/>
      <c r="D15" s="185"/>
      <c r="E15" s="185"/>
      <c r="F15" s="471"/>
      <c r="G15" s="472"/>
      <c r="H15" s="472"/>
      <c r="I15" s="233"/>
      <c r="J15" s="32"/>
      <c r="K15" s="33"/>
      <c r="L15" s="29"/>
      <c r="O15" s="668">
        <v>12</v>
      </c>
      <c r="P15" s="669">
        <v>12</v>
      </c>
      <c r="Q15" s="670">
        <v>15.247000013078916</v>
      </c>
      <c r="R15" s="670">
        <v>12.7100000381469</v>
      </c>
      <c r="S15" s="670">
        <v>179.33771623883899</v>
      </c>
      <c r="T15" s="670">
        <v>114.18428584507485</v>
      </c>
      <c r="U15" s="670">
        <v>18.61999988555905</v>
      </c>
      <c r="V15" s="670">
        <v>9.9999999999999964</v>
      </c>
      <c r="W15" s="670">
        <v>1.2444285835538544</v>
      </c>
      <c r="X15" s="670">
        <v>150.27357046944684</v>
      </c>
      <c r="Y15" s="670">
        <v>24.915714263915959</v>
      </c>
    </row>
    <row r="16" spans="1:25" ht="11.25" customHeight="1">
      <c r="A16" s="191"/>
      <c r="B16" s="185"/>
      <c r="C16" s="173"/>
      <c r="D16" s="185"/>
      <c r="E16" s="185"/>
      <c r="F16" s="471"/>
      <c r="G16" s="472"/>
      <c r="H16" s="472"/>
      <c r="I16" s="233"/>
      <c r="J16" s="32"/>
      <c r="K16" s="33"/>
      <c r="L16" s="29"/>
      <c r="P16" s="669">
        <v>13</v>
      </c>
      <c r="Q16" s="670">
        <v>17.322999954223601</v>
      </c>
      <c r="R16" s="670">
        <v>15.171999931335399</v>
      </c>
      <c r="S16" s="670">
        <v>130.67500305175699</v>
      </c>
      <c r="T16" s="670">
        <v>89.040000915527301</v>
      </c>
      <c r="U16" s="670">
        <v>15.310000419616699</v>
      </c>
      <c r="V16" s="670">
        <v>10</v>
      </c>
      <c r="W16" s="670">
        <v>1.0199999809265099</v>
      </c>
      <c r="X16" s="670">
        <v>116.33999633789</v>
      </c>
      <c r="Y16" s="670">
        <v>24.159999847412099</v>
      </c>
    </row>
    <row r="17" spans="1:25" ht="11.25" customHeight="1">
      <c r="A17" s="191"/>
      <c r="B17" s="185"/>
      <c r="C17" s="173"/>
      <c r="D17" s="185"/>
      <c r="E17" s="185"/>
      <c r="F17" s="471"/>
      <c r="G17" s="472"/>
      <c r="H17" s="472"/>
      <c r="I17" s="233"/>
      <c r="J17" s="32"/>
      <c r="K17" s="33"/>
      <c r="L17" s="29"/>
      <c r="P17" s="669">
        <v>14</v>
      </c>
      <c r="Q17" s="670">
        <v>14.828142711094401</v>
      </c>
      <c r="R17" s="670">
        <v>13.217000007629398</v>
      </c>
      <c r="S17" s="670">
        <v>121.81457192557171</v>
      </c>
      <c r="T17" s="670">
        <v>78.037142072405103</v>
      </c>
      <c r="U17" s="670">
        <v>14.082857131957956</v>
      </c>
      <c r="V17" s="670">
        <v>10.001428604125973</v>
      </c>
      <c r="W17" s="670">
        <v>1.3691428899764975</v>
      </c>
      <c r="X17" s="670">
        <v>126.18428475516127</v>
      </c>
      <c r="Y17" s="670">
        <v>22.646999904087572</v>
      </c>
    </row>
    <row r="18" spans="1:25" ht="11.25" customHeight="1">
      <c r="A18" s="952" t="s">
        <v>572</v>
      </c>
      <c r="B18" s="952"/>
      <c r="C18" s="952"/>
      <c r="D18" s="952"/>
      <c r="E18" s="952"/>
      <c r="F18" s="952"/>
      <c r="G18" s="952"/>
      <c r="H18" s="952"/>
      <c r="I18" s="952"/>
      <c r="J18" s="952"/>
      <c r="K18" s="952"/>
      <c r="L18" s="952"/>
      <c r="P18" s="669">
        <v>15</v>
      </c>
      <c r="Q18" s="670">
        <v>15.017142977033298</v>
      </c>
      <c r="R18" s="670">
        <v>11.291000366210898</v>
      </c>
      <c r="S18" s="670">
        <v>184.69442967006074</v>
      </c>
      <c r="T18" s="670">
        <v>74.048570905412902</v>
      </c>
      <c r="U18" s="670">
        <v>17.312857082911869</v>
      </c>
      <c r="V18" s="670">
        <v>10.005714416503881</v>
      </c>
      <c r="W18" s="670">
        <v>1.6558571543012313</v>
      </c>
      <c r="X18" s="670">
        <v>140.54571315220355</v>
      </c>
      <c r="Y18" s="670">
        <v>22.742571422031897</v>
      </c>
    </row>
    <row r="19" spans="1:25" ht="11.25" customHeight="1">
      <c r="A19" s="237"/>
      <c r="B19" s="185"/>
      <c r="C19" s="173"/>
      <c r="D19" s="185"/>
      <c r="E19" s="185"/>
      <c r="F19" s="231"/>
      <c r="G19" s="232"/>
      <c r="H19" s="232"/>
      <c r="I19" s="233"/>
      <c r="J19" s="32"/>
      <c r="K19" s="33"/>
      <c r="L19" s="29"/>
      <c r="O19" s="668">
        <v>16</v>
      </c>
      <c r="P19" s="669">
        <v>16</v>
      </c>
      <c r="Q19" s="670">
        <v>13.98</v>
      </c>
      <c r="R19" s="670">
        <v>11.63</v>
      </c>
      <c r="S19" s="670">
        <v>164.52</v>
      </c>
      <c r="T19" s="670">
        <v>81.069999999999993</v>
      </c>
      <c r="U19" s="670">
        <v>21.07</v>
      </c>
      <c r="V19" s="670">
        <v>10.01</v>
      </c>
      <c r="W19" s="670">
        <v>1.27</v>
      </c>
      <c r="X19" s="670">
        <v>141.29</v>
      </c>
      <c r="Y19" s="670">
        <v>23.21</v>
      </c>
    </row>
    <row r="20" spans="1:25" ht="11.25" customHeight="1">
      <c r="A20" s="153"/>
      <c r="B20" s="185"/>
      <c r="C20" s="173"/>
      <c r="D20" s="185"/>
      <c r="E20" s="185"/>
      <c r="F20" s="231"/>
      <c r="G20" s="232"/>
      <c r="H20" s="232"/>
      <c r="I20" s="233"/>
      <c r="J20" s="32"/>
      <c r="K20" s="33"/>
      <c r="L20" s="29"/>
      <c r="P20" s="669">
        <v>17</v>
      </c>
      <c r="Q20" s="670">
        <v>12.944285669999999</v>
      </c>
      <c r="R20" s="670">
        <v>10.010000228881799</v>
      </c>
      <c r="S20" s="670">
        <v>152.88357325962556</v>
      </c>
      <c r="T20" s="670">
        <v>64.311428070000005</v>
      </c>
      <c r="U20" s="670">
        <v>16.638571469999999</v>
      </c>
      <c r="V20" s="670">
        <v>10.004285812377887</v>
      </c>
      <c r="W20" s="670">
        <v>1.7342857122421229</v>
      </c>
      <c r="X20" s="670">
        <v>105.73500061035119</v>
      </c>
      <c r="Y20" s="670">
        <v>19.724285806928286</v>
      </c>
    </row>
    <row r="21" spans="1:25" ht="11.25" customHeight="1">
      <c r="A21" s="153"/>
      <c r="B21" s="185"/>
      <c r="C21" s="173"/>
      <c r="D21" s="185"/>
      <c r="E21" s="185"/>
      <c r="F21" s="231"/>
      <c r="G21" s="232"/>
      <c r="H21" s="232"/>
      <c r="I21" s="233"/>
      <c r="J21" s="32"/>
      <c r="K21" s="38"/>
      <c r="L21" s="39"/>
      <c r="P21" s="669">
        <v>18</v>
      </c>
      <c r="Q21" s="670">
        <v>10.727142742701899</v>
      </c>
      <c r="R21" s="670">
        <v>6.3112858363560251</v>
      </c>
      <c r="S21" s="670">
        <v>98.225285121372636</v>
      </c>
      <c r="T21" s="670">
        <v>46.242857796805197</v>
      </c>
      <c r="U21" s="670">
        <v>10.637142998831566</v>
      </c>
      <c r="V21" s="670">
        <v>10.007143020629858</v>
      </c>
      <c r="W21" s="670">
        <v>1.4345714194433998</v>
      </c>
      <c r="X21" s="670">
        <v>72.620000566754968</v>
      </c>
      <c r="Y21" s="670">
        <v>14.075714383806471</v>
      </c>
    </row>
    <row r="22" spans="1:25" ht="11.25" customHeight="1">
      <c r="A22" s="158"/>
      <c r="B22" s="185"/>
      <c r="C22" s="173"/>
      <c r="D22" s="185"/>
      <c r="E22" s="185"/>
      <c r="F22" s="231"/>
      <c r="G22" s="232"/>
      <c r="H22" s="232"/>
      <c r="I22" s="233"/>
      <c r="J22" s="32"/>
      <c r="K22" s="33"/>
      <c r="L22" s="29"/>
      <c r="P22" s="669">
        <v>19</v>
      </c>
      <c r="Q22" s="670">
        <v>9.4342857088361427</v>
      </c>
      <c r="R22" s="670">
        <v>7.4910001754760689</v>
      </c>
      <c r="S22" s="670">
        <v>86.615142822265582</v>
      </c>
      <c r="T22" s="670">
        <v>41.954286302838973</v>
      </c>
      <c r="U22" s="670">
        <v>9.4342857088361427</v>
      </c>
      <c r="V22" s="670">
        <v>10.004285812377914</v>
      </c>
      <c r="W22" s="670">
        <v>1.3051428794860784</v>
      </c>
      <c r="X22" s="670">
        <v>60.497857775006928</v>
      </c>
      <c r="Y22" s="670">
        <v>12.797142846243686</v>
      </c>
    </row>
    <row r="23" spans="1:25" ht="11.25" customHeight="1">
      <c r="A23" s="158"/>
      <c r="B23" s="185"/>
      <c r="C23" s="173"/>
      <c r="D23" s="185"/>
      <c r="E23" s="185"/>
      <c r="F23" s="231"/>
      <c r="G23" s="232"/>
      <c r="H23" s="232"/>
      <c r="I23" s="233"/>
      <c r="J23" s="32"/>
      <c r="K23" s="33"/>
      <c r="L23" s="29"/>
      <c r="O23" s="668">
        <v>20</v>
      </c>
      <c r="P23" s="669">
        <v>20</v>
      </c>
      <c r="Q23" s="670">
        <v>9.1999999999999993</v>
      </c>
      <c r="R23" s="670">
        <v>6.8</v>
      </c>
      <c r="S23" s="670">
        <v>78.2</v>
      </c>
      <c r="T23" s="670">
        <v>39.6</v>
      </c>
      <c r="U23" s="670">
        <v>8.6</v>
      </c>
      <c r="V23" s="670">
        <v>10</v>
      </c>
      <c r="W23" s="670">
        <v>1.6</v>
      </c>
      <c r="X23" s="670">
        <v>56.6</v>
      </c>
      <c r="Y23" s="670">
        <v>12.9</v>
      </c>
    </row>
    <row r="24" spans="1:25" ht="11.25" customHeight="1">
      <c r="A24" s="158"/>
      <c r="B24" s="185"/>
      <c r="C24" s="173"/>
      <c r="D24" s="185"/>
      <c r="E24" s="185"/>
      <c r="F24" s="231"/>
      <c r="G24" s="232"/>
      <c r="H24" s="232"/>
      <c r="I24" s="233"/>
      <c r="J24" s="33"/>
      <c r="K24" s="33"/>
      <c r="L24" s="29"/>
      <c r="P24" s="669">
        <v>21</v>
      </c>
      <c r="Q24" s="670">
        <v>9.0128573008945967</v>
      </c>
      <c r="R24" s="670">
        <v>5.4099998474121005</v>
      </c>
      <c r="S24" s="670">
        <v>73.744141714913454</v>
      </c>
      <c r="T24" s="670">
        <v>44.79285812377924</v>
      </c>
      <c r="U24" s="670">
        <v>10.11999988555907</v>
      </c>
      <c r="V24" s="670">
        <v>10.011428560529414</v>
      </c>
      <c r="W24" s="670">
        <v>1.2349999972752113</v>
      </c>
      <c r="X24" s="670">
        <v>52.17071369716097</v>
      </c>
      <c r="Y24" s="670">
        <v>11.968571390424414</v>
      </c>
    </row>
    <row r="25" spans="1:25" ht="11.25" customHeight="1">
      <c r="A25" s="158"/>
      <c r="B25" s="185"/>
      <c r="C25" s="173"/>
      <c r="D25" s="185"/>
      <c r="E25" s="185"/>
      <c r="F25" s="231"/>
      <c r="G25" s="232"/>
      <c r="H25" s="232"/>
      <c r="I25" s="233"/>
      <c r="J25" s="32"/>
      <c r="K25" s="38"/>
      <c r="L25" s="39"/>
      <c r="P25" s="669">
        <v>22</v>
      </c>
      <c r="Q25" s="670">
        <v>7.95</v>
      </c>
      <c r="R25" s="670">
        <v>3.82</v>
      </c>
      <c r="S25" s="670">
        <v>66.739999999999995</v>
      </c>
      <c r="T25" s="670">
        <v>34.01</v>
      </c>
      <c r="U25" s="670">
        <v>8.15</v>
      </c>
      <c r="V25" s="670">
        <v>10.02</v>
      </c>
      <c r="W25" s="670">
        <v>1.52</v>
      </c>
      <c r="X25" s="670">
        <v>46.88</v>
      </c>
      <c r="Y25" s="670">
        <v>9.89</v>
      </c>
    </row>
    <row r="26" spans="1:25" ht="11.25" customHeight="1">
      <c r="A26" s="158"/>
      <c r="B26" s="185"/>
      <c r="C26" s="173"/>
      <c r="D26" s="185"/>
      <c r="E26" s="185"/>
      <c r="F26" s="159"/>
      <c r="G26" s="159"/>
      <c r="H26" s="159"/>
      <c r="I26" s="159"/>
      <c r="J26" s="30"/>
      <c r="K26" s="33"/>
      <c r="L26" s="29"/>
      <c r="P26" s="669">
        <v>23</v>
      </c>
      <c r="Q26" s="670">
        <v>7.6</v>
      </c>
      <c r="R26" s="670">
        <v>3.22</v>
      </c>
      <c r="S26" s="670">
        <v>59.4</v>
      </c>
      <c r="T26" s="670">
        <v>28.71</v>
      </c>
      <c r="U26" s="670">
        <v>7.74</v>
      </c>
      <c r="V26" s="670">
        <v>10</v>
      </c>
      <c r="W26" s="670">
        <v>1.55</v>
      </c>
      <c r="X26" s="670">
        <v>43.39</v>
      </c>
      <c r="Y26" s="670">
        <v>8.57</v>
      </c>
    </row>
    <row r="27" spans="1:25" ht="11.25" customHeight="1">
      <c r="A27" s="158"/>
      <c r="B27" s="185"/>
      <c r="C27" s="173"/>
      <c r="D27" s="185"/>
      <c r="E27" s="185"/>
      <c r="F27" s="159"/>
      <c r="G27" s="159"/>
      <c r="H27" s="159"/>
      <c r="I27" s="159"/>
      <c r="J27" s="30"/>
      <c r="K27" s="33"/>
      <c r="L27" s="29"/>
      <c r="O27" s="668">
        <v>24</v>
      </c>
      <c r="P27" s="669">
        <v>24</v>
      </c>
      <c r="Q27" s="670">
        <v>9.57</v>
      </c>
      <c r="R27" s="670">
        <v>3.42</v>
      </c>
      <c r="S27" s="670">
        <v>54.3</v>
      </c>
      <c r="T27" s="670">
        <v>30.83</v>
      </c>
      <c r="U27" s="670">
        <v>7.53</v>
      </c>
      <c r="V27" s="670">
        <v>10</v>
      </c>
      <c r="W27" s="670">
        <v>1.6</v>
      </c>
      <c r="X27" s="670">
        <v>40.28</v>
      </c>
      <c r="Y27" s="670">
        <v>9.6</v>
      </c>
    </row>
    <row r="28" spans="1:25" ht="11.25" customHeight="1">
      <c r="A28" s="157"/>
      <c r="B28" s="159"/>
      <c r="C28" s="159"/>
      <c r="D28" s="159"/>
      <c r="E28" s="159"/>
      <c r="F28" s="159"/>
      <c r="G28" s="159"/>
      <c r="H28" s="159"/>
      <c r="I28" s="159"/>
      <c r="J28" s="32"/>
      <c r="K28" s="33"/>
      <c r="L28" s="29"/>
      <c r="P28" s="669">
        <v>25</v>
      </c>
      <c r="Q28" s="670">
        <v>9.0548571179999993</v>
      </c>
      <c r="R28" s="670">
        <v>3.2130000590000001</v>
      </c>
      <c r="S28" s="670">
        <v>56.674428669999998</v>
      </c>
      <c r="T28" s="670">
        <v>25.690000260000001</v>
      </c>
      <c r="U28" s="670">
        <v>6.9342856409999998</v>
      </c>
      <c r="V28" s="670">
        <v>10.00571442</v>
      </c>
      <c r="W28" s="670">
        <v>1.254714302</v>
      </c>
      <c r="X28" s="670">
        <v>37.560714179999998</v>
      </c>
      <c r="Y28" s="670">
        <v>7.91285726</v>
      </c>
    </row>
    <row r="29" spans="1:25" ht="11.25" customHeight="1">
      <c r="A29" s="157"/>
      <c r="B29" s="159"/>
      <c r="C29" s="159"/>
      <c r="D29" s="159"/>
      <c r="E29" s="159"/>
      <c r="F29" s="159"/>
      <c r="G29" s="159"/>
      <c r="H29" s="159"/>
      <c r="I29" s="159"/>
      <c r="J29" s="32"/>
      <c r="K29" s="33"/>
      <c r="L29" s="29"/>
      <c r="P29" s="669">
        <v>26</v>
      </c>
      <c r="Q29" s="670">
        <v>8.8612857550000008</v>
      </c>
      <c r="R29" s="670">
        <v>3.5</v>
      </c>
      <c r="S29" s="670">
        <v>68.087428501674069</v>
      </c>
      <c r="T29" s="670">
        <v>30.317143300000001</v>
      </c>
      <c r="U29" s="670">
        <v>8.8971428190000008</v>
      </c>
      <c r="V29" s="670">
        <v>10</v>
      </c>
      <c r="W29" s="670">
        <v>1.4324285809999999</v>
      </c>
      <c r="X29" s="670">
        <v>37.759999409999999</v>
      </c>
      <c r="Y29" s="670">
        <v>8.911428656</v>
      </c>
    </row>
    <row r="30" spans="1:25" ht="11.25" customHeight="1">
      <c r="A30" s="157"/>
      <c r="B30" s="159"/>
      <c r="C30" s="159"/>
      <c r="D30" s="159"/>
      <c r="E30" s="159"/>
      <c r="F30" s="159"/>
      <c r="G30" s="159"/>
      <c r="H30" s="159"/>
      <c r="I30" s="159"/>
      <c r="J30" s="32"/>
      <c r="K30" s="33"/>
      <c r="L30" s="29"/>
      <c r="P30" s="669">
        <v>27</v>
      </c>
      <c r="Q30" s="670">
        <v>8.3185714990000008</v>
      </c>
      <c r="R30" s="670">
        <v>4.0900001530000001</v>
      </c>
      <c r="S30" s="670">
        <v>60.110428400000004</v>
      </c>
      <c r="T30" s="670">
        <v>28.581429350000001</v>
      </c>
      <c r="U30" s="670">
        <v>7.9442856649999998</v>
      </c>
      <c r="V30" s="670">
        <v>10.001428600000001</v>
      </c>
      <c r="W30" s="670">
        <v>1.455999987</v>
      </c>
      <c r="X30" s="670">
        <v>35.967143470000003</v>
      </c>
      <c r="Y30" s="670">
        <v>7.2057142259999996</v>
      </c>
    </row>
    <row r="31" spans="1:25" ht="11.25" customHeight="1">
      <c r="A31" s="157"/>
      <c r="B31" s="159"/>
      <c r="C31" s="159"/>
      <c r="D31" s="159"/>
      <c r="E31" s="159"/>
      <c r="F31" s="159"/>
      <c r="G31" s="159"/>
      <c r="H31" s="159"/>
      <c r="I31" s="159"/>
      <c r="J31" s="32"/>
      <c r="K31" s="33"/>
      <c r="L31" s="29"/>
      <c r="O31" s="668">
        <v>28</v>
      </c>
      <c r="P31" s="669">
        <v>28</v>
      </c>
      <c r="Q31" s="670">
        <v>7.789714268</v>
      </c>
      <c r="R31" s="670">
        <v>3.119999886</v>
      </c>
      <c r="S31" s="670">
        <v>60.986856189999997</v>
      </c>
      <c r="T31" s="670">
        <v>27.099999836512943</v>
      </c>
      <c r="U31" s="670">
        <v>7.4514284819999999</v>
      </c>
      <c r="V31" s="670">
        <v>10.0128573</v>
      </c>
      <c r="W31" s="670">
        <v>1.5508571609999999</v>
      </c>
      <c r="X31" s="670">
        <v>47.66357095</v>
      </c>
      <c r="Y31" s="670">
        <v>9.9999998639999994</v>
      </c>
    </row>
    <row r="32" spans="1:25" ht="11.25" customHeight="1">
      <c r="A32" s="157"/>
      <c r="B32" s="159"/>
      <c r="C32" s="159"/>
      <c r="D32" s="159"/>
      <c r="E32" s="159"/>
      <c r="F32" s="159"/>
      <c r="G32" s="159"/>
      <c r="H32" s="159"/>
      <c r="I32" s="159"/>
      <c r="J32" s="33"/>
      <c r="K32" s="33"/>
      <c r="L32" s="29"/>
      <c r="P32" s="669">
        <v>29</v>
      </c>
      <c r="Q32" s="670">
        <v>7.1615714349999999</v>
      </c>
      <c r="R32" s="670">
        <v>3.4249999519999998</v>
      </c>
      <c r="S32" s="670">
        <v>56.540714260000001</v>
      </c>
      <c r="T32" s="670">
        <v>23.477142610000001</v>
      </c>
      <c r="U32" s="670">
        <v>6.2828570089999998</v>
      </c>
      <c r="V32" s="670">
        <v>10.001428600000001</v>
      </c>
      <c r="W32" s="670">
        <v>2.1035714489999999</v>
      </c>
      <c r="X32" s="670">
        <v>44.25</v>
      </c>
      <c r="Y32" s="670">
        <v>6.7128572460000004</v>
      </c>
    </row>
    <row r="33" spans="1:25" ht="11.25" customHeight="1">
      <c r="A33" s="157"/>
      <c r="B33" s="159"/>
      <c r="C33" s="159"/>
      <c r="D33" s="159"/>
      <c r="E33" s="159"/>
      <c r="F33" s="159"/>
      <c r="G33" s="159"/>
      <c r="H33" s="159"/>
      <c r="I33" s="159"/>
      <c r="J33" s="32"/>
      <c r="K33" s="33"/>
      <c r="L33" s="29"/>
      <c r="P33" s="669">
        <v>30</v>
      </c>
      <c r="Q33" s="670">
        <v>6.6714285440000003</v>
      </c>
      <c r="R33" s="670">
        <v>2.8789999489999998</v>
      </c>
      <c r="S33" s="670">
        <v>65.491856709999993</v>
      </c>
      <c r="T33" s="670">
        <v>21.095714300000001</v>
      </c>
      <c r="U33" s="670">
        <v>5.8057142669999999</v>
      </c>
      <c r="V33" s="670">
        <v>10.01142883</v>
      </c>
      <c r="W33" s="670">
        <v>1.8491428750000001</v>
      </c>
      <c r="X33" s="670">
        <v>42.498571668352326</v>
      </c>
      <c r="Y33" s="670">
        <v>6.0797142300000004</v>
      </c>
    </row>
    <row r="34" spans="1:25" ht="11.25" customHeight="1">
      <c r="A34" s="157"/>
      <c r="B34" s="159"/>
      <c r="C34" s="159"/>
      <c r="D34" s="159"/>
      <c r="E34" s="159"/>
      <c r="F34" s="159"/>
      <c r="G34" s="159"/>
      <c r="H34" s="159"/>
      <c r="I34" s="159"/>
      <c r="J34" s="32"/>
      <c r="K34" s="43"/>
      <c r="L34" s="29"/>
      <c r="P34" s="669">
        <v>31</v>
      </c>
      <c r="Q34" s="670">
        <v>6.2387143543788328</v>
      </c>
      <c r="R34" s="670">
        <v>2.9382856232779297</v>
      </c>
      <c r="S34" s="670">
        <v>65.491856711251344</v>
      </c>
      <c r="T34" s="670">
        <v>20.037142889840243</v>
      </c>
      <c r="U34" s="670">
        <v>5.4814286231994549</v>
      </c>
      <c r="V34" s="670">
        <v>10.011428833007772</v>
      </c>
      <c r="W34" s="670">
        <v>1.8019999946866672</v>
      </c>
      <c r="X34" s="670">
        <v>39.98428617204933</v>
      </c>
      <c r="Y34" s="670">
        <v>4.9059999329703157</v>
      </c>
    </row>
    <row r="35" spans="1:25" ht="11.25" customHeight="1">
      <c r="A35" s="157"/>
      <c r="B35" s="159"/>
      <c r="C35" s="159"/>
      <c r="D35" s="159"/>
      <c r="E35" s="159"/>
      <c r="F35" s="159"/>
      <c r="G35" s="159"/>
      <c r="H35" s="159"/>
      <c r="I35" s="159"/>
      <c r="J35" s="32"/>
      <c r="K35" s="43"/>
      <c r="L35" s="48"/>
      <c r="O35" s="668">
        <v>32</v>
      </c>
      <c r="P35" s="669">
        <v>32</v>
      </c>
      <c r="Q35" s="670">
        <v>6.1697142459999998</v>
      </c>
      <c r="R35" s="670">
        <v>3.2030000689999998</v>
      </c>
      <c r="S35" s="670">
        <v>49.942714418571427</v>
      </c>
      <c r="T35" s="670">
        <v>23.275714059999999</v>
      </c>
      <c r="U35" s="670">
        <v>5.8257142479999997</v>
      </c>
      <c r="V35" s="670">
        <v>10.004285810000001</v>
      </c>
      <c r="W35" s="670">
        <v>1.2214285650000001</v>
      </c>
      <c r="X35" s="670">
        <v>36.654999320000002</v>
      </c>
      <c r="Y35" s="670">
        <v>4.0242800000000001</v>
      </c>
    </row>
    <row r="36" spans="1:25" ht="11.25" customHeight="1">
      <c r="A36" s="157"/>
      <c r="B36" s="159"/>
      <c r="C36" s="159"/>
      <c r="D36" s="159"/>
      <c r="E36" s="159"/>
      <c r="F36" s="159"/>
      <c r="G36" s="159"/>
      <c r="H36" s="159"/>
      <c r="I36" s="159"/>
      <c r="J36" s="32"/>
      <c r="K36" s="38"/>
      <c r="L36" s="29"/>
      <c r="P36" s="669">
        <v>33</v>
      </c>
      <c r="Q36" s="670">
        <v>6.3728570940000004</v>
      </c>
      <c r="R36" s="670">
        <v>2.841857144</v>
      </c>
      <c r="S36" s="670">
        <v>57.183571406773112</v>
      </c>
      <c r="T36" s="670">
        <v>22.619999750000002</v>
      </c>
      <c r="U36" s="670">
        <v>5.5228571210000004</v>
      </c>
      <c r="V36" s="670">
        <v>10</v>
      </c>
      <c r="W36" s="670">
        <v>1.3032857349940685</v>
      </c>
      <c r="X36" s="670">
        <v>35.152857099999999</v>
      </c>
      <c r="Y36" s="670">
        <v>4.354285752</v>
      </c>
    </row>
    <row r="37" spans="1:25" ht="11.25" customHeight="1">
      <c r="A37" s="157"/>
      <c r="B37" s="159"/>
      <c r="C37" s="159"/>
      <c r="D37" s="159"/>
      <c r="E37" s="159"/>
      <c r="F37" s="159"/>
      <c r="G37" s="159"/>
      <c r="H37" s="159"/>
      <c r="I37" s="159"/>
      <c r="J37" s="32"/>
      <c r="K37" s="38"/>
      <c r="L37" s="29"/>
      <c r="P37" s="669">
        <v>34</v>
      </c>
      <c r="Q37" s="670">
        <v>6.1195714130000001</v>
      </c>
      <c r="R37" s="670">
        <v>3.058000088</v>
      </c>
      <c r="S37" s="670">
        <v>49.366142269999997</v>
      </c>
      <c r="T37" s="670">
        <v>25.04757145</v>
      </c>
      <c r="U37" s="670">
        <v>5.8727143149999996</v>
      </c>
      <c r="V37" s="670">
        <v>10.00857162</v>
      </c>
      <c r="W37" s="670">
        <v>1.2842857160000001</v>
      </c>
      <c r="X37" s="670">
        <v>34.115715029999997</v>
      </c>
      <c r="Y37" s="670">
        <v>4.3511429509999999</v>
      </c>
    </row>
    <row r="38" spans="1:25" ht="11.25" customHeight="1">
      <c r="A38" s="157"/>
      <c r="B38" s="159"/>
      <c r="C38" s="159"/>
      <c r="D38" s="159"/>
      <c r="E38" s="159"/>
      <c r="F38" s="159"/>
      <c r="G38" s="159"/>
      <c r="H38" s="159"/>
      <c r="I38" s="159"/>
      <c r="J38" s="32"/>
      <c r="K38" s="38"/>
      <c r="L38" s="29"/>
      <c r="P38" s="669">
        <v>35</v>
      </c>
      <c r="Q38" s="670">
        <v>5.9814286230000002</v>
      </c>
      <c r="R38" s="670">
        <v>1.506999969</v>
      </c>
      <c r="S38" s="670">
        <v>56.934856959999998</v>
      </c>
      <c r="T38" s="670">
        <v>21.374285830000002</v>
      </c>
      <c r="U38" s="670">
        <v>4.9342857090000001</v>
      </c>
      <c r="V38" s="670">
        <v>10.28714289</v>
      </c>
      <c r="W38" s="670">
        <v>1.5979999810000001</v>
      </c>
      <c r="X38" s="670">
        <v>30.92</v>
      </c>
      <c r="Y38" s="670">
        <v>5.3042856629999999</v>
      </c>
    </row>
    <row r="39" spans="1:25" ht="11.25" customHeight="1">
      <c r="O39" s="668">
        <v>36</v>
      </c>
      <c r="P39" s="669">
        <v>36</v>
      </c>
      <c r="Q39" s="670">
        <v>6.03</v>
      </c>
      <c r="R39" s="670">
        <v>2.8</v>
      </c>
      <c r="S39" s="670">
        <v>48.51</v>
      </c>
      <c r="T39" s="670">
        <v>22.661428449999999</v>
      </c>
      <c r="U39" s="670">
        <v>4.9800000000000004</v>
      </c>
      <c r="V39" s="670">
        <v>11.01</v>
      </c>
      <c r="W39" s="670">
        <v>1.63</v>
      </c>
      <c r="X39" s="670">
        <v>30.922143120000001</v>
      </c>
      <c r="Y39" s="670">
        <v>7.46</v>
      </c>
    </row>
    <row r="40" spans="1:25" ht="11.25" customHeight="1">
      <c r="A40" s="952" t="s">
        <v>571</v>
      </c>
      <c r="B40" s="952"/>
      <c r="C40" s="952"/>
      <c r="D40" s="952"/>
      <c r="E40" s="952"/>
      <c r="F40" s="952"/>
      <c r="G40" s="952"/>
      <c r="H40" s="952"/>
      <c r="I40" s="952"/>
      <c r="J40" s="952"/>
      <c r="K40" s="952"/>
      <c r="L40" s="952"/>
      <c r="P40" s="669">
        <v>37</v>
      </c>
      <c r="Q40" s="670">
        <v>6.03</v>
      </c>
      <c r="R40" s="670">
        <v>2.37</v>
      </c>
      <c r="S40" s="670">
        <v>43.99</v>
      </c>
      <c r="T40" s="670">
        <v>19.149999999999999</v>
      </c>
      <c r="U40" s="670">
        <v>5.31</v>
      </c>
      <c r="V40" s="670">
        <v>11</v>
      </c>
      <c r="W40" s="670">
        <v>1.59</v>
      </c>
      <c r="X40" s="670">
        <v>29.33</v>
      </c>
      <c r="Y40" s="670">
        <v>7.79</v>
      </c>
    </row>
    <row r="41" spans="1:25" ht="11.25" customHeight="1">
      <c r="P41" s="669">
        <v>38</v>
      </c>
      <c r="Q41" s="670">
        <v>6.5951428410000004</v>
      </c>
      <c r="R41" s="670">
        <v>3.0060000420000001</v>
      </c>
      <c r="S41" s="670">
        <v>47.220570700000003</v>
      </c>
      <c r="T41" s="670">
        <v>22.304285589999999</v>
      </c>
      <c r="U41" s="670">
        <v>5.581428528</v>
      </c>
      <c r="V41" s="670">
        <v>10.85142858</v>
      </c>
      <c r="W41" s="670">
        <v>1.5402856890000001</v>
      </c>
      <c r="X41" s="670">
        <v>34.179286410000003</v>
      </c>
      <c r="Y41" s="670">
        <v>8.5442856379999998</v>
      </c>
    </row>
    <row r="42" spans="1:25" ht="11.25" customHeight="1">
      <c r="A42" s="157"/>
      <c r="B42" s="159"/>
      <c r="C42" s="159"/>
      <c r="D42" s="159"/>
      <c r="E42" s="159"/>
      <c r="F42" s="159"/>
      <c r="G42" s="159"/>
      <c r="H42" s="159"/>
      <c r="I42" s="159"/>
      <c r="J42" s="160"/>
      <c r="K42" s="160"/>
      <c r="L42" s="160"/>
      <c r="O42" s="668">
        <v>39</v>
      </c>
      <c r="P42" s="669">
        <v>39</v>
      </c>
      <c r="Q42" s="670">
        <v>6.84</v>
      </c>
      <c r="R42" s="670">
        <v>3.32</v>
      </c>
      <c r="S42" s="670">
        <v>63.05</v>
      </c>
      <c r="T42" s="670">
        <v>48.7</v>
      </c>
      <c r="U42" s="670">
        <v>7.81</v>
      </c>
      <c r="V42" s="670">
        <v>11.15</v>
      </c>
      <c r="W42" s="670">
        <v>1.32</v>
      </c>
      <c r="X42" s="670">
        <v>38.82</v>
      </c>
      <c r="Y42" s="670">
        <v>6.81</v>
      </c>
    </row>
    <row r="43" spans="1:25" ht="11.25" customHeight="1">
      <c r="A43" s="157"/>
      <c r="B43" s="159"/>
      <c r="C43" s="159"/>
      <c r="D43" s="159"/>
      <c r="E43" s="159"/>
      <c r="F43" s="159"/>
      <c r="G43" s="159"/>
      <c r="H43" s="159"/>
      <c r="I43" s="159"/>
      <c r="J43" s="160"/>
      <c r="K43" s="160"/>
      <c r="L43" s="160"/>
      <c r="P43" s="669">
        <v>40</v>
      </c>
      <c r="Q43" s="670">
        <v>7.6862857681428576</v>
      </c>
      <c r="R43" s="670">
        <v>3.1560000009999998</v>
      </c>
      <c r="S43" s="670">
        <v>61.54114314571428</v>
      </c>
      <c r="T43" s="670">
        <v>37.928571428999994</v>
      </c>
      <c r="U43" s="670">
        <v>7.9165713450000004</v>
      </c>
      <c r="V43" s="670">
        <v>11.005714417142856</v>
      </c>
      <c r="W43" s="670">
        <v>1.3828571522857145</v>
      </c>
      <c r="X43" s="670">
        <v>43.879284992857151</v>
      </c>
      <c r="Y43" s="670">
        <v>6.2752857208571422</v>
      </c>
    </row>
    <row r="44" spans="1:25" ht="11.25" customHeight="1">
      <c r="A44" s="157"/>
      <c r="B44" s="159"/>
      <c r="C44" s="159"/>
      <c r="D44" s="159"/>
      <c r="E44" s="159"/>
      <c r="F44" s="159"/>
      <c r="G44" s="159"/>
      <c r="H44" s="159"/>
      <c r="I44" s="159"/>
      <c r="P44" s="669">
        <v>41</v>
      </c>
      <c r="Q44" s="670">
        <v>7.1000001089913463</v>
      </c>
      <c r="R44" s="670">
        <v>2.9028571673801928</v>
      </c>
      <c r="S44" s="670">
        <v>58.117285592215353</v>
      </c>
      <c r="T44" s="670">
        <v>48.921429225376635</v>
      </c>
      <c r="U44" s="670">
        <v>8.5942858287266173</v>
      </c>
      <c r="V44" s="670">
        <v>11.002857208251914</v>
      </c>
      <c r="W44" s="670">
        <v>1.3182857036590543</v>
      </c>
      <c r="X44" s="670">
        <v>45.627857753208637</v>
      </c>
      <c r="Y44" s="670">
        <v>9.9285714966910028</v>
      </c>
    </row>
    <row r="45" spans="1:25" ht="11.25" customHeight="1">
      <c r="A45" s="157"/>
      <c r="B45" s="159"/>
      <c r="C45" s="159"/>
      <c r="D45" s="159"/>
      <c r="E45" s="159"/>
      <c r="F45" s="159"/>
      <c r="G45" s="159"/>
      <c r="H45" s="159"/>
      <c r="I45" s="159"/>
      <c r="P45" s="669">
        <v>42</v>
      </c>
      <c r="Q45" s="670">
        <v>6.7610000201428573</v>
      </c>
      <c r="R45" s="670">
        <v>2.8671428815714286</v>
      </c>
      <c r="S45" s="670">
        <v>58.888142721428572</v>
      </c>
      <c r="T45" s="670">
        <v>55.619142805714283</v>
      </c>
      <c r="U45" s="670">
        <v>9.5089999614285716</v>
      </c>
      <c r="V45" s="670">
        <v>11.007142884285715</v>
      </c>
      <c r="W45" s="670">
        <v>1.2221428497142859</v>
      </c>
      <c r="X45" s="670">
        <v>52.615000045714282</v>
      </c>
      <c r="Y45" s="670">
        <v>9.6800000322857152</v>
      </c>
    </row>
    <row r="46" spans="1:25" ht="11.25" customHeight="1">
      <c r="A46" s="157"/>
      <c r="B46" s="159"/>
      <c r="C46" s="159"/>
      <c r="D46" s="159"/>
      <c r="E46" s="159"/>
      <c r="F46" s="159"/>
      <c r="G46" s="159"/>
      <c r="H46" s="159"/>
      <c r="I46" s="159"/>
      <c r="O46" s="668">
        <v>43</v>
      </c>
      <c r="P46" s="669">
        <v>43</v>
      </c>
      <c r="Q46" s="670">
        <v>6.53</v>
      </c>
      <c r="R46" s="670">
        <v>2.37</v>
      </c>
      <c r="S46" s="670">
        <v>69.2</v>
      </c>
      <c r="T46" s="670">
        <v>54.58</v>
      </c>
      <c r="U46" s="670">
        <v>8.23</v>
      </c>
      <c r="V46" s="670">
        <v>11.01</v>
      </c>
      <c r="W46" s="670">
        <v>1.35</v>
      </c>
      <c r="X46" s="670">
        <v>50.71</v>
      </c>
      <c r="Y46" s="670">
        <v>10.33</v>
      </c>
    </row>
    <row r="47" spans="1:25" ht="11.25" customHeight="1">
      <c r="A47" s="157"/>
      <c r="B47" s="159"/>
      <c r="C47" s="159"/>
      <c r="D47" s="159"/>
      <c r="E47" s="159"/>
      <c r="F47" s="159"/>
      <c r="G47" s="159"/>
      <c r="H47" s="159"/>
      <c r="I47" s="159"/>
      <c r="P47" s="669">
        <v>44</v>
      </c>
      <c r="Q47" s="670">
        <v>7.58</v>
      </c>
      <c r="R47" s="670">
        <v>4.8899999999999997</v>
      </c>
      <c r="S47" s="670">
        <v>51.59</v>
      </c>
      <c r="T47" s="670">
        <v>57.65</v>
      </c>
      <c r="U47" s="670">
        <v>7.72</v>
      </c>
      <c r="V47" s="670">
        <v>11.01</v>
      </c>
      <c r="W47" s="670">
        <v>1.47</v>
      </c>
      <c r="X47" s="670">
        <v>48.41</v>
      </c>
      <c r="Y47" s="670">
        <v>11.29</v>
      </c>
    </row>
    <row r="48" spans="1:25">
      <c r="A48" s="157"/>
      <c r="B48" s="159"/>
      <c r="C48" s="159"/>
      <c r="D48" s="159"/>
      <c r="E48" s="159"/>
      <c r="F48" s="159"/>
      <c r="G48" s="159"/>
      <c r="H48" s="159"/>
      <c r="I48" s="159"/>
      <c r="P48" s="669">
        <v>45</v>
      </c>
      <c r="Q48" s="670">
        <v>6.95</v>
      </c>
      <c r="R48" s="670">
        <v>1.61</v>
      </c>
      <c r="S48" s="670">
        <v>72.92</v>
      </c>
      <c r="T48" s="670">
        <v>67.069999999999993</v>
      </c>
      <c r="U48" s="670">
        <v>6.9</v>
      </c>
      <c r="V48" s="670">
        <v>11</v>
      </c>
      <c r="W48" s="670">
        <v>1.42</v>
      </c>
      <c r="X48" s="670">
        <v>47.24</v>
      </c>
      <c r="Y48" s="670">
        <v>9</v>
      </c>
    </row>
    <row r="49" spans="1:25">
      <c r="A49" s="157"/>
      <c r="B49" s="159"/>
      <c r="C49" s="159"/>
      <c r="D49" s="159"/>
      <c r="E49" s="159"/>
      <c r="F49" s="159"/>
      <c r="G49" s="159"/>
      <c r="H49" s="159"/>
      <c r="I49" s="159"/>
      <c r="P49" s="669">
        <v>46</v>
      </c>
      <c r="Q49" s="670">
        <v>6.8571429249999998</v>
      </c>
      <c r="R49" s="670">
        <v>1.6428571599999999</v>
      </c>
      <c r="S49" s="670">
        <v>58.4</v>
      </c>
      <c r="T49" s="670">
        <v>34.982142860000003</v>
      </c>
      <c r="U49" s="670">
        <v>5.0667143550000002</v>
      </c>
      <c r="V49" s="670">
        <v>11.01</v>
      </c>
      <c r="W49" s="670">
        <v>1.38</v>
      </c>
      <c r="X49" s="670">
        <v>40.61</v>
      </c>
      <c r="Y49" s="670">
        <v>8.81</v>
      </c>
    </row>
    <row r="50" spans="1:25">
      <c r="A50" s="157"/>
      <c r="B50" s="159"/>
      <c r="C50" s="159"/>
      <c r="D50" s="159"/>
      <c r="E50" s="159"/>
      <c r="F50" s="159"/>
      <c r="G50" s="159"/>
      <c r="H50" s="159"/>
      <c r="I50" s="159"/>
      <c r="P50" s="669">
        <v>47</v>
      </c>
      <c r="Q50" s="670">
        <v>6.9940000260000001</v>
      </c>
      <c r="R50" s="670">
        <v>1.5142857009999999</v>
      </c>
      <c r="S50" s="670">
        <v>52.554856440000002</v>
      </c>
      <c r="T50" s="670">
        <v>29.07742855</v>
      </c>
      <c r="U50" s="670">
        <v>4.2727143420000004</v>
      </c>
      <c r="V50" s="670">
        <v>11.00286</v>
      </c>
      <c r="W50" s="670">
        <v>1.63</v>
      </c>
      <c r="X50" s="670">
        <v>41.625</v>
      </c>
      <c r="Y50" s="670">
        <v>9.3542860000000001</v>
      </c>
    </row>
    <row r="51" spans="1:25">
      <c r="A51" s="157"/>
      <c r="B51" s="159"/>
      <c r="C51" s="159"/>
      <c r="D51" s="159"/>
      <c r="E51" s="159"/>
      <c r="F51" s="159"/>
      <c r="G51" s="159"/>
      <c r="H51" s="159"/>
      <c r="I51" s="159"/>
      <c r="O51" s="668">
        <v>48</v>
      </c>
      <c r="P51" s="669">
        <v>48</v>
      </c>
      <c r="Q51" s="670">
        <v>7.1124285970000001</v>
      </c>
      <c r="R51" s="670">
        <v>1.4714285645714287</v>
      </c>
      <c r="S51" s="670">
        <v>53.429429191428575</v>
      </c>
      <c r="T51" s="670">
        <v>88.059571399999996</v>
      </c>
      <c r="U51" s="670">
        <v>7.879285812428571</v>
      </c>
      <c r="V51" s="670">
        <v>10.862857274285714</v>
      </c>
      <c r="W51" s="670">
        <v>1.6007142748571428</v>
      </c>
      <c r="X51" s="670">
        <v>41.014285495714283</v>
      </c>
      <c r="Y51" s="670">
        <v>14.194285802</v>
      </c>
    </row>
    <row r="52" spans="1:25">
      <c r="A52" s="157"/>
      <c r="B52" s="159"/>
      <c r="C52" s="159"/>
      <c r="D52" s="159"/>
      <c r="E52" s="159"/>
      <c r="F52" s="159"/>
      <c r="G52" s="159"/>
      <c r="H52" s="159"/>
      <c r="I52" s="159"/>
      <c r="P52" s="669">
        <v>49</v>
      </c>
      <c r="Q52" s="670">
        <v>8.43</v>
      </c>
      <c r="R52" s="670">
        <v>2.2400000000000002</v>
      </c>
      <c r="S52" s="670">
        <v>61.07</v>
      </c>
      <c r="T52" s="670">
        <v>106.59</v>
      </c>
      <c r="U52" s="670">
        <v>16.09</v>
      </c>
      <c r="V52" s="670">
        <v>10.5</v>
      </c>
      <c r="W52" s="670">
        <v>1.1200000000000001</v>
      </c>
      <c r="X52" s="670">
        <v>83.6</v>
      </c>
      <c r="Y52" s="670">
        <v>22.62</v>
      </c>
    </row>
    <row r="53" spans="1:25">
      <c r="A53" s="157"/>
      <c r="B53" s="159"/>
      <c r="C53" s="159"/>
      <c r="D53" s="159"/>
      <c r="E53" s="159"/>
      <c r="F53" s="159"/>
      <c r="G53" s="159"/>
      <c r="H53" s="159"/>
      <c r="I53" s="159"/>
      <c r="P53" s="669">
        <v>50</v>
      </c>
      <c r="Q53" s="670">
        <v>8.32</v>
      </c>
      <c r="R53" s="670">
        <v>2.19</v>
      </c>
      <c r="S53" s="670">
        <v>78.02</v>
      </c>
      <c r="T53" s="670">
        <v>104.79</v>
      </c>
      <c r="U53" s="670">
        <v>18.649999999999999</v>
      </c>
      <c r="V53" s="670">
        <v>10.51</v>
      </c>
      <c r="W53" s="670">
        <v>1.1399999999999999</v>
      </c>
      <c r="X53" s="670">
        <v>66.8</v>
      </c>
      <c r="Y53" s="670">
        <v>22.62</v>
      </c>
    </row>
    <row r="54" spans="1:25">
      <c r="A54" s="157"/>
      <c r="B54" s="159"/>
      <c r="C54" s="159"/>
      <c r="D54" s="159"/>
      <c r="E54" s="159"/>
      <c r="F54" s="159"/>
      <c r="G54" s="159"/>
      <c r="H54" s="159"/>
      <c r="I54" s="159"/>
      <c r="P54" s="669">
        <v>51</v>
      </c>
      <c r="Q54" s="670">
        <v>9.08</v>
      </c>
      <c r="R54" s="670">
        <v>3.71</v>
      </c>
      <c r="S54" s="670">
        <v>67.64</v>
      </c>
      <c r="T54" s="670">
        <v>69.61</v>
      </c>
      <c r="U54" s="670">
        <v>11.22</v>
      </c>
      <c r="V54" s="670">
        <v>10.5</v>
      </c>
      <c r="W54" s="670">
        <v>1.37</v>
      </c>
      <c r="X54" s="670">
        <v>55.42</v>
      </c>
      <c r="Y54" s="670">
        <v>17.489999999999998</v>
      </c>
    </row>
    <row r="55" spans="1:25">
      <c r="A55" s="157"/>
      <c r="B55" s="159"/>
      <c r="C55" s="159"/>
      <c r="D55" s="159"/>
      <c r="E55" s="159"/>
      <c r="F55" s="159"/>
      <c r="G55" s="159"/>
      <c r="H55" s="159"/>
      <c r="I55" s="159"/>
      <c r="O55" s="668">
        <v>52</v>
      </c>
      <c r="P55" s="669">
        <v>52</v>
      </c>
      <c r="Q55" s="670">
        <v>8.42</v>
      </c>
      <c r="R55" s="670">
        <v>3.57</v>
      </c>
      <c r="S55" s="670">
        <v>56.187571937142856</v>
      </c>
      <c r="T55" s="670">
        <v>58.452428545714284</v>
      </c>
      <c r="U55" s="670">
        <v>8.01</v>
      </c>
      <c r="V55" s="670">
        <v>10.507142884285715</v>
      </c>
      <c r="W55" s="670">
        <v>1.53</v>
      </c>
      <c r="X55" s="670">
        <v>59.550713675714292</v>
      </c>
      <c r="Y55" s="670">
        <v>18.608285904285712</v>
      </c>
    </row>
    <row r="56" spans="1:25">
      <c r="A56" s="157"/>
      <c r="B56" s="159"/>
      <c r="C56" s="159"/>
      <c r="D56" s="159"/>
      <c r="E56" s="159"/>
      <c r="F56" s="159"/>
      <c r="G56" s="159"/>
      <c r="H56" s="159"/>
      <c r="I56" s="159"/>
      <c r="N56" s="668">
        <v>2017</v>
      </c>
      <c r="O56" s="668">
        <v>1</v>
      </c>
      <c r="P56" s="669">
        <v>1</v>
      </c>
      <c r="Q56" s="670">
        <v>13.85</v>
      </c>
      <c r="R56" s="670">
        <v>11.3</v>
      </c>
      <c r="S56" s="670">
        <v>104.02</v>
      </c>
      <c r="T56" s="670">
        <v>148.43</v>
      </c>
      <c r="U56" s="670">
        <v>24.1</v>
      </c>
      <c r="V56" s="670">
        <v>10.220000000000001</v>
      </c>
      <c r="W56" s="670">
        <v>3.28</v>
      </c>
      <c r="X56" s="670">
        <v>89.46</v>
      </c>
      <c r="Y56" s="670">
        <v>25.43</v>
      </c>
    </row>
    <row r="57" spans="1:25">
      <c r="A57" s="157"/>
      <c r="B57" s="159"/>
      <c r="C57" s="159"/>
      <c r="D57" s="159"/>
      <c r="E57" s="159"/>
      <c r="F57" s="159"/>
      <c r="G57" s="159"/>
      <c r="H57" s="159"/>
      <c r="I57" s="159"/>
      <c r="P57" s="669">
        <v>2</v>
      </c>
      <c r="Q57" s="670">
        <v>14.96</v>
      </c>
      <c r="R57" s="670">
        <v>15.4</v>
      </c>
      <c r="S57" s="670">
        <v>143.97</v>
      </c>
      <c r="T57" s="670">
        <v>175.88</v>
      </c>
      <c r="U57" s="670">
        <v>33.74</v>
      </c>
      <c r="V57" s="670">
        <v>10.17</v>
      </c>
      <c r="W57" s="670">
        <v>6.45</v>
      </c>
      <c r="X57" s="670">
        <v>178.14</v>
      </c>
      <c r="Y57" s="670">
        <v>55.67</v>
      </c>
    </row>
    <row r="58" spans="1:25">
      <c r="A58" s="157"/>
      <c r="B58" s="159"/>
      <c r="C58" s="159"/>
      <c r="D58" s="159"/>
      <c r="E58" s="159"/>
      <c r="F58" s="159"/>
      <c r="G58" s="159"/>
      <c r="H58" s="159"/>
      <c r="I58" s="159"/>
      <c r="P58" s="669">
        <v>3</v>
      </c>
      <c r="Q58" s="670">
        <v>28.98</v>
      </c>
      <c r="R58" s="670">
        <v>21.94</v>
      </c>
      <c r="S58" s="670">
        <v>355.12</v>
      </c>
      <c r="T58" s="670">
        <v>177.57</v>
      </c>
      <c r="U58" s="670">
        <v>35.49</v>
      </c>
      <c r="V58" s="670">
        <v>10</v>
      </c>
      <c r="W58" s="670">
        <v>9.0500000000000007</v>
      </c>
      <c r="X58" s="670">
        <v>174.94</v>
      </c>
      <c r="Y58" s="670">
        <v>58.31</v>
      </c>
    </row>
    <row r="59" spans="1:25">
      <c r="A59" s="157"/>
      <c r="B59" s="159"/>
      <c r="C59" s="159"/>
      <c r="D59" s="159"/>
      <c r="E59" s="159"/>
      <c r="F59" s="159"/>
      <c r="G59" s="159"/>
      <c r="H59" s="159"/>
      <c r="I59" s="159"/>
      <c r="O59" s="668">
        <v>4</v>
      </c>
      <c r="P59" s="669">
        <v>4</v>
      </c>
      <c r="Q59" s="670">
        <v>30.46</v>
      </c>
      <c r="R59" s="670">
        <v>23.91</v>
      </c>
      <c r="S59" s="670">
        <v>519.4</v>
      </c>
      <c r="T59" s="670">
        <v>205.76</v>
      </c>
      <c r="U59" s="670">
        <v>48.48</v>
      </c>
      <c r="V59" s="670">
        <v>10</v>
      </c>
      <c r="W59" s="670">
        <v>2.4300000000000002</v>
      </c>
      <c r="X59" s="670">
        <v>141.31</v>
      </c>
      <c r="Y59" s="670">
        <v>47.49</v>
      </c>
    </row>
    <row r="60" spans="1:25">
      <c r="A60" s="157"/>
      <c r="B60" s="159"/>
      <c r="C60" s="159"/>
      <c r="D60" s="159"/>
      <c r="E60" s="159"/>
      <c r="F60" s="159"/>
      <c r="G60" s="159"/>
      <c r="H60" s="159"/>
      <c r="I60" s="159"/>
      <c r="P60" s="669">
        <v>5</v>
      </c>
      <c r="Q60" s="670">
        <v>21.36</v>
      </c>
      <c r="R60" s="670">
        <v>18.07</v>
      </c>
      <c r="S60" s="670">
        <v>330.78</v>
      </c>
      <c r="T60" s="670">
        <v>123.41</v>
      </c>
      <c r="U60" s="670">
        <v>25.33</v>
      </c>
      <c r="V60" s="670">
        <v>11.41</v>
      </c>
      <c r="W60" s="670">
        <v>2.87</v>
      </c>
      <c r="X60" s="670">
        <v>123.59</v>
      </c>
      <c r="Y60" s="670">
        <v>45.46</v>
      </c>
    </row>
    <row r="61" spans="1:25">
      <c r="A61" s="157"/>
      <c r="B61" s="159"/>
      <c r="C61" s="159"/>
      <c r="D61" s="159"/>
      <c r="E61" s="159"/>
      <c r="F61" s="159"/>
      <c r="G61" s="159"/>
      <c r="H61" s="159"/>
      <c r="I61" s="159"/>
      <c r="P61" s="669">
        <v>6</v>
      </c>
      <c r="Q61" s="670">
        <v>25.42</v>
      </c>
      <c r="R61" s="670">
        <v>21.42</v>
      </c>
      <c r="S61" s="670">
        <v>200.58</v>
      </c>
      <c r="T61" s="670">
        <v>108.48</v>
      </c>
      <c r="U61" s="670">
        <v>22.99</v>
      </c>
      <c r="V61" s="670">
        <v>10.57</v>
      </c>
      <c r="W61" s="670">
        <v>3.01</v>
      </c>
      <c r="X61" s="670">
        <v>85.48</v>
      </c>
      <c r="Y61" s="670">
        <v>28.56</v>
      </c>
    </row>
    <row r="62" spans="1:25">
      <c r="A62" s="157"/>
      <c r="B62" s="159"/>
      <c r="C62" s="159"/>
      <c r="D62" s="159"/>
      <c r="E62" s="159"/>
      <c r="F62" s="159"/>
      <c r="G62" s="159"/>
      <c r="H62" s="159"/>
      <c r="I62" s="159"/>
      <c r="P62" s="669">
        <v>7</v>
      </c>
      <c r="Q62" s="670">
        <v>35.43</v>
      </c>
      <c r="R62" s="670">
        <v>25.12</v>
      </c>
      <c r="S62" s="670">
        <v>393.69</v>
      </c>
      <c r="T62" s="670">
        <v>144.62</v>
      </c>
      <c r="U62" s="670">
        <v>39.44</v>
      </c>
      <c r="V62" s="670">
        <v>10</v>
      </c>
      <c r="W62" s="670">
        <v>2.88</v>
      </c>
      <c r="X62" s="670">
        <v>100.57</v>
      </c>
      <c r="Y62" s="670">
        <v>25.04</v>
      </c>
    </row>
    <row r="63" spans="1:25">
      <c r="A63" s="157"/>
      <c r="B63" s="159"/>
      <c r="C63" s="159"/>
      <c r="D63" s="159"/>
      <c r="E63" s="159"/>
      <c r="F63" s="159"/>
      <c r="G63" s="159"/>
      <c r="H63" s="159"/>
      <c r="I63" s="159"/>
      <c r="O63" s="668">
        <v>8</v>
      </c>
      <c r="P63" s="669">
        <v>8</v>
      </c>
      <c r="Q63" s="670">
        <v>30.45</v>
      </c>
      <c r="R63" s="670">
        <v>23.33</v>
      </c>
      <c r="S63" s="670">
        <v>345.37</v>
      </c>
      <c r="T63" s="670">
        <v>140.63</v>
      </c>
      <c r="U63" s="670">
        <v>30.47</v>
      </c>
      <c r="V63" s="670">
        <v>9.58</v>
      </c>
      <c r="W63" s="670">
        <v>2.0699999999999998</v>
      </c>
      <c r="X63" s="670">
        <v>163.72999999999999</v>
      </c>
      <c r="Y63" s="670">
        <v>58.84</v>
      </c>
    </row>
    <row r="64" spans="1:25" ht="6" customHeight="1">
      <c r="A64" s="157"/>
      <c r="B64" s="159"/>
      <c r="C64" s="159"/>
      <c r="D64" s="159"/>
      <c r="E64" s="159"/>
      <c r="F64" s="159"/>
      <c r="G64" s="159"/>
      <c r="H64" s="159"/>
      <c r="I64" s="159"/>
      <c r="P64" s="669">
        <v>9</v>
      </c>
      <c r="Q64" s="670">
        <v>37.72</v>
      </c>
      <c r="R64" s="670">
        <v>24.83</v>
      </c>
      <c r="S64" s="670">
        <v>567.22</v>
      </c>
      <c r="T64" s="670">
        <v>245.85</v>
      </c>
      <c r="U64" s="670">
        <v>67.56</v>
      </c>
      <c r="V64" s="670">
        <v>9.01</v>
      </c>
      <c r="W64" s="670">
        <v>7.33</v>
      </c>
      <c r="X64" s="670">
        <v>285.31</v>
      </c>
      <c r="Y64" s="670">
        <v>102.26</v>
      </c>
    </row>
    <row r="65" spans="1:25" ht="24.75" customHeight="1">
      <c r="A65" s="951" t="s">
        <v>570</v>
      </c>
      <c r="B65" s="951"/>
      <c r="C65" s="951"/>
      <c r="D65" s="951"/>
      <c r="E65" s="951"/>
      <c r="F65" s="951"/>
      <c r="G65" s="951"/>
      <c r="H65" s="951"/>
      <c r="I65" s="951"/>
      <c r="J65" s="951"/>
      <c r="K65" s="951"/>
      <c r="L65" s="951"/>
      <c r="P65" s="669">
        <v>10</v>
      </c>
      <c r="Q65" s="670">
        <v>36.46</v>
      </c>
      <c r="R65" s="670">
        <v>24.95</v>
      </c>
      <c r="S65" s="670">
        <v>467.04</v>
      </c>
      <c r="T65" s="670">
        <v>188.01</v>
      </c>
      <c r="U65" s="670">
        <v>50.5</v>
      </c>
      <c r="V65" s="670">
        <v>10.06</v>
      </c>
      <c r="W65" s="670">
        <v>3.71</v>
      </c>
      <c r="X65" s="670">
        <v>374.33</v>
      </c>
      <c r="Y65" s="670">
        <v>83.74</v>
      </c>
    </row>
    <row r="66" spans="1:25" ht="20.25" customHeight="1">
      <c r="P66" s="669">
        <v>11</v>
      </c>
      <c r="Q66" s="670">
        <v>35.590000000000003</v>
      </c>
      <c r="R66" s="670">
        <v>26.89</v>
      </c>
      <c r="S66" s="670">
        <v>448.3</v>
      </c>
      <c r="T66" s="670">
        <v>169.95</v>
      </c>
      <c r="U66" s="670">
        <v>51.21</v>
      </c>
      <c r="V66" s="670">
        <v>26.15</v>
      </c>
      <c r="W66" s="670">
        <v>8.66</v>
      </c>
      <c r="X66" s="670">
        <v>219.86</v>
      </c>
      <c r="Y66" s="670">
        <v>62.42</v>
      </c>
    </row>
    <row r="67" spans="1:25">
      <c r="O67" s="668">
        <v>12</v>
      </c>
      <c r="P67" s="669">
        <v>12</v>
      </c>
      <c r="Q67" s="670">
        <v>37.82</v>
      </c>
      <c r="R67" s="670">
        <v>20.6</v>
      </c>
      <c r="S67" s="670">
        <v>350.87</v>
      </c>
      <c r="T67" s="670">
        <v>146.01</v>
      </c>
      <c r="U67" s="670">
        <v>38.08</v>
      </c>
      <c r="V67" s="670">
        <v>12.43</v>
      </c>
      <c r="W67" s="670">
        <v>5.63</v>
      </c>
      <c r="X67" s="670">
        <v>190.11</v>
      </c>
      <c r="Y67" s="670">
        <v>52.01</v>
      </c>
    </row>
    <row r="68" spans="1:25">
      <c r="P68" s="669">
        <v>13</v>
      </c>
      <c r="Q68" s="670">
        <v>35.93</v>
      </c>
      <c r="R68" s="670">
        <v>24.02</v>
      </c>
      <c r="S68" s="670">
        <v>380.48</v>
      </c>
      <c r="T68" s="670">
        <v>173.02</v>
      </c>
      <c r="U68" s="670">
        <v>38.869999999999997</v>
      </c>
      <c r="V68" s="670">
        <v>11.98</v>
      </c>
      <c r="W68" s="670">
        <v>5.83</v>
      </c>
      <c r="X68" s="670">
        <v>272.08999999999997</v>
      </c>
      <c r="Y68" s="670">
        <v>65.430000000000007</v>
      </c>
    </row>
    <row r="69" spans="1:25">
      <c r="P69" s="669">
        <v>14</v>
      </c>
      <c r="Q69" s="670">
        <v>42.9</v>
      </c>
      <c r="R69" s="670">
        <v>17.87</v>
      </c>
      <c r="S69" s="670">
        <v>427.28</v>
      </c>
      <c r="T69" s="670">
        <v>137.65</v>
      </c>
      <c r="U69" s="670">
        <v>35.950000000000003</v>
      </c>
      <c r="V69" s="670">
        <v>28.72</v>
      </c>
      <c r="W69" s="670">
        <v>4.95</v>
      </c>
      <c r="X69" s="670">
        <v>301.82</v>
      </c>
      <c r="Y69" s="670">
        <v>71.06</v>
      </c>
    </row>
    <row r="70" spans="1:25">
      <c r="P70" s="669">
        <v>15</v>
      </c>
      <c r="Q70" s="670">
        <v>31.19</v>
      </c>
      <c r="R70" s="670">
        <v>17.87</v>
      </c>
      <c r="S70" s="670">
        <v>334.14</v>
      </c>
      <c r="T70" s="670">
        <v>129.9</v>
      </c>
      <c r="U70" s="670">
        <v>29.93</v>
      </c>
      <c r="V70" s="670">
        <v>16.28</v>
      </c>
      <c r="W70" s="670">
        <v>1.82</v>
      </c>
      <c r="X70" s="670">
        <v>203.49</v>
      </c>
      <c r="Y70" s="670">
        <v>77.099999999999994</v>
      </c>
    </row>
    <row r="71" spans="1:25">
      <c r="O71" s="668">
        <v>16</v>
      </c>
      <c r="P71" s="669">
        <v>16</v>
      </c>
      <c r="Q71" s="670">
        <v>22.8</v>
      </c>
      <c r="R71" s="670">
        <v>11.46</v>
      </c>
      <c r="S71" s="670">
        <v>218.96</v>
      </c>
      <c r="T71" s="670">
        <v>100.66</v>
      </c>
      <c r="U71" s="670">
        <v>21.85</v>
      </c>
      <c r="V71" s="670">
        <v>15.43</v>
      </c>
      <c r="W71" s="670">
        <v>2.33</v>
      </c>
      <c r="X71" s="670">
        <v>155.33000000000001</v>
      </c>
      <c r="Y71" s="670">
        <v>48.77</v>
      </c>
    </row>
    <row r="72" spans="1:25">
      <c r="P72" s="669">
        <v>17</v>
      </c>
      <c r="Q72" s="670">
        <v>20.18</v>
      </c>
      <c r="R72" s="670">
        <v>11.46</v>
      </c>
      <c r="S72" s="670">
        <v>180.47</v>
      </c>
      <c r="T72" s="670">
        <v>91.24</v>
      </c>
      <c r="U72" s="670">
        <v>18.89</v>
      </c>
      <c r="V72" s="670">
        <v>12.29</v>
      </c>
      <c r="W72" s="670">
        <v>1.9</v>
      </c>
      <c r="X72" s="670">
        <v>111.37</v>
      </c>
      <c r="Y72" s="670">
        <v>34.409999999999997</v>
      </c>
    </row>
    <row r="73" spans="1:25">
      <c r="P73" s="669">
        <v>18</v>
      </c>
      <c r="Q73" s="670">
        <v>19.84</v>
      </c>
      <c r="R73" s="670">
        <v>10.36</v>
      </c>
      <c r="S73" s="670">
        <v>212.89</v>
      </c>
      <c r="T73" s="670">
        <v>98.95</v>
      </c>
      <c r="U73" s="670">
        <v>19.899999999999999</v>
      </c>
      <c r="V73" s="670">
        <v>11.64</v>
      </c>
      <c r="W73" s="670">
        <v>1.46</v>
      </c>
      <c r="X73" s="670">
        <v>117.05</v>
      </c>
      <c r="Y73" s="670">
        <v>28.8</v>
      </c>
    </row>
    <row r="74" spans="1:25">
      <c r="P74" s="669">
        <v>19</v>
      </c>
      <c r="Q74" s="670">
        <v>21.4</v>
      </c>
      <c r="R74" s="670">
        <v>9.25</v>
      </c>
      <c r="S74" s="670">
        <v>199.54</v>
      </c>
      <c r="T74" s="670">
        <v>89.02</v>
      </c>
      <c r="U74" s="670">
        <v>15.9</v>
      </c>
      <c r="V74" s="670">
        <v>11</v>
      </c>
      <c r="W74" s="670">
        <v>1.36</v>
      </c>
      <c r="X74" s="670">
        <v>79.2</v>
      </c>
      <c r="Y74" s="670">
        <v>22.78</v>
      </c>
    </row>
    <row r="75" spans="1:25">
      <c r="O75" s="668">
        <v>20</v>
      </c>
      <c r="P75" s="669">
        <v>20</v>
      </c>
      <c r="Q75" s="670">
        <v>17.23</v>
      </c>
      <c r="R75" s="670">
        <v>6.32</v>
      </c>
      <c r="S75" s="670">
        <v>136.84</v>
      </c>
      <c r="T75" s="670">
        <v>72.95</v>
      </c>
      <c r="U75" s="670">
        <v>15.03</v>
      </c>
      <c r="V75" s="670">
        <v>11</v>
      </c>
      <c r="W75" s="670">
        <v>1.98</v>
      </c>
      <c r="X75" s="670">
        <v>69.37</v>
      </c>
      <c r="Y75" s="670">
        <v>17.8</v>
      </c>
    </row>
    <row r="76" spans="1:25">
      <c r="P76" s="669">
        <v>21</v>
      </c>
      <c r="Q76" s="670">
        <v>16.09</v>
      </c>
      <c r="R76" s="670">
        <v>6.32</v>
      </c>
      <c r="S76" s="670">
        <v>116.86</v>
      </c>
      <c r="T76" s="670">
        <v>99.42</v>
      </c>
      <c r="U76" s="670">
        <v>20.059999999999999</v>
      </c>
      <c r="V76" s="670">
        <v>11.01</v>
      </c>
      <c r="W76" s="670">
        <v>1.6</v>
      </c>
      <c r="X76" s="670">
        <v>68.8</v>
      </c>
      <c r="Y76" s="670">
        <v>17.84</v>
      </c>
    </row>
    <row r="77" spans="1:25">
      <c r="P77" s="669">
        <v>22</v>
      </c>
      <c r="Q77" s="670">
        <v>15.1</v>
      </c>
      <c r="R77" s="670">
        <v>5.59</v>
      </c>
      <c r="S77" s="670">
        <v>118.58</v>
      </c>
      <c r="T77" s="670">
        <v>79.099999999999994</v>
      </c>
      <c r="U77" s="670">
        <v>16</v>
      </c>
      <c r="V77" s="670">
        <v>11</v>
      </c>
      <c r="W77" s="670">
        <v>1.01</v>
      </c>
      <c r="X77" s="670">
        <v>69.05</v>
      </c>
      <c r="Y77" s="670">
        <v>16.37</v>
      </c>
    </row>
    <row r="78" spans="1:25">
      <c r="P78" s="669">
        <v>23</v>
      </c>
      <c r="Q78" s="670">
        <v>14.28</v>
      </c>
      <c r="R78" s="670">
        <v>4.8499999999999996</v>
      </c>
      <c r="S78" s="670">
        <v>112.05</v>
      </c>
      <c r="T78" s="670">
        <v>63.27</v>
      </c>
      <c r="U78" s="670">
        <v>13.78</v>
      </c>
      <c r="V78" s="670">
        <v>11</v>
      </c>
      <c r="W78" s="670">
        <v>1.82</v>
      </c>
      <c r="X78" s="670">
        <v>54.09</v>
      </c>
      <c r="Y78" s="670">
        <v>13.15</v>
      </c>
    </row>
    <row r="79" spans="1:25">
      <c r="O79" s="668">
        <v>24</v>
      </c>
      <c r="P79" s="669">
        <v>24</v>
      </c>
      <c r="Q79" s="670">
        <v>13.3</v>
      </c>
      <c r="R79" s="670">
        <v>4.8499999999999996</v>
      </c>
      <c r="S79" s="670">
        <v>91.62</v>
      </c>
      <c r="T79" s="670">
        <v>49.79</v>
      </c>
      <c r="U79" s="670">
        <v>11.29</v>
      </c>
      <c r="V79" s="670">
        <v>11</v>
      </c>
      <c r="W79" s="670">
        <v>1.89</v>
      </c>
      <c r="X79" s="670">
        <v>45.31</v>
      </c>
      <c r="Y79" s="670">
        <v>10.85</v>
      </c>
    </row>
    <row r="80" spans="1:25">
      <c r="P80" s="669">
        <v>25</v>
      </c>
      <c r="Q80" s="670">
        <v>12.63</v>
      </c>
      <c r="R80" s="670">
        <v>3.77</v>
      </c>
      <c r="S80" s="670">
        <v>81.33</v>
      </c>
      <c r="T80" s="670">
        <v>46.74</v>
      </c>
      <c r="U80" s="670">
        <v>10.02</v>
      </c>
      <c r="V80" s="670">
        <v>11</v>
      </c>
      <c r="W80" s="670">
        <v>1.77</v>
      </c>
      <c r="X80" s="670">
        <v>40.42</v>
      </c>
      <c r="Y80" s="670">
        <v>8.98</v>
      </c>
    </row>
    <row r="81" spans="15:25">
      <c r="P81" s="669">
        <v>26</v>
      </c>
      <c r="Q81" s="670">
        <v>11.92</v>
      </c>
      <c r="R81" s="670">
        <v>3.77</v>
      </c>
      <c r="S81" s="670">
        <v>80.900000000000006</v>
      </c>
      <c r="T81" s="670">
        <v>41.45</v>
      </c>
      <c r="U81" s="670">
        <v>9.24</v>
      </c>
      <c r="V81" s="670">
        <v>12</v>
      </c>
      <c r="W81" s="670">
        <v>1.86</v>
      </c>
      <c r="X81" s="670">
        <v>37.89</v>
      </c>
      <c r="Y81" s="670">
        <v>9.41</v>
      </c>
    </row>
    <row r="82" spans="15:25">
      <c r="P82" s="669">
        <v>27</v>
      </c>
      <c r="Q82" s="670">
        <v>11.92</v>
      </c>
      <c r="R82" s="670">
        <v>3.91</v>
      </c>
      <c r="S82" s="670">
        <v>82.99</v>
      </c>
      <c r="T82" s="670">
        <v>60.31</v>
      </c>
      <c r="U82" s="670">
        <v>9.73</v>
      </c>
      <c r="V82" s="670">
        <v>12</v>
      </c>
      <c r="W82" s="670">
        <v>1.9</v>
      </c>
      <c r="X82" s="670">
        <v>38.229999999999997</v>
      </c>
      <c r="Y82" s="670">
        <v>8.58</v>
      </c>
    </row>
    <row r="83" spans="15:25">
      <c r="O83" s="668">
        <v>28</v>
      </c>
      <c r="P83" s="669">
        <v>28</v>
      </c>
      <c r="Q83" s="670">
        <v>11.04</v>
      </c>
      <c r="R83" s="670">
        <v>3.91</v>
      </c>
      <c r="S83" s="670">
        <v>71.739999999999995</v>
      </c>
      <c r="T83" s="670">
        <v>39.090000000000003</v>
      </c>
      <c r="U83" s="670">
        <v>8.42</v>
      </c>
      <c r="V83" s="670">
        <v>12</v>
      </c>
      <c r="W83" s="670">
        <v>1.65</v>
      </c>
      <c r="X83" s="670">
        <v>33.9</v>
      </c>
      <c r="Y83" s="670">
        <v>6.64</v>
      </c>
    </row>
    <row r="84" spans="15:25">
      <c r="P84" s="669">
        <v>29</v>
      </c>
      <c r="Q84" s="670">
        <v>10.27</v>
      </c>
      <c r="R84" s="670">
        <v>3.42</v>
      </c>
      <c r="S84" s="670">
        <v>67.8</v>
      </c>
      <c r="T84" s="670">
        <v>32.590000000000003</v>
      </c>
      <c r="U84" s="670">
        <v>7.7</v>
      </c>
      <c r="V84" s="670">
        <v>10.51</v>
      </c>
      <c r="W84" s="670">
        <v>1.79</v>
      </c>
      <c r="X84" s="670">
        <v>31.97</v>
      </c>
      <c r="Y84" s="670">
        <v>6.49</v>
      </c>
    </row>
    <row r="85" spans="15:25">
      <c r="P85" s="669">
        <v>30</v>
      </c>
      <c r="Q85" s="670">
        <v>9.4700000000000006</v>
      </c>
      <c r="R85" s="670">
        <v>3.42</v>
      </c>
      <c r="S85" s="670">
        <v>69.62</v>
      </c>
      <c r="T85" s="670">
        <v>28.39</v>
      </c>
      <c r="U85" s="670">
        <v>7.39</v>
      </c>
      <c r="V85" s="670">
        <v>12</v>
      </c>
      <c r="W85" s="670">
        <v>1.64</v>
      </c>
      <c r="X85" s="670">
        <v>31.76</v>
      </c>
      <c r="Y85" s="670">
        <v>6.15</v>
      </c>
    </row>
    <row r="86" spans="15:25">
      <c r="P86" s="669">
        <v>31</v>
      </c>
      <c r="Q86" s="670">
        <v>9.0500000000000007</v>
      </c>
      <c r="R86" s="670">
        <v>3.3</v>
      </c>
      <c r="S86" s="670">
        <v>61.71</v>
      </c>
      <c r="T86" s="670">
        <v>26.51</v>
      </c>
      <c r="U86" s="670">
        <v>7.02</v>
      </c>
      <c r="V86" s="670">
        <v>12</v>
      </c>
      <c r="W86" s="670">
        <v>1.87</v>
      </c>
      <c r="X86" s="670">
        <v>31.68</v>
      </c>
      <c r="Y86" s="670">
        <v>5.51</v>
      </c>
    </row>
    <row r="87" spans="15:25">
      <c r="O87" s="668">
        <v>32</v>
      </c>
      <c r="P87" s="669">
        <v>32</v>
      </c>
      <c r="Q87" s="670">
        <v>9.9</v>
      </c>
      <c r="R87" s="670">
        <v>2.68</v>
      </c>
      <c r="S87" s="670">
        <v>65.38</v>
      </c>
      <c r="T87" s="670">
        <v>24.1</v>
      </c>
      <c r="U87" s="670">
        <v>6.7</v>
      </c>
      <c r="V87" s="670">
        <v>12</v>
      </c>
      <c r="W87" s="670">
        <v>1.95</v>
      </c>
      <c r="X87" s="670">
        <v>31.01</v>
      </c>
      <c r="Y87" s="670">
        <v>5.16</v>
      </c>
    </row>
    <row r="88" spans="15:25">
      <c r="P88" s="669">
        <v>33</v>
      </c>
      <c r="Q88" s="670">
        <v>9.17</v>
      </c>
      <c r="R88" s="670">
        <v>2.4300000000000002</v>
      </c>
      <c r="S88" s="670">
        <v>59.63</v>
      </c>
      <c r="T88" s="670">
        <v>24.29</v>
      </c>
      <c r="U88" s="670">
        <v>6.44</v>
      </c>
      <c r="V88" s="670">
        <v>12</v>
      </c>
      <c r="W88" s="670">
        <v>1.82</v>
      </c>
      <c r="X88" s="670">
        <v>30.23</v>
      </c>
      <c r="Y88" s="670">
        <v>5.27</v>
      </c>
    </row>
    <row r="89" spans="15:25">
      <c r="P89" s="669">
        <v>34</v>
      </c>
      <c r="Q89" s="670">
        <v>7.78</v>
      </c>
      <c r="R89" s="670">
        <v>2.61</v>
      </c>
      <c r="S89" s="670">
        <v>60.62</v>
      </c>
      <c r="T89" s="670">
        <v>25.9</v>
      </c>
      <c r="U89" s="670">
        <v>6.62</v>
      </c>
      <c r="V89" s="670">
        <v>12</v>
      </c>
      <c r="W89" s="670">
        <v>1.89</v>
      </c>
      <c r="X89" s="670">
        <v>32.17</v>
      </c>
      <c r="Y89" s="670">
        <v>5.0599999999999996</v>
      </c>
    </row>
    <row r="90" spans="15:25">
      <c r="P90" s="669">
        <v>35</v>
      </c>
      <c r="Q90" s="670">
        <v>7.73</v>
      </c>
      <c r="R90" s="670">
        <v>3.07</v>
      </c>
      <c r="S90" s="670">
        <v>58.47</v>
      </c>
      <c r="T90" s="670">
        <v>26.33</v>
      </c>
      <c r="U90" s="670">
        <v>6.66</v>
      </c>
      <c r="V90" s="670">
        <v>12.14</v>
      </c>
      <c r="W90" s="670">
        <v>1.97</v>
      </c>
      <c r="X90" s="670">
        <v>31.63</v>
      </c>
      <c r="Y90" s="670">
        <v>4.84</v>
      </c>
    </row>
    <row r="91" spans="15:25">
      <c r="O91" s="668">
        <v>36</v>
      </c>
      <c r="P91" s="669">
        <v>36</v>
      </c>
      <c r="Q91" s="670">
        <v>7.1</v>
      </c>
      <c r="R91" s="670">
        <v>3.57</v>
      </c>
      <c r="S91" s="670">
        <v>61.13</v>
      </c>
      <c r="T91" s="670">
        <v>27.35</v>
      </c>
      <c r="U91" s="670">
        <v>6.84</v>
      </c>
      <c r="V91" s="670">
        <v>13</v>
      </c>
      <c r="W91" s="670">
        <v>1.76</v>
      </c>
      <c r="X91" s="670">
        <v>34.090000000000003</v>
      </c>
      <c r="Y91" s="670">
        <v>4.8899999999999997</v>
      </c>
    </row>
    <row r="92" spans="15:25">
      <c r="P92" s="669">
        <v>37</v>
      </c>
      <c r="Q92" s="670">
        <v>7.53</v>
      </c>
      <c r="R92" s="670">
        <v>5.04</v>
      </c>
      <c r="S92" s="670">
        <v>59.93</v>
      </c>
      <c r="T92" s="670">
        <v>34.56</v>
      </c>
      <c r="U92" s="670">
        <v>7.96</v>
      </c>
      <c r="V92" s="670">
        <v>13</v>
      </c>
      <c r="W92" s="670">
        <v>1.7</v>
      </c>
      <c r="X92" s="670">
        <v>38.06</v>
      </c>
      <c r="Y92" s="670">
        <v>8.4</v>
      </c>
    </row>
    <row r="93" spans="15:25">
      <c r="P93" s="669">
        <v>38</v>
      </c>
      <c r="Q93" s="670">
        <v>9.73</v>
      </c>
      <c r="R93" s="670">
        <v>3.75</v>
      </c>
      <c r="S93" s="670">
        <v>64.319999999999993</v>
      </c>
      <c r="T93" s="670">
        <v>41.74</v>
      </c>
      <c r="U93" s="670">
        <v>9.43</v>
      </c>
      <c r="V93" s="670">
        <v>13</v>
      </c>
      <c r="W93" s="670">
        <v>1.77</v>
      </c>
      <c r="X93" s="670">
        <v>41.12</v>
      </c>
      <c r="Y93" s="670">
        <v>6.42</v>
      </c>
    </row>
    <row r="94" spans="15:25">
      <c r="O94" s="668">
        <v>39</v>
      </c>
      <c r="P94" s="669">
        <v>39</v>
      </c>
      <c r="Q94" s="670">
        <v>7.21</v>
      </c>
      <c r="R94" s="670">
        <v>3.83</v>
      </c>
      <c r="S94" s="670">
        <v>66.83</v>
      </c>
      <c r="T94" s="670">
        <v>46.48</v>
      </c>
      <c r="U94" s="670">
        <v>7.93</v>
      </c>
      <c r="V94" s="670">
        <v>13</v>
      </c>
      <c r="W94" s="670">
        <v>1.99</v>
      </c>
      <c r="X94" s="670">
        <v>33.06</v>
      </c>
      <c r="Y94" s="670">
        <v>7.98</v>
      </c>
    </row>
    <row r="95" spans="15:25">
      <c r="P95" s="669">
        <v>40</v>
      </c>
      <c r="Q95" s="670">
        <v>6.89</v>
      </c>
      <c r="R95" s="670">
        <v>3.2</v>
      </c>
      <c r="S95" s="670">
        <v>56.32</v>
      </c>
      <c r="T95" s="670">
        <v>28.11</v>
      </c>
      <c r="U95" s="670">
        <v>6.02</v>
      </c>
      <c r="V95" s="670">
        <v>13</v>
      </c>
      <c r="W95" s="670">
        <v>1.48</v>
      </c>
      <c r="X95" s="670">
        <v>35.54</v>
      </c>
      <c r="Y95" s="670">
        <v>5.32</v>
      </c>
    </row>
    <row r="96" spans="15:25">
      <c r="P96" s="669">
        <v>41</v>
      </c>
      <c r="Q96" s="670">
        <v>7.51</v>
      </c>
      <c r="R96" s="670">
        <v>3.26</v>
      </c>
      <c r="S96" s="670">
        <v>57.18</v>
      </c>
      <c r="T96" s="670">
        <v>32.11</v>
      </c>
      <c r="U96" s="670">
        <v>6.5</v>
      </c>
      <c r="V96" s="670">
        <v>13</v>
      </c>
      <c r="W96" s="670">
        <v>1.53</v>
      </c>
      <c r="X96" s="670">
        <v>37.47</v>
      </c>
      <c r="Y96" s="670">
        <v>4.95</v>
      </c>
    </row>
    <row r="97" spans="14:25">
      <c r="P97" s="669">
        <v>42</v>
      </c>
      <c r="Q97" s="670">
        <v>7.92</v>
      </c>
      <c r="R97" s="670">
        <v>3.59</v>
      </c>
      <c r="S97" s="670">
        <v>71.87</v>
      </c>
      <c r="T97" s="670">
        <v>64.69</v>
      </c>
      <c r="U97" s="670">
        <v>9.44</v>
      </c>
      <c r="V97" s="670">
        <v>13</v>
      </c>
      <c r="W97" s="670">
        <v>1.93</v>
      </c>
      <c r="X97" s="670">
        <v>52.42</v>
      </c>
      <c r="Y97" s="670">
        <v>7.39</v>
      </c>
    </row>
    <row r="98" spans="14:25">
      <c r="O98" s="668">
        <v>43</v>
      </c>
      <c r="P98" s="669">
        <v>43</v>
      </c>
      <c r="Q98" s="670">
        <v>9.16</v>
      </c>
      <c r="R98" s="670">
        <v>3.99</v>
      </c>
      <c r="S98" s="670">
        <v>73.22</v>
      </c>
      <c r="T98" s="670">
        <v>71.16</v>
      </c>
      <c r="U98" s="670">
        <v>8.8800000000000008</v>
      </c>
      <c r="V98" s="670">
        <v>13</v>
      </c>
      <c r="W98" s="670">
        <v>1.69</v>
      </c>
      <c r="X98" s="670">
        <v>43.93</v>
      </c>
      <c r="Y98" s="670">
        <v>6.18</v>
      </c>
    </row>
    <row r="99" spans="14:25">
      <c r="P99" s="669">
        <v>44</v>
      </c>
      <c r="Q99" s="670">
        <v>8.81</v>
      </c>
      <c r="R99" s="670">
        <v>5.0199999999999996</v>
      </c>
      <c r="S99" s="670">
        <v>75.150000000000006</v>
      </c>
      <c r="T99" s="670">
        <v>62.33</v>
      </c>
      <c r="U99" s="670">
        <v>10.59</v>
      </c>
      <c r="V99" s="670">
        <v>13</v>
      </c>
      <c r="W99" s="670">
        <v>1.65</v>
      </c>
      <c r="X99" s="670">
        <v>40.229999999999997</v>
      </c>
      <c r="Y99" s="670">
        <v>8.7899999999999991</v>
      </c>
    </row>
    <row r="100" spans="14:25">
      <c r="P100" s="669">
        <v>45</v>
      </c>
      <c r="Q100" s="670">
        <v>8.3800000000000008</v>
      </c>
      <c r="R100" s="670">
        <v>4.2</v>
      </c>
      <c r="S100" s="670">
        <v>67.39</v>
      </c>
      <c r="T100" s="670">
        <v>61.76</v>
      </c>
      <c r="U100" s="670">
        <v>10.039999999999999</v>
      </c>
      <c r="V100" s="670">
        <v>13</v>
      </c>
      <c r="W100" s="670">
        <v>1.51</v>
      </c>
      <c r="X100" s="670">
        <v>41.85</v>
      </c>
      <c r="Y100" s="670">
        <v>11.45</v>
      </c>
    </row>
    <row r="101" spans="14:25">
      <c r="P101" s="669">
        <v>46</v>
      </c>
      <c r="Q101" s="670">
        <v>7.55</v>
      </c>
      <c r="R101" s="670">
        <v>3.7</v>
      </c>
      <c r="S101" s="670">
        <v>66.959999999999994</v>
      </c>
      <c r="T101" s="670">
        <v>66.040000000000006</v>
      </c>
      <c r="U101" s="670">
        <v>8.7799999999999994</v>
      </c>
      <c r="V101" s="670">
        <v>13</v>
      </c>
      <c r="W101" s="670">
        <v>1.65</v>
      </c>
      <c r="X101" s="670">
        <v>70.849999999999994</v>
      </c>
      <c r="Y101" s="670">
        <v>14.58</v>
      </c>
    </row>
    <row r="102" spans="14:25">
      <c r="P102" s="669">
        <v>47</v>
      </c>
      <c r="Q102" s="670">
        <v>7.39</v>
      </c>
      <c r="R102" s="670">
        <v>3.85</v>
      </c>
      <c r="S102" s="670">
        <v>67.72</v>
      </c>
      <c r="T102" s="670">
        <v>52.82</v>
      </c>
      <c r="U102" s="670">
        <v>7.81</v>
      </c>
      <c r="V102" s="670">
        <v>13</v>
      </c>
      <c r="W102" s="670">
        <v>1.6</v>
      </c>
      <c r="X102" s="670">
        <v>64.819999999999993</v>
      </c>
      <c r="Y102" s="670">
        <v>12.14</v>
      </c>
    </row>
    <row r="103" spans="14:25">
      <c r="O103" s="668">
        <v>48</v>
      </c>
      <c r="P103" s="669">
        <v>48</v>
      </c>
      <c r="Q103" s="670">
        <v>7.9678571564285718</v>
      </c>
      <c r="R103" s="670">
        <v>3.558142900428571</v>
      </c>
      <c r="S103" s="670">
        <v>77.366571698571434</v>
      </c>
      <c r="T103" s="670">
        <v>66.577285762857144</v>
      </c>
      <c r="U103" s="670">
        <v>9.1851428580000007</v>
      </c>
      <c r="V103" s="670">
        <v>13.005714417142858</v>
      </c>
      <c r="W103" s="670">
        <v>1.6</v>
      </c>
      <c r="X103" s="670">
        <v>47.846427917142854</v>
      </c>
      <c r="Y103" s="670">
        <v>12.516714369142859</v>
      </c>
    </row>
    <row r="104" spans="14:25">
      <c r="P104" s="669">
        <v>49</v>
      </c>
      <c r="Q104" s="670">
        <v>8.4875713758571436</v>
      </c>
      <c r="R104" s="670">
        <v>3.2600000074285718</v>
      </c>
      <c r="S104" s="670">
        <v>84.55585806714285</v>
      </c>
      <c r="T104" s="670">
        <v>72.732000077142857</v>
      </c>
      <c r="U104" s="670">
        <v>14.04828548342857</v>
      </c>
      <c r="V104" s="670">
        <v>13.002857208571429</v>
      </c>
      <c r="W104" s="670">
        <v>1.6</v>
      </c>
      <c r="X104" s="670">
        <v>57.322143555714298</v>
      </c>
      <c r="Y104" s="670">
        <v>18.826999800000003</v>
      </c>
    </row>
    <row r="105" spans="14:25">
      <c r="P105" s="669">
        <v>50</v>
      </c>
      <c r="Q105" s="670">
        <v>8.7257142747142868</v>
      </c>
      <c r="R105" s="670">
        <v>3.4628571441428577</v>
      </c>
      <c r="S105" s="670">
        <v>77.460142951428566</v>
      </c>
      <c r="T105" s="670">
        <v>64.097142899999994</v>
      </c>
      <c r="U105" s="670">
        <v>11.032857077571427</v>
      </c>
      <c r="V105" s="670">
        <v>13</v>
      </c>
      <c r="W105" s="670">
        <v>1.6000000240000001</v>
      </c>
      <c r="X105" s="670">
        <v>51.470714571428573</v>
      </c>
      <c r="Y105" s="670">
        <v>20.280285972857143</v>
      </c>
    </row>
    <row r="106" spans="14:25">
      <c r="P106" s="669">
        <v>51</v>
      </c>
      <c r="Q106" s="670">
        <v>9.7215715127142861</v>
      </c>
      <c r="R106" s="670">
        <v>4.2539999484285715</v>
      </c>
      <c r="S106" s="670">
        <v>78.166143688571424</v>
      </c>
      <c r="T106" s="670">
        <v>94.237856191428577</v>
      </c>
      <c r="U106" s="670">
        <v>14.381428445285712</v>
      </c>
      <c r="V106" s="670">
        <v>13.01285743857143</v>
      </c>
      <c r="W106" s="670">
        <v>1.6257142851428572</v>
      </c>
      <c r="X106" s="670">
        <v>65.58357184285714</v>
      </c>
      <c r="Y106" s="670">
        <v>34.849000112857141</v>
      </c>
    </row>
    <row r="107" spans="14:25">
      <c r="O107" s="668">
        <v>52</v>
      </c>
      <c r="P107" s="669">
        <v>52</v>
      </c>
      <c r="Q107" s="670">
        <v>10.323285784571427</v>
      </c>
      <c r="R107" s="670">
        <v>4.6457142829999993</v>
      </c>
      <c r="S107" s="670">
        <v>86.972714017142849</v>
      </c>
      <c r="T107" s="670">
        <v>94.357285634285716</v>
      </c>
      <c r="U107" s="670">
        <v>13.293999945714287</v>
      </c>
      <c r="V107" s="670">
        <v>13.09681579142857</v>
      </c>
      <c r="W107" s="670">
        <v>1.644999981</v>
      </c>
      <c r="X107" s="670">
        <v>104.27285767571428</v>
      </c>
      <c r="Y107" s="670">
        <v>35.335714887142856</v>
      </c>
    </row>
    <row r="108" spans="14:25">
      <c r="N108" s="668">
        <v>2018</v>
      </c>
      <c r="O108" s="668">
        <v>1</v>
      </c>
      <c r="P108" s="669">
        <v>1</v>
      </c>
      <c r="Q108" s="670">
        <v>10.34</v>
      </c>
      <c r="R108" s="670">
        <v>4.4628571428571426</v>
      </c>
      <c r="S108" s="670">
        <v>140.04142857142858</v>
      </c>
      <c r="T108" s="670">
        <v>143.09</v>
      </c>
      <c r="U108" s="670">
        <v>20.63</v>
      </c>
      <c r="V108" s="670">
        <v>13</v>
      </c>
      <c r="W108" s="670">
        <v>1.64</v>
      </c>
      <c r="X108" s="670">
        <v>201.2428571428571</v>
      </c>
      <c r="Y108" s="670">
        <v>63.23</v>
      </c>
    </row>
    <row r="109" spans="14:25">
      <c r="P109" s="669">
        <v>2</v>
      </c>
      <c r="Q109" s="670">
        <v>13.730999947142859</v>
      </c>
      <c r="R109" s="670">
        <v>3.5944285392857145</v>
      </c>
      <c r="S109" s="670">
        <v>209.91800362857143</v>
      </c>
      <c r="T109" s="670">
        <v>160.98214394285716</v>
      </c>
      <c r="U109" s="670">
        <v>36.213856559999996</v>
      </c>
      <c r="V109" s="670">
        <v>11.774285724285715</v>
      </c>
      <c r="W109" s="670">
        <v>1.5914286031428568</v>
      </c>
      <c r="X109" s="670">
        <v>229.4250030571429</v>
      </c>
      <c r="Y109" s="670">
        <v>56.654285431428562</v>
      </c>
    </row>
    <row r="110" spans="14:25">
      <c r="P110" s="669">
        <v>3</v>
      </c>
      <c r="Q110" s="670">
        <v>15.983285902857142</v>
      </c>
      <c r="R110" s="670">
        <v>8.3045714242857152</v>
      </c>
      <c r="S110" s="670">
        <v>223.6645725857143</v>
      </c>
      <c r="T110" s="670">
        <v>190.44042751428574</v>
      </c>
      <c r="U110" s="670">
        <v>30.819142750000001</v>
      </c>
      <c r="V110" s="670">
        <v>11.857142857142858</v>
      </c>
      <c r="W110" s="670">
        <v>1.5814286125714285</v>
      </c>
      <c r="X110" s="670">
        <v>261.56357028571426</v>
      </c>
      <c r="Y110" s="670">
        <v>68.516428267142857</v>
      </c>
    </row>
    <row r="111" spans="14:25">
      <c r="O111" s="668">
        <v>4</v>
      </c>
      <c r="P111" s="669">
        <v>4</v>
      </c>
      <c r="Q111" s="670">
        <v>21.988571574285714</v>
      </c>
      <c r="R111" s="670">
        <v>15.598142828000002</v>
      </c>
      <c r="S111" s="670">
        <v>346.88342720000003</v>
      </c>
      <c r="T111" s="670">
        <v>205.5832868285714</v>
      </c>
      <c r="U111" s="670">
        <v>40.893000467142862</v>
      </c>
      <c r="V111" s="670">
        <v>18.734285627142857</v>
      </c>
      <c r="W111" s="670">
        <v>1.5700000519999997</v>
      </c>
      <c r="X111" s="670">
        <v>261.98000009999998</v>
      </c>
      <c r="Y111" s="670">
        <v>58.935427530000005</v>
      </c>
    </row>
    <row r="112" spans="14:25">
      <c r="P112" s="669">
        <v>5</v>
      </c>
      <c r="Q112" s="670">
        <v>17.729000225714284</v>
      </c>
      <c r="R112" s="670">
        <v>13.724571365714285</v>
      </c>
      <c r="S112" s="670">
        <v>214.95928737142859</v>
      </c>
      <c r="T112" s="670">
        <v>93.607142857142861</v>
      </c>
      <c r="U112" s="670">
        <v>17.748285841428572</v>
      </c>
      <c r="V112" s="670">
        <v>23.390000208571426</v>
      </c>
      <c r="W112" s="670">
        <v>1.5700000519999997</v>
      </c>
      <c r="X112" s="670">
        <v>141.83571514285714</v>
      </c>
      <c r="Y112" s="670">
        <v>45.332857951428579</v>
      </c>
    </row>
    <row r="113" spans="15:25">
      <c r="P113" s="669">
        <v>6</v>
      </c>
      <c r="Q113" s="670">
        <v>13.582571572857143</v>
      </c>
      <c r="R113" s="670">
        <v>8.6634286477142854</v>
      </c>
      <c r="S113" s="670">
        <v>166.34242902857142</v>
      </c>
      <c r="T113" s="670">
        <v>108.25571334000001</v>
      </c>
      <c r="U113" s="670">
        <v>18.79157175142857</v>
      </c>
      <c r="V113" s="670">
        <v>20.201017107142857</v>
      </c>
      <c r="W113" s="670">
        <v>2.3694285491428571</v>
      </c>
      <c r="X113" s="670">
        <v>164.55714089999998</v>
      </c>
      <c r="Y113" s="670">
        <v>65.987571171428584</v>
      </c>
    </row>
    <row r="114" spans="15:25">
      <c r="P114" s="669">
        <v>7</v>
      </c>
      <c r="Q114" s="670">
        <v>14.722571237142859</v>
      </c>
      <c r="R114" s="670">
        <v>11.071428435428571</v>
      </c>
      <c r="S114" s="670">
        <v>239.50057330000001</v>
      </c>
      <c r="T114" s="670">
        <v>202.98199900000003</v>
      </c>
      <c r="U114" s="670">
        <v>42.088571821428573</v>
      </c>
      <c r="V114" s="670">
        <v>15.283185821428571</v>
      </c>
      <c r="W114" s="670">
        <v>3.1689999100000001</v>
      </c>
      <c r="X114" s="670">
        <v>355.31285748571423</v>
      </c>
      <c r="Y114" s="670">
        <v>97.722999031428586</v>
      </c>
    </row>
    <row r="115" spans="15:25">
      <c r="O115" s="668">
        <v>8</v>
      </c>
      <c r="P115" s="669">
        <v>8</v>
      </c>
      <c r="Q115" s="670">
        <v>18.48</v>
      </c>
      <c r="R115" s="670">
        <v>14.97</v>
      </c>
      <c r="S115" s="670">
        <v>357.61814662857148</v>
      </c>
      <c r="T115" s="670">
        <v>251.1</v>
      </c>
      <c r="U115" s="670">
        <v>43.74</v>
      </c>
      <c r="V115" s="670">
        <v>16.564</v>
      </c>
      <c r="W115" s="670">
        <v>3.16</v>
      </c>
      <c r="X115" s="670">
        <v>437.78</v>
      </c>
      <c r="Y115" s="670">
        <v>142.13</v>
      </c>
    </row>
    <row r="116" spans="15:25">
      <c r="P116" s="669">
        <v>9</v>
      </c>
      <c r="Q116" s="670">
        <v>21.652428627142854</v>
      </c>
      <c r="R116" s="670">
        <v>14.185285431142857</v>
      </c>
      <c r="S116" s="670">
        <v>333.90885488571433</v>
      </c>
      <c r="T116" s="670">
        <v>204.95843285714287</v>
      </c>
      <c r="U116" s="670">
        <v>31.755000522857138</v>
      </c>
      <c r="V116" s="670">
        <v>15.852976190476195</v>
      </c>
      <c r="W116" s="670">
        <v>3.1689999100000001</v>
      </c>
      <c r="X116" s="670">
        <v>424.14571271428576</v>
      </c>
      <c r="Y116" s="670">
        <v>142.13857270714286</v>
      </c>
    </row>
    <row r="117" spans="15:25">
      <c r="P117" s="669">
        <v>10</v>
      </c>
      <c r="Q117" s="670">
        <v>30.272714344285713</v>
      </c>
      <c r="R117" s="670">
        <v>17.434571538571429</v>
      </c>
      <c r="S117" s="670">
        <v>431.64157101428572</v>
      </c>
      <c r="T117" s="670">
        <v>177.15485925714287</v>
      </c>
      <c r="U117" s="670">
        <v>31.196571622857142</v>
      </c>
      <c r="V117" s="670">
        <v>14.442</v>
      </c>
      <c r="W117" s="670">
        <v>4.7437142644285712</v>
      </c>
      <c r="X117" s="670">
        <v>293.69142804285718</v>
      </c>
      <c r="Y117" s="670">
        <v>72.30971418</v>
      </c>
    </row>
    <row r="118" spans="15:25">
      <c r="P118" s="669">
        <v>11</v>
      </c>
      <c r="Q118" s="670">
        <v>28.071857179999999</v>
      </c>
      <c r="R118" s="670">
        <v>17.048571724285715</v>
      </c>
      <c r="S118" s="670">
        <v>485.98543439999997</v>
      </c>
      <c r="T118" s="670">
        <v>169.375</v>
      </c>
      <c r="U118" s="670">
        <v>52.626284462857136</v>
      </c>
      <c r="V118" s="670">
        <v>18.273</v>
      </c>
      <c r="W118" s="670">
        <v>3.0879999738571429</v>
      </c>
      <c r="X118" s="670">
        <v>511.54500034285724</v>
      </c>
      <c r="Y118" s="670">
        <v>119.7894287057143</v>
      </c>
    </row>
    <row r="119" spans="15:25">
      <c r="O119" s="668">
        <v>12</v>
      </c>
      <c r="P119" s="669">
        <v>12</v>
      </c>
      <c r="Q119" s="670">
        <v>29.90999984714286</v>
      </c>
      <c r="R119" s="670">
        <v>21.62</v>
      </c>
      <c r="S119" s="670">
        <v>465.24414497142863</v>
      </c>
      <c r="T119" s="670">
        <v>201.58328465714288</v>
      </c>
      <c r="U119" s="670">
        <v>57.669144221428567</v>
      </c>
      <c r="V119" s="670">
        <v>23.244</v>
      </c>
      <c r="W119" s="670">
        <v>4.5095714328571432</v>
      </c>
      <c r="X119" s="670">
        <v>433.89143152857145</v>
      </c>
      <c r="Y119" s="670">
        <v>152.80443028571429</v>
      </c>
    </row>
    <row r="120" spans="15:25">
      <c r="P120" s="669">
        <v>13</v>
      </c>
      <c r="Q120" s="670">
        <v>28.360142844285718</v>
      </c>
      <c r="R120" s="670">
        <v>17.439428465714283</v>
      </c>
      <c r="S120" s="670">
        <v>396.37686155714289</v>
      </c>
      <c r="T120" s="670">
        <v>163.75585502857143</v>
      </c>
      <c r="U120" s="670">
        <v>35.725570951428573</v>
      </c>
      <c r="V120" s="670">
        <v>23.143392837142859</v>
      </c>
      <c r="W120" s="670">
        <v>3.3929999999999998</v>
      </c>
      <c r="X120" s="670">
        <v>281.79928587142859</v>
      </c>
      <c r="Y120" s="670">
        <v>107.32928468714286</v>
      </c>
    </row>
    <row r="121" spans="15:25">
      <c r="P121" s="669">
        <v>14</v>
      </c>
      <c r="Q121" s="670">
        <v>23.830285752857144</v>
      </c>
      <c r="R121" s="670">
        <v>12.833285604571429</v>
      </c>
      <c r="S121" s="670">
        <v>226.32643345714288</v>
      </c>
      <c r="T121" s="670">
        <v>133.53585814285714</v>
      </c>
      <c r="U121" s="670">
        <v>28.622000282857147</v>
      </c>
      <c r="V121" s="670">
        <v>19.16</v>
      </c>
      <c r="W121" s="670">
        <v>1.736</v>
      </c>
      <c r="X121" s="670">
        <v>176.23214502857144</v>
      </c>
      <c r="Y121" s="670">
        <v>80.936570849999995</v>
      </c>
    </row>
    <row r="122" spans="15:25">
      <c r="P122" s="669">
        <v>15</v>
      </c>
      <c r="Q122" s="670">
        <v>27</v>
      </c>
      <c r="R122" s="670">
        <v>15.571285655714286</v>
      </c>
      <c r="S122" s="670">
        <v>207.40800040000002</v>
      </c>
      <c r="T122" s="670">
        <v>107.59514291428572</v>
      </c>
      <c r="U122" s="670">
        <v>30.753999982857145</v>
      </c>
      <c r="V122" s="670">
        <v>14.377143042857142</v>
      </c>
      <c r="W122" s="670">
        <v>1.8612856864285716</v>
      </c>
      <c r="X122" s="670">
        <v>130.09</v>
      </c>
      <c r="Y122" s="670">
        <v>42.693143572857146</v>
      </c>
    </row>
    <row r="123" spans="15:25">
      <c r="O123" s="668">
        <v>16</v>
      </c>
      <c r="P123" s="669">
        <v>16</v>
      </c>
      <c r="Q123" s="670">
        <v>19.899999999999999</v>
      </c>
      <c r="R123" s="670">
        <v>12.83</v>
      </c>
      <c r="S123" s="670">
        <v>166.38871437142856</v>
      </c>
      <c r="T123" s="670">
        <v>95.78</v>
      </c>
      <c r="U123" s="670">
        <v>29.88</v>
      </c>
      <c r="V123" s="670">
        <v>12.36</v>
      </c>
      <c r="W123" s="670">
        <v>1.9</v>
      </c>
      <c r="X123" s="670">
        <v>96.9</v>
      </c>
      <c r="Y123" s="670">
        <v>33.717142651428574</v>
      </c>
    </row>
    <row r="124" spans="15:25">
      <c r="P124" s="669">
        <v>17</v>
      </c>
      <c r="Q124" s="670">
        <v>19.14</v>
      </c>
      <c r="R124" s="670">
        <v>13.52</v>
      </c>
      <c r="S124" s="670">
        <v>168.19342804285716</v>
      </c>
      <c r="T124" s="670">
        <v>95.39</v>
      </c>
      <c r="U124" s="670">
        <v>22.257285525714284</v>
      </c>
      <c r="V124" s="670">
        <v>13.4</v>
      </c>
      <c r="W124" s="670">
        <v>1.7940000124285713</v>
      </c>
      <c r="X124" s="670">
        <v>89.59</v>
      </c>
      <c r="Y124" s="670">
        <v>27.06</v>
      </c>
    </row>
    <row r="125" spans="15:25">
      <c r="P125" s="669">
        <v>18</v>
      </c>
      <c r="Q125" s="670">
        <v>19.703571455714286</v>
      </c>
      <c r="R125" s="670">
        <v>14.166857039571427</v>
      </c>
      <c r="S125" s="670">
        <v>171.5428597714286</v>
      </c>
      <c r="T125" s="670">
        <v>85.958285739999994</v>
      </c>
      <c r="U125" s="670">
        <v>21.651714052857141</v>
      </c>
      <c r="V125" s="670">
        <v>12.785805702857145</v>
      </c>
      <c r="W125" s="670">
        <v>2.3024285860000004</v>
      </c>
      <c r="X125" s="670">
        <v>89.602142331428567</v>
      </c>
      <c r="Y125" s="670">
        <v>22.269714081428571</v>
      </c>
    </row>
    <row r="126" spans="15:25">
      <c r="P126" s="669">
        <v>19</v>
      </c>
      <c r="Q126" s="670">
        <v>15.48828561</v>
      </c>
      <c r="R126" s="670">
        <v>12.650857108142857</v>
      </c>
      <c r="S126" s="670">
        <v>146.54485865714287</v>
      </c>
      <c r="T126" s="670">
        <v>88.244000028571435</v>
      </c>
      <c r="U126" s="670">
        <v>19.037142890000002</v>
      </c>
      <c r="V126" s="670">
        <v>11.328391347142857</v>
      </c>
      <c r="W126" s="670">
        <v>1.8057142665714285</v>
      </c>
      <c r="X126" s="670">
        <v>75.568572998571426</v>
      </c>
      <c r="Y126" s="670">
        <v>17.565999711428571</v>
      </c>
    </row>
    <row r="127" spans="15:25">
      <c r="O127" s="668">
        <v>20</v>
      </c>
      <c r="P127" s="669">
        <v>20</v>
      </c>
      <c r="Q127" s="670">
        <v>14.601142882857145</v>
      </c>
      <c r="R127" s="670">
        <v>10.013285772</v>
      </c>
      <c r="S127" s="670">
        <v>112.76242937142857</v>
      </c>
      <c r="T127" s="670">
        <v>64.809571402857145</v>
      </c>
      <c r="U127" s="670">
        <v>16.531571660000001</v>
      </c>
      <c r="V127" s="670">
        <v>10.899261474285714</v>
      </c>
      <c r="W127" s="670">
        <v>1.7767143248571429</v>
      </c>
      <c r="X127" s="670">
        <v>62.208570752857149</v>
      </c>
      <c r="Y127" s="670">
        <v>14.502285821428572</v>
      </c>
    </row>
    <row r="128" spans="15:25">
      <c r="P128" s="669">
        <v>21</v>
      </c>
      <c r="Q128" s="670">
        <v>13.411285537142858</v>
      </c>
      <c r="R128" s="670">
        <v>7.8631429672857154</v>
      </c>
      <c r="S128" s="670">
        <v>94.636570517142857</v>
      </c>
      <c r="T128" s="670">
        <v>49.303714208571428</v>
      </c>
      <c r="U128" s="670">
        <v>13.450571468571427</v>
      </c>
      <c r="V128" s="670">
        <v>11.166911400000002</v>
      </c>
      <c r="W128" s="670">
        <v>1.8437143055714282</v>
      </c>
      <c r="X128" s="670">
        <v>54.38714218285714</v>
      </c>
      <c r="Y128" s="670">
        <v>12.214999879999999</v>
      </c>
    </row>
    <row r="129" spans="15:26">
      <c r="P129" s="669">
        <v>22</v>
      </c>
      <c r="Q129" s="670">
        <v>12.490285737142855</v>
      </c>
      <c r="R129" s="670">
        <v>6.4215714250000007</v>
      </c>
      <c r="S129" s="670">
        <v>81.718714031428576</v>
      </c>
      <c r="T129" s="670">
        <v>42.928571428571431</v>
      </c>
      <c r="U129" s="670">
        <v>11.897571562857141</v>
      </c>
      <c r="V129" s="670">
        <v>10.57333578442857</v>
      </c>
      <c r="W129" s="670">
        <v>1.8770000252857142</v>
      </c>
      <c r="X129" s="670">
        <v>48.837857382857138</v>
      </c>
      <c r="Y129" s="670">
        <v>10.894571441428569</v>
      </c>
    </row>
    <row r="130" spans="15:26">
      <c r="P130" s="669">
        <v>23</v>
      </c>
      <c r="Q130" s="670">
        <v>12.278000014285713</v>
      </c>
      <c r="R130" s="670">
        <v>5.5577142921428564</v>
      </c>
      <c r="S130" s="670">
        <v>83.760285512857152</v>
      </c>
      <c r="T130" s="670">
        <v>67.797571451428567</v>
      </c>
      <c r="U130" s="670">
        <v>15.801714215714284</v>
      </c>
      <c r="V130" s="670">
        <v>11.341294289999999</v>
      </c>
      <c r="W130" s="670">
        <v>1.7928571701428571</v>
      </c>
      <c r="X130" s="670">
        <v>58.175000328571436</v>
      </c>
      <c r="Y130" s="670">
        <v>13.860571451428571</v>
      </c>
    </row>
    <row r="131" spans="15:26">
      <c r="O131" s="668">
        <v>24</v>
      </c>
      <c r="P131" s="669">
        <v>24</v>
      </c>
      <c r="Q131" s="670">
        <v>10.882714271142857</v>
      </c>
      <c r="R131" s="670">
        <v>5.3317142215714286</v>
      </c>
      <c r="S131" s="670">
        <v>82.799001421428557</v>
      </c>
      <c r="T131" s="670">
        <v>63.982142857142854</v>
      </c>
      <c r="U131" s="670">
        <v>15.595999989999999</v>
      </c>
      <c r="V131" s="670">
        <v>11.96411841142857</v>
      </c>
      <c r="W131" s="670">
        <v>2.0252857377142854</v>
      </c>
      <c r="X131" s="670">
        <v>61.988572801428582</v>
      </c>
      <c r="Y131" s="670">
        <v>13.392856871428572</v>
      </c>
    </row>
    <row r="132" spans="15:26">
      <c r="P132" s="669">
        <v>25</v>
      </c>
      <c r="Q132" s="670">
        <v>10.290999957142857</v>
      </c>
      <c r="R132" s="670">
        <v>3.7498572211428569</v>
      </c>
      <c r="S132" s="670">
        <v>74.093855721428568</v>
      </c>
      <c r="T132" s="670">
        <v>53.035571505714287</v>
      </c>
      <c r="U132" s="670">
        <v>14.135857038571428</v>
      </c>
      <c r="V132" s="670">
        <v>11.79</v>
      </c>
      <c r="W132" s="670">
        <v>2.0514285564285717</v>
      </c>
      <c r="X132" s="670">
        <v>51.970714024285719</v>
      </c>
      <c r="Y132" s="670">
        <v>10.749428476857142</v>
      </c>
    </row>
    <row r="133" spans="15:26">
      <c r="P133" s="669">
        <v>26</v>
      </c>
      <c r="Q133" s="670">
        <v>9.5591429302857147</v>
      </c>
      <c r="R133" s="670">
        <v>3.5651427677142853</v>
      </c>
      <c r="S133" s="670">
        <v>66.795142037142867</v>
      </c>
      <c r="T133" s="670">
        <v>40.369000025714286</v>
      </c>
      <c r="U133" s="670">
        <v>10.912428581428573</v>
      </c>
      <c r="V133" s="670">
        <v>10.93</v>
      </c>
      <c r="W133" s="670">
        <v>2.1038571597142854</v>
      </c>
      <c r="X133" s="670">
        <v>44.390714371428579</v>
      </c>
      <c r="Y133" s="670">
        <v>9.1145714351428584</v>
      </c>
    </row>
    <row r="134" spans="15:26">
      <c r="P134" s="669">
        <v>27</v>
      </c>
      <c r="Q134" s="670">
        <v>9.3137141635714293</v>
      </c>
      <c r="R134" s="670">
        <v>4.7600000245714282</v>
      </c>
      <c r="S134" s="670">
        <v>67.368571689999996</v>
      </c>
      <c r="T134" s="670">
        <v>33.409999999999997</v>
      </c>
      <c r="U134" s="670">
        <v>9.4035714009999989</v>
      </c>
      <c r="V134" s="670">
        <v>12.51</v>
      </c>
      <c r="W134" s="670">
        <v>2.0499999999999998</v>
      </c>
      <c r="X134" s="670">
        <v>39.173571994285716</v>
      </c>
      <c r="Y134" s="670">
        <v>7.6487142698571438</v>
      </c>
    </row>
    <row r="135" spans="15:26">
      <c r="O135" s="668">
        <v>28</v>
      </c>
      <c r="P135" s="669">
        <v>28</v>
      </c>
      <c r="Q135" s="670">
        <v>8.7544284548571447</v>
      </c>
      <c r="R135" s="670">
        <v>2.5707143034285713</v>
      </c>
      <c r="S135" s="670">
        <v>65.073571887142847</v>
      </c>
      <c r="T135" s="670">
        <v>33.160714285714285</v>
      </c>
      <c r="U135" s="670">
        <v>9.4155716217142871</v>
      </c>
      <c r="V135" s="670">
        <v>12.3</v>
      </c>
      <c r="W135" s="670">
        <v>2.2505714212857142</v>
      </c>
      <c r="X135" s="670">
        <v>36.999285560000011</v>
      </c>
      <c r="Y135" s="670">
        <v>7.0544285774285713</v>
      </c>
    </row>
    <row r="136" spans="15:26">
      <c r="P136" s="669">
        <v>29</v>
      </c>
      <c r="Q136" s="670">
        <v>8.6149000000000004</v>
      </c>
      <c r="R136" s="670">
        <v>3.7006000000000001</v>
      </c>
      <c r="S136" s="670">
        <v>62.515714285714289</v>
      </c>
      <c r="T136" s="670">
        <v>35.738</v>
      </c>
      <c r="U136" s="670">
        <v>9.5503999999999998</v>
      </c>
      <c r="V136" s="670">
        <v>12.245714285714286</v>
      </c>
      <c r="W136" s="670">
        <v>1.9771428571428571</v>
      </c>
      <c r="X136" s="670">
        <v>38.677142857142861</v>
      </c>
      <c r="Y136" s="670">
        <v>6.3400000000000007</v>
      </c>
    </row>
    <row r="137" spans="15:26">
      <c r="P137" s="669">
        <v>30</v>
      </c>
      <c r="Q137" s="670">
        <v>8.1221428598571439</v>
      </c>
      <c r="R137" s="670">
        <v>4.9111429789999992</v>
      </c>
      <c r="S137" s="670">
        <v>57.148857115714286</v>
      </c>
      <c r="T137" s="670">
        <v>85.065429679999994</v>
      </c>
      <c r="U137" s="670">
        <v>15.534142631428571</v>
      </c>
      <c r="V137" s="670">
        <v>10.995952741142858</v>
      </c>
      <c r="W137" s="670">
        <v>2.2859999964285715</v>
      </c>
      <c r="X137" s="670">
        <v>56.166428702857139</v>
      </c>
      <c r="Y137" s="670">
        <v>9.4385714285714304</v>
      </c>
    </row>
    <row r="138" spans="15:26">
      <c r="P138" s="669">
        <v>31</v>
      </c>
      <c r="Q138" s="670">
        <v>7.5620000000000003</v>
      </c>
      <c r="R138" s="670">
        <v>3.28</v>
      </c>
      <c r="S138" s="670">
        <v>58.768000000000001</v>
      </c>
      <c r="T138" s="670">
        <v>40.375</v>
      </c>
      <c r="U138" s="670">
        <v>8.5579999999999998</v>
      </c>
      <c r="V138" s="670">
        <v>13.18</v>
      </c>
      <c r="W138" s="670">
        <v>2</v>
      </c>
      <c r="X138" s="670">
        <v>50.215000000000003</v>
      </c>
      <c r="Y138" s="670">
        <v>8.5770238095238049</v>
      </c>
    </row>
    <row r="139" spans="15:26">
      <c r="O139" s="668">
        <v>32</v>
      </c>
      <c r="P139" s="669">
        <v>32</v>
      </c>
      <c r="Q139" s="670">
        <v>8.4994284765714276</v>
      </c>
      <c r="R139" s="670">
        <v>4.8781427315714287</v>
      </c>
      <c r="S139" s="670">
        <v>54.703428540000004</v>
      </c>
      <c r="T139" s="670">
        <v>52.946428571428569</v>
      </c>
      <c r="U139" s="670">
        <v>10.739857128857144</v>
      </c>
      <c r="V139" s="670">
        <v>10.850328444285712</v>
      </c>
      <c r="W139" s="670">
        <v>2.0667142697142857</v>
      </c>
      <c r="X139" s="670">
        <v>50.460713522857141</v>
      </c>
      <c r="Y139" s="670">
        <v>9.7962856299999999</v>
      </c>
    </row>
    <row r="140" spans="15:26">
      <c r="P140" s="669">
        <v>33</v>
      </c>
      <c r="Q140" s="670">
        <v>7.8117142411428571</v>
      </c>
      <c r="R140" s="670">
        <v>4.5999999999999996</v>
      </c>
      <c r="S140" s="670">
        <v>59.066285269999995</v>
      </c>
      <c r="T140" s="670">
        <v>47.13</v>
      </c>
      <c r="U140" s="670">
        <v>9.23</v>
      </c>
      <c r="V140" s="670">
        <v>10.84</v>
      </c>
      <c r="W140" s="670">
        <v>2.0499999999999998</v>
      </c>
      <c r="X140" s="670">
        <v>44.64</v>
      </c>
      <c r="Y140" s="670">
        <v>8.7822855541428577</v>
      </c>
    </row>
    <row r="141" spans="15:26">
      <c r="P141" s="669">
        <v>34</v>
      </c>
      <c r="Q141" s="670">
        <v>6.44</v>
      </c>
      <c r="R141" s="670">
        <v>5.1568571165714285</v>
      </c>
      <c r="S141" s="670">
        <v>82.033571515714272</v>
      </c>
      <c r="T141" s="670">
        <v>63.892999920000001</v>
      </c>
      <c r="U141" s="670">
        <v>10.917285918714287</v>
      </c>
      <c r="V141" s="670">
        <v>10.534582955714285</v>
      </c>
      <c r="W141" s="670">
        <v>1.8788571358571429</v>
      </c>
      <c r="X141" s="670">
        <v>35.627857751428571</v>
      </c>
      <c r="Y141" s="670">
        <v>11.383714402571428</v>
      </c>
    </row>
    <row r="142" spans="15:26">
      <c r="O142" s="668">
        <v>35</v>
      </c>
      <c r="P142" s="669">
        <v>35</v>
      </c>
      <c r="Q142" s="670">
        <v>6.4357143129999992</v>
      </c>
      <c r="R142" s="670">
        <v>2.15</v>
      </c>
      <c r="S142" s="670">
        <v>71.48</v>
      </c>
      <c r="T142" s="670">
        <v>45.64</v>
      </c>
      <c r="U142" s="670">
        <v>9.4700000000000006</v>
      </c>
      <c r="V142" s="670">
        <v>10.92</v>
      </c>
      <c r="W142" s="670">
        <v>1.88</v>
      </c>
      <c r="X142" s="670">
        <v>32.979999999999997</v>
      </c>
      <c r="Y142" s="670">
        <v>7.88</v>
      </c>
    </row>
    <row r="143" spans="15:26">
      <c r="Q143" s="739" t="s">
        <v>302</v>
      </c>
      <c r="R143" s="739" t="s">
        <v>303</v>
      </c>
      <c r="S143" s="739" t="s">
        <v>304</v>
      </c>
      <c r="T143" s="739" t="s">
        <v>305</v>
      </c>
      <c r="U143" s="739" t="s">
        <v>306</v>
      </c>
      <c r="V143" s="739" t="s">
        <v>307</v>
      </c>
      <c r="W143" s="739" t="s">
        <v>308</v>
      </c>
      <c r="X143" s="739" t="s">
        <v>309</v>
      </c>
      <c r="Y143" s="739" t="s">
        <v>310</v>
      </c>
      <c r="Z143" s="740"/>
    </row>
  </sheetData>
  <mergeCells count="3">
    <mergeCell ref="A65:L65"/>
    <mergeCell ref="A40:L40"/>
    <mergeCell ref="A18:L18"/>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BA1B-4505-4E96-91EC-04C4917C2A4F}">
  <sheetPr>
    <tabColor theme="4"/>
  </sheetPr>
  <dimension ref="A1:O59"/>
  <sheetViews>
    <sheetView showGridLines="0" view="pageBreakPreview" zoomScale="145" zoomScaleNormal="100" zoomScaleSheetLayoutView="145" zoomScalePageLayoutView="160" workbookViewId="0">
      <selection activeCell="Q15" sqref="Q15"/>
    </sheetView>
  </sheetViews>
  <sheetFormatPr defaultRowHeight="11.25"/>
  <cols>
    <col min="1" max="1" width="6" style="3" customWidth="1"/>
    <col min="2" max="3" width="13.5" style="3" customWidth="1"/>
    <col min="4" max="4" width="12.5" style="3" customWidth="1"/>
    <col min="5" max="5" width="12.1640625" style="3" customWidth="1"/>
    <col min="6" max="6" width="15.83203125" style="3" customWidth="1"/>
    <col min="7" max="7" width="13.5" style="3" customWidth="1"/>
    <col min="8" max="8" width="12.5" style="3" customWidth="1"/>
    <col min="9" max="9" width="11.6640625" style="3" customWidth="1"/>
    <col min="10" max="11" width="9.33203125" style="3" customWidth="1"/>
    <col min="12" max="12" width="9.33203125" style="3"/>
    <col min="13" max="13" width="20.5" style="643" customWidth="1"/>
    <col min="14" max="15" width="9.33203125" style="642"/>
    <col min="16" max="16384" width="9.33203125" style="3"/>
  </cols>
  <sheetData>
    <row r="1" spans="1:15" ht="11.25" customHeight="1"/>
    <row r="2" spans="1:15" ht="11.25" customHeight="1">
      <c r="A2" s="931" t="s">
        <v>491</v>
      </c>
      <c r="B2" s="931"/>
      <c r="C2" s="931"/>
      <c r="D2" s="931"/>
      <c r="E2" s="931"/>
      <c r="F2" s="931"/>
      <c r="G2" s="931"/>
      <c r="H2" s="931"/>
      <c r="I2" s="931"/>
      <c r="J2" s="931"/>
      <c r="K2" s="931"/>
    </row>
    <row r="3" spans="1:15" ht="11.25" customHeight="1">
      <c r="A3" s="238"/>
      <c r="B3" s="238"/>
      <c r="C3" s="238"/>
      <c r="D3" s="238"/>
      <c r="E3" s="238"/>
      <c r="F3" s="238"/>
      <c r="G3" s="238"/>
      <c r="H3" s="238"/>
      <c r="I3" s="238"/>
      <c r="J3" s="238"/>
      <c r="K3" s="549"/>
      <c r="L3" s="45"/>
    </row>
    <row r="4" spans="1:15" ht="11.25" customHeight="1">
      <c r="A4" s="916" t="s">
        <v>492</v>
      </c>
      <c r="B4" s="916"/>
      <c r="C4" s="916"/>
      <c r="D4" s="916"/>
      <c r="E4" s="916"/>
      <c r="F4" s="916"/>
      <c r="G4" s="916"/>
      <c r="H4" s="916"/>
      <c r="I4" s="239"/>
      <c r="J4" s="239"/>
      <c r="L4" s="45"/>
    </row>
    <row r="5" spans="1:15" ht="7.5" customHeight="1">
      <c r="A5" s="240"/>
      <c r="B5" s="240"/>
      <c r="C5" s="240"/>
      <c r="D5" s="240"/>
      <c r="E5" s="240"/>
      <c r="F5" s="240"/>
      <c r="G5" s="240"/>
      <c r="H5" s="240"/>
      <c r="I5" s="240"/>
      <c r="J5" s="240"/>
      <c r="L5" s="10"/>
    </row>
    <row r="6" spans="1:15" ht="11.25" customHeight="1">
      <c r="A6" s="240"/>
      <c r="B6" s="244" t="s">
        <v>493</v>
      </c>
      <c r="C6" s="240"/>
      <c r="D6" s="240"/>
      <c r="E6" s="240"/>
      <c r="F6" s="240"/>
      <c r="G6" s="240"/>
      <c r="H6" s="240"/>
      <c r="I6" s="240"/>
      <c r="J6" s="240"/>
      <c r="L6" s="20"/>
    </row>
    <row r="7" spans="1:15" ht="7.5" customHeight="1">
      <c r="A7" s="240"/>
      <c r="B7" s="241"/>
      <c r="C7" s="240"/>
      <c r="D7" s="240"/>
      <c r="E7" s="240"/>
      <c r="F7" s="240"/>
      <c r="G7" s="240"/>
      <c r="H7" s="240"/>
      <c r="I7" s="240"/>
      <c r="J7" s="240"/>
      <c r="L7" s="16"/>
    </row>
    <row r="8" spans="1:15" ht="21" customHeight="1">
      <c r="A8" s="240"/>
      <c r="B8" s="810" t="s">
        <v>175</v>
      </c>
      <c r="C8" s="811" t="s">
        <v>176</v>
      </c>
      <c r="D8" s="811" t="s">
        <v>177</v>
      </c>
      <c r="E8" s="811" t="s">
        <v>180</v>
      </c>
      <c r="F8" s="811" t="s">
        <v>179</v>
      </c>
      <c r="G8" s="812" t="s">
        <v>178</v>
      </c>
      <c r="H8" s="249"/>
      <c r="I8" s="249"/>
      <c r="J8" s="249"/>
      <c r="L8" s="34"/>
      <c r="M8" s="644" t="s">
        <v>176</v>
      </c>
      <c r="N8" s="645" t="str">
        <f>M8&amp;"
 ("&amp;ROUND(HLOOKUP(M8,$C$8:$G$9,2,0),2)&amp;"   USD/MWh)"</f>
        <v>PIURA OESTE 220
 (15,44   USD/MWh)</v>
      </c>
    </row>
    <row r="9" spans="1:15" ht="18" customHeight="1">
      <c r="A9" s="240"/>
      <c r="B9" s="813" t="s">
        <v>181</v>
      </c>
      <c r="C9" s="386">
        <v>15.443938623399994</v>
      </c>
      <c r="D9" s="386">
        <v>15.328575957773326</v>
      </c>
      <c r="E9" s="386">
        <v>15.219981892332889</v>
      </c>
      <c r="F9" s="386">
        <v>15.092317548677247</v>
      </c>
      <c r="G9" s="386">
        <v>14.995132262465996</v>
      </c>
      <c r="H9" s="249"/>
      <c r="I9" s="249"/>
      <c r="J9" s="249"/>
      <c r="K9" s="249"/>
      <c r="L9" s="29"/>
      <c r="M9" s="644" t="s">
        <v>177</v>
      </c>
      <c r="N9" s="645" t="str">
        <f>M9&amp;"
("&amp;ROUND(HLOOKUP(M9,$C$8:$G$9,2,0),2)&amp;" USD/MWh)"</f>
        <v>CHICLAYO 220
(15,33 USD/MWh)</v>
      </c>
    </row>
    <row r="10" spans="1:15" ht="14.25" customHeight="1">
      <c r="A10" s="240"/>
      <c r="B10" s="953" t="str">
        <f>"Cuadro N°11: Valor de los costos marginales medios registrados en las principales barras del área norte durante el mes de "&amp;'1. Resumen'!Q4</f>
        <v>Cuadro N°11: Valor de los costos marginales medios registrados en las principales barras del área norte durante el mes de agosto</v>
      </c>
      <c r="C10" s="953"/>
      <c r="D10" s="953"/>
      <c r="E10" s="953"/>
      <c r="F10" s="953"/>
      <c r="G10" s="953"/>
      <c r="H10" s="953"/>
      <c r="I10" s="953"/>
      <c r="J10" s="249"/>
      <c r="K10" s="249"/>
      <c r="L10" s="29"/>
      <c r="M10" s="644" t="s">
        <v>179</v>
      </c>
      <c r="N10" s="645" t="str">
        <f>M10&amp;"
("&amp;ROUND(HLOOKUP(M10,$C$8:$G$9,2,0),2)&amp;" USD/MWh)"</f>
        <v>TRUJILLO 220
(15,09 USD/MWh)</v>
      </c>
    </row>
    <row r="11" spans="1:15" ht="11.25" customHeight="1">
      <c r="A11" s="240"/>
      <c r="B11" s="250"/>
      <c r="C11" s="249"/>
      <c r="D11" s="249"/>
      <c r="E11" s="249"/>
      <c r="F11" s="249"/>
      <c r="G11" s="249"/>
      <c r="H11" s="249"/>
      <c r="I11" s="249"/>
      <c r="J11" s="249"/>
      <c r="K11" s="249"/>
      <c r="L11" s="29"/>
      <c r="M11" s="644" t="s">
        <v>178</v>
      </c>
      <c r="N11" s="645" t="str">
        <f>M11&amp;"
("&amp;ROUND(HLOOKUP(M11,$C$8:$G$9,2,0),2)&amp;" USD/MWh)"</f>
        <v>CHIMBOTE1 138
(15 USD/MWh)</v>
      </c>
    </row>
    <row r="12" spans="1:15" ht="11.25" customHeight="1">
      <c r="A12" s="240"/>
      <c r="B12" s="249"/>
      <c r="C12" s="249"/>
      <c r="D12" s="249"/>
      <c r="E12" s="249"/>
      <c r="F12" s="249"/>
      <c r="G12" s="249"/>
      <c r="H12" s="249"/>
      <c r="I12" s="249"/>
      <c r="J12" s="249"/>
      <c r="K12" s="249"/>
      <c r="L12" s="31"/>
      <c r="M12" s="644" t="s">
        <v>180</v>
      </c>
      <c r="N12" s="645" t="str">
        <f>M12&amp;"
("&amp;ROUND(HLOOKUP(M12,$C$8:$G$9,2,0),2)&amp;" USD/MWh)"</f>
        <v>CAJAMARCA 220
(15,22 USD/MWh)</v>
      </c>
    </row>
    <row r="13" spans="1:15" ht="11.25" customHeight="1">
      <c r="A13" s="240"/>
      <c r="B13" s="249"/>
      <c r="C13" s="249"/>
      <c r="D13" s="249"/>
      <c r="E13" s="249"/>
      <c r="F13" s="249"/>
      <c r="G13" s="249"/>
      <c r="H13" s="249"/>
      <c r="I13" s="249"/>
      <c r="J13" s="249"/>
      <c r="K13" s="249"/>
      <c r="L13" s="34"/>
      <c r="M13" s="644"/>
      <c r="N13" s="645"/>
      <c r="O13" s="644"/>
    </row>
    <row r="14" spans="1:15" ht="11.25" customHeight="1">
      <c r="A14" s="240"/>
      <c r="B14" s="249"/>
      <c r="C14" s="249"/>
      <c r="D14" s="249"/>
      <c r="E14" s="249"/>
      <c r="F14" s="249"/>
      <c r="G14" s="249"/>
      <c r="H14" s="249"/>
      <c r="I14" s="249"/>
      <c r="J14" s="249"/>
      <c r="K14" s="249"/>
      <c r="L14" s="29"/>
      <c r="M14" s="644" t="s">
        <v>183</v>
      </c>
      <c r="N14" s="645" t="str">
        <f t="shared" ref="N14:N20" si="0">M14&amp;"
("&amp;ROUND(HLOOKUP(M14,$C$26:$I$27,2,0),2)&amp;" USD/MWh)"</f>
        <v>CHAVARRIA 220
(14,62 USD/MWh)</v>
      </c>
    </row>
    <row r="15" spans="1:15" ht="11.25" customHeight="1">
      <c r="A15" s="240"/>
      <c r="B15" s="249"/>
      <c r="C15" s="249"/>
      <c r="D15" s="249"/>
      <c r="E15" s="249"/>
      <c r="F15" s="249"/>
      <c r="G15" s="249"/>
      <c r="H15" s="249"/>
      <c r="I15" s="249"/>
      <c r="J15" s="249"/>
      <c r="K15" s="249"/>
      <c r="L15" s="29"/>
      <c r="M15" s="644" t="s">
        <v>185</v>
      </c>
      <c r="N15" s="645" t="str">
        <f t="shared" si="0"/>
        <v>INDEPENDENCIA 220
(14,42 USD/MWh)</v>
      </c>
    </row>
    <row r="16" spans="1:15" ht="11.25" customHeight="1">
      <c r="A16" s="240"/>
      <c r="B16" s="249"/>
      <c r="C16" s="249"/>
      <c r="D16" s="249"/>
      <c r="E16" s="249"/>
      <c r="F16" s="249"/>
      <c r="G16" s="249"/>
      <c r="H16" s="249"/>
      <c r="I16" s="249"/>
      <c r="J16" s="249"/>
      <c r="K16" s="249"/>
      <c r="L16" s="29"/>
      <c r="M16" s="644" t="s">
        <v>186</v>
      </c>
      <c r="N16" s="645" t="str">
        <f t="shared" si="0"/>
        <v>CARABAYLLO 220
(14,57 USD/MWh)</v>
      </c>
    </row>
    <row r="17" spans="1:14" ht="11.25" customHeight="1">
      <c r="A17" s="240"/>
      <c r="B17" s="249"/>
      <c r="C17" s="249"/>
      <c r="D17" s="249"/>
      <c r="E17" s="249"/>
      <c r="F17" s="249"/>
      <c r="G17" s="249"/>
      <c r="H17" s="249"/>
      <c r="I17" s="249"/>
      <c r="J17" s="249"/>
      <c r="K17" s="249"/>
      <c r="L17" s="29"/>
      <c r="M17" s="644" t="s">
        <v>182</v>
      </c>
      <c r="N17" s="645" t="str">
        <f t="shared" si="0"/>
        <v>SANTA ROSA 220
(14,62 USD/MWh)</v>
      </c>
    </row>
    <row r="18" spans="1:14" ht="11.25" customHeight="1">
      <c r="A18" s="240"/>
      <c r="B18" s="249"/>
      <c r="C18" s="249"/>
      <c r="D18" s="249"/>
      <c r="E18" s="249"/>
      <c r="F18" s="249"/>
      <c r="G18" s="249"/>
      <c r="H18" s="249"/>
      <c r="I18" s="249"/>
      <c r="J18" s="249"/>
      <c r="K18" s="249"/>
      <c r="L18" s="29"/>
      <c r="M18" s="644" t="s">
        <v>184</v>
      </c>
      <c r="N18" s="645" t="str">
        <f t="shared" si="0"/>
        <v>SAN JUAN 220
(14,53 USD/MWh)</v>
      </c>
    </row>
    <row r="19" spans="1:14" ht="11.25" customHeight="1">
      <c r="A19" s="240"/>
      <c r="B19" s="249"/>
      <c r="C19" s="249"/>
      <c r="D19" s="249"/>
      <c r="E19" s="249"/>
      <c r="F19" s="249"/>
      <c r="G19" s="249"/>
      <c r="H19" s="249"/>
      <c r="I19" s="249"/>
      <c r="J19" s="249"/>
      <c r="K19" s="249"/>
      <c r="L19" s="39"/>
      <c r="M19" s="644" t="s">
        <v>187</v>
      </c>
      <c r="N19" s="645" t="str">
        <f t="shared" si="0"/>
        <v>POMACOCHA 220
(14,21 USD/MWh)</v>
      </c>
    </row>
    <row r="20" spans="1:14" ht="11.25" customHeight="1">
      <c r="A20" s="240"/>
      <c r="B20" s="247"/>
      <c r="C20" s="247"/>
      <c r="D20" s="247"/>
      <c r="E20" s="247"/>
      <c r="F20" s="247"/>
      <c r="G20" s="249"/>
      <c r="H20" s="249"/>
      <c r="I20" s="249"/>
      <c r="J20" s="249"/>
      <c r="K20" s="249"/>
      <c r="L20" s="29"/>
      <c r="M20" s="644" t="s">
        <v>188</v>
      </c>
      <c r="N20" s="645" t="str">
        <f t="shared" si="0"/>
        <v>OROYA NUEVA 50
(14,11 USD/MWh)</v>
      </c>
    </row>
    <row r="21" spans="1:14" ht="11.25" customHeight="1">
      <c r="A21" s="240"/>
      <c r="B21" s="954" t="str">
        <f>"Gráfico N°20: Costos marginales medios registrados en las principales barras del área norte durante el mes de "&amp;'1. Resumen'!Q4</f>
        <v>Gráfico N°20: Costos marginales medios registrados en las principales barras del área norte durante el mes de agosto</v>
      </c>
      <c r="C21" s="954"/>
      <c r="D21" s="954"/>
      <c r="E21" s="954"/>
      <c r="F21" s="954"/>
      <c r="G21" s="954"/>
      <c r="H21" s="954"/>
      <c r="I21" s="954"/>
      <c r="J21" s="249"/>
      <c r="K21" s="249"/>
      <c r="L21" s="29"/>
      <c r="M21" s="644"/>
      <c r="N21" s="645"/>
    </row>
    <row r="22" spans="1:14" ht="7.5" customHeight="1">
      <c r="A22" s="240"/>
      <c r="B22" s="242"/>
      <c r="C22" s="242"/>
      <c r="D22" s="242"/>
      <c r="E22" s="242"/>
      <c r="F22" s="242"/>
      <c r="G22" s="240"/>
      <c r="H22" s="240"/>
      <c r="I22" s="240"/>
      <c r="J22" s="240"/>
      <c r="K22" s="240"/>
      <c r="L22" s="20"/>
      <c r="M22" s="644"/>
      <c r="N22" s="645"/>
    </row>
    <row r="23" spans="1:14" ht="11.25" customHeight="1">
      <c r="A23" s="240"/>
      <c r="B23" s="242"/>
      <c r="C23" s="242"/>
      <c r="D23" s="242"/>
      <c r="E23" s="242"/>
      <c r="F23" s="242"/>
      <c r="G23" s="240"/>
      <c r="H23" s="240"/>
      <c r="I23" s="240"/>
      <c r="J23" s="240"/>
      <c r="K23" s="240"/>
      <c r="L23" s="22"/>
      <c r="M23" s="644" t="s">
        <v>189</v>
      </c>
      <c r="N23" s="645" t="str">
        <f t="shared" ref="N23:N29" si="1">M23&amp;"
("&amp;ROUND(HLOOKUP(M23,$C$45:$I$46,2,0),2)&amp;" USD/MWh)"</f>
        <v>TINTAYA NUEVA 220
(15,41 USD/MWh)</v>
      </c>
    </row>
    <row r="24" spans="1:14" ht="11.25" customHeight="1">
      <c r="A24" s="240"/>
      <c r="B24" s="245" t="s">
        <v>494</v>
      </c>
      <c r="C24" s="242"/>
      <c r="D24" s="242"/>
      <c r="E24" s="242"/>
      <c r="F24" s="242"/>
      <c r="G24" s="240"/>
      <c r="H24" s="240"/>
      <c r="I24" s="240"/>
      <c r="J24" s="240"/>
      <c r="K24" s="240"/>
      <c r="L24" s="20"/>
      <c r="M24" s="644" t="s">
        <v>190</v>
      </c>
      <c r="N24" s="645" t="str">
        <f t="shared" si="1"/>
        <v>PUNO 138
(15,07 USD/MWh)</v>
      </c>
    </row>
    <row r="25" spans="1:14" ht="6.75" customHeight="1">
      <c r="A25" s="240"/>
      <c r="B25" s="242"/>
      <c r="C25" s="242"/>
      <c r="D25" s="242"/>
      <c r="E25" s="242"/>
      <c r="F25" s="242"/>
      <c r="G25" s="240"/>
      <c r="H25" s="240"/>
      <c r="I25" s="240"/>
      <c r="J25" s="240"/>
      <c r="K25" s="240"/>
      <c r="L25" s="20"/>
      <c r="M25" s="644" t="s">
        <v>191</v>
      </c>
      <c r="N25" s="645" t="str">
        <f t="shared" si="1"/>
        <v>SOCABAYA 220
(14,87 USD/MWh)</v>
      </c>
    </row>
    <row r="26" spans="1:14" ht="25.5" customHeight="1">
      <c r="A26" s="240"/>
      <c r="B26" s="814" t="s">
        <v>175</v>
      </c>
      <c r="C26" s="811" t="s">
        <v>182</v>
      </c>
      <c r="D26" s="811" t="s">
        <v>183</v>
      </c>
      <c r="E26" s="811" t="s">
        <v>186</v>
      </c>
      <c r="F26" s="811" t="s">
        <v>184</v>
      </c>
      <c r="G26" s="811" t="s">
        <v>185</v>
      </c>
      <c r="H26" s="811" t="s">
        <v>187</v>
      </c>
      <c r="I26" s="812" t="s">
        <v>188</v>
      </c>
      <c r="J26" s="246"/>
      <c r="K26" s="249"/>
      <c r="L26" s="29"/>
      <c r="M26" s="644" t="s">
        <v>192</v>
      </c>
      <c r="N26" s="645" t="str">
        <f t="shared" si="1"/>
        <v>MOQUEGUA 138
(14,82 USD/MWh)</v>
      </c>
    </row>
    <row r="27" spans="1:14" ht="18" customHeight="1">
      <c r="A27" s="240"/>
      <c r="B27" s="815" t="s">
        <v>181</v>
      </c>
      <c r="C27" s="386">
        <v>14.615099851775625</v>
      </c>
      <c r="D27" s="386">
        <v>14.62147023672704</v>
      </c>
      <c r="E27" s="386">
        <v>14.572844080723495</v>
      </c>
      <c r="F27" s="386">
        <v>14.527304048926679</v>
      </c>
      <c r="G27" s="386">
        <v>14.418228728351183</v>
      </c>
      <c r="H27" s="386">
        <v>14.214349853405809</v>
      </c>
      <c r="I27" s="386">
        <v>14.105013107080213</v>
      </c>
      <c r="J27" s="248"/>
      <c r="K27" s="249"/>
      <c r="L27" s="29"/>
      <c r="M27" s="644" t="s">
        <v>193</v>
      </c>
      <c r="N27" s="645" t="str">
        <f t="shared" si="1"/>
        <v>DOLORESPATA 138
(14,44 USD/MWh)</v>
      </c>
    </row>
    <row r="28" spans="1:14" ht="19.5" customHeight="1">
      <c r="A28" s="240"/>
      <c r="B28" s="955" t="str">
        <f>"Cuadro N°12: Valor de los costos marginales medios registrados en las principales barras del área centro durante el mes de "&amp;'1. Resumen'!Q4</f>
        <v>Cuadro N°12: Valor de los costos marginales medios registrados en las principales barras del área centro durante el mes de agosto</v>
      </c>
      <c r="C28" s="955"/>
      <c r="D28" s="955"/>
      <c r="E28" s="955"/>
      <c r="F28" s="955"/>
      <c r="G28" s="955"/>
      <c r="H28" s="955"/>
      <c r="I28" s="955"/>
      <c r="J28" s="249"/>
      <c r="K28" s="249"/>
      <c r="L28" s="29"/>
      <c r="M28" s="644" t="s">
        <v>194</v>
      </c>
      <c r="N28" s="645" t="str">
        <f t="shared" si="1"/>
        <v>COTARUSE 220
(14,33 USD/MWh)</v>
      </c>
    </row>
    <row r="29" spans="1:14" ht="11.25" customHeight="1">
      <c r="A29" s="240"/>
      <c r="B29" s="247"/>
      <c r="C29" s="247"/>
      <c r="D29" s="247"/>
      <c r="E29" s="247"/>
      <c r="F29" s="247"/>
      <c r="G29" s="247"/>
      <c r="H29" s="247"/>
      <c r="I29" s="247"/>
      <c r="J29" s="247"/>
      <c r="K29" s="247"/>
      <c r="L29" s="29"/>
      <c r="M29" s="644" t="s">
        <v>195</v>
      </c>
      <c r="N29" s="645" t="str">
        <f t="shared" si="1"/>
        <v>SAN GABAN 138
(14,4 USD/MWh)</v>
      </c>
    </row>
    <row r="30" spans="1:14" ht="11.25" customHeight="1">
      <c r="A30" s="240"/>
      <c r="B30" s="247"/>
      <c r="C30" s="247"/>
      <c r="D30" s="247"/>
      <c r="E30" s="247"/>
      <c r="F30" s="247"/>
      <c r="G30" s="247"/>
      <c r="H30" s="247"/>
      <c r="I30" s="247"/>
      <c r="J30" s="247"/>
      <c r="K30" s="247"/>
      <c r="L30" s="29"/>
      <c r="M30" s="644"/>
      <c r="N30" s="641"/>
    </row>
    <row r="31" spans="1:14" ht="11.25" customHeight="1">
      <c r="A31" s="240"/>
      <c r="B31" s="247"/>
      <c r="C31" s="247"/>
      <c r="D31" s="247"/>
      <c r="E31" s="247"/>
      <c r="F31" s="247"/>
      <c r="G31" s="247"/>
      <c r="H31" s="247"/>
      <c r="I31" s="247"/>
      <c r="J31" s="247"/>
      <c r="K31" s="247"/>
      <c r="L31" s="29"/>
      <c r="M31" s="644"/>
      <c r="N31" s="641"/>
    </row>
    <row r="32" spans="1:14" ht="11.25" customHeight="1">
      <c r="A32" s="240"/>
      <c r="B32" s="247"/>
      <c r="C32" s="247"/>
      <c r="D32" s="247"/>
      <c r="E32" s="247"/>
      <c r="F32" s="247"/>
      <c r="G32" s="247"/>
      <c r="H32" s="247"/>
      <c r="I32" s="247"/>
      <c r="J32" s="247"/>
      <c r="K32" s="247"/>
      <c r="L32" s="29"/>
      <c r="M32" s="644"/>
    </row>
    <row r="33" spans="1:12" ht="11.25" customHeight="1">
      <c r="A33" s="240"/>
      <c r="B33" s="247"/>
      <c r="C33" s="247"/>
      <c r="D33" s="247"/>
      <c r="E33" s="247"/>
      <c r="F33" s="247"/>
      <c r="G33" s="247"/>
      <c r="H33" s="247"/>
      <c r="I33" s="247"/>
      <c r="J33" s="247"/>
      <c r="K33" s="247"/>
      <c r="L33" s="29"/>
    </row>
    <row r="34" spans="1:12" ht="11.25" customHeight="1">
      <c r="A34" s="240"/>
      <c r="B34" s="247"/>
      <c r="C34" s="247"/>
      <c r="D34" s="247"/>
      <c r="E34" s="247"/>
      <c r="F34" s="247"/>
      <c r="G34" s="247"/>
      <c r="H34" s="247"/>
      <c r="I34" s="247"/>
      <c r="J34" s="247"/>
      <c r="K34" s="247"/>
      <c r="L34" s="29"/>
    </row>
    <row r="35" spans="1:12" ht="11.25" customHeight="1">
      <c r="A35" s="240"/>
      <c r="B35" s="247"/>
      <c r="C35" s="247"/>
      <c r="D35" s="247"/>
      <c r="E35" s="247"/>
      <c r="F35" s="247"/>
      <c r="G35" s="247"/>
      <c r="H35" s="247"/>
      <c r="I35" s="247"/>
      <c r="J35" s="247"/>
      <c r="K35" s="247"/>
      <c r="L35" s="48"/>
    </row>
    <row r="36" spans="1:12" ht="11.25" customHeight="1">
      <c r="A36" s="240"/>
      <c r="B36" s="247"/>
      <c r="C36" s="247"/>
      <c r="D36" s="247"/>
      <c r="E36" s="247"/>
      <c r="F36" s="247"/>
      <c r="G36" s="247"/>
      <c r="H36" s="247"/>
      <c r="I36" s="247"/>
      <c r="J36" s="247"/>
      <c r="K36" s="247"/>
      <c r="L36" s="29"/>
    </row>
    <row r="37" spans="1:12" ht="11.25" customHeight="1">
      <c r="A37" s="240"/>
      <c r="B37" s="247"/>
      <c r="C37" s="247"/>
      <c r="D37" s="247"/>
      <c r="E37" s="247"/>
      <c r="F37" s="247"/>
      <c r="G37" s="247"/>
      <c r="H37" s="247"/>
      <c r="I37" s="247"/>
      <c r="J37" s="247"/>
      <c r="K37" s="247"/>
      <c r="L37" s="29"/>
    </row>
    <row r="38" spans="1:12" ht="11.25" customHeight="1">
      <c r="A38" s="240"/>
      <c r="B38" s="247"/>
      <c r="C38" s="247"/>
      <c r="D38" s="247"/>
      <c r="E38" s="247"/>
      <c r="F38" s="247"/>
      <c r="G38" s="247"/>
      <c r="H38" s="247"/>
      <c r="I38" s="247"/>
      <c r="J38" s="247"/>
      <c r="K38" s="247"/>
      <c r="L38" s="29"/>
    </row>
    <row r="39" spans="1:12" ht="11.25" customHeight="1">
      <c r="A39" s="240"/>
      <c r="B39" s="247"/>
      <c r="C39" s="247"/>
      <c r="D39" s="247"/>
      <c r="E39" s="247"/>
      <c r="F39" s="247"/>
      <c r="G39" s="247"/>
      <c r="H39" s="247"/>
      <c r="I39" s="247"/>
      <c r="J39" s="247"/>
      <c r="K39" s="247"/>
      <c r="L39" s="29"/>
    </row>
    <row r="40" spans="1:12" ht="13.5" customHeight="1">
      <c r="A40" s="240"/>
      <c r="B40" s="953" t="str">
        <f>"Gráfico N°21: Costos marginales medios registrados en las principales barras del área centro durante el mes de "&amp;'1. Resumen'!Q4</f>
        <v>Gráfico N°21: Costos marginales medios registrados en las principales barras del área centro durante el mes de agosto</v>
      </c>
      <c r="C40" s="953"/>
      <c r="D40" s="953"/>
      <c r="E40" s="953"/>
      <c r="F40" s="953"/>
      <c r="G40" s="953"/>
      <c r="H40" s="953"/>
      <c r="I40" s="953"/>
      <c r="J40" s="247"/>
      <c r="K40" s="247"/>
      <c r="L40" s="29"/>
    </row>
    <row r="41" spans="1:12" ht="6.75" customHeight="1">
      <c r="A41" s="240"/>
      <c r="B41" s="247"/>
      <c r="C41" s="247"/>
      <c r="D41" s="247"/>
      <c r="E41" s="247"/>
      <c r="F41" s="247"/>
      <c r="G41" s="247"/>
      <c r="H41" s="247"/>
      <c r="I41" s="247"/>
      <c r="J41" s="247"/>
      <c r="K41" s="247"/>
      <c r="L41" s="29"/>
    </row>
    <row r="42" spans="1:12" ht="8.25" customHeight="1">
      <c r="A42" s="240"/>
      <c r="B42" s="242"/>
      <c r="C42" s="242"/>
      <c r="D42" s="242"/>
      <c r="E42" s="242"/>
      <c r="F42" s="242"/>
      <c r="G42" s="242"/>
      <c r="H42" s="242"/>
      <c r="I42" s="242"/>
      <c r="J42" s="242"/>
      <c r="K42" s="242"/>
      <c r="L42" s="15"/>
    </row>
    <row r="43" spans="1:12" ht="11.25" customHeight="1">
      <c r="A43" s="240"/>
      <c r="B43" s="245" t="s">
        <v>495</v>
      </c>
      <c r="C43" s="242"/>
      <c r="D43" s="242"/>
      <c r="E43" s="242"/>
      <c r="F43" s="242"/>
      <c r="G43" s="242"/>
      <c r="H43" s="242"/>
      <c r="I43" s="242"/>
      <c r="J43" s="242"/>
      <c r="K43" s="242"/>
      <c r="L43" s="14"/>
    </row>
    <row r="44" spans="1:12" ht="6.75" customHeight="1">
      <c r="A44" s="240"/>
      <c r="B44" s="242"/>
      <c r="C44" s="242"/>
      <c r="D44" s="242"/>
      <c r="E44" s="242"/>
      <c r="F44" s="242"/>
      <c r="G44" s="242"/>
      <c r="H44" s="242"/>
      <c r="I44" s="242"/>
      <c r="J44" s="242"/>
      <c r="K44" s="242"/>
      <c r="L44" s="14"/>
    </row>
    <row r="45" spans="1:12" ht="27" customHeight="1">
      <c r="A45" s="240"/>
      <c r="B45" s="814" t="s">
        <v>175</v>
      </c>
      <c r="C45" s="811" t="s">
        <v>189</v>
      </c>
      <c r="D45" s="811" t="s">
        <v>190</v>
      </c>
      <c r="E45" s="811" t="s">
        <v>191</v>
      </c>
      <c r="F45" s="811" t="s">
        <v>192</v>
      </c>
      <c r="G45" s="811" t="s">
        <v>193</v>
      </c>
      <c r="H45" s="811" t="s">
        <v>195</v>
      </c>
      <c r="I45" s="812" t="s">
        <v>194</v>
      </c>
      <c r="J45" s="246"/>
      <c r="K45" s="247"/>
    </row>
    <row r="46" spans="1:12" ht="18.75" customHeight="1">
      <c r="A46" s="240"/>
      <c r="B46" s="815" t="s">
        <v>181</v>
      </c>
      <c r="C46" s="386">
        <v>15.412459596317687</v>
      </c>
      <c r="D46" s="386">
        <v>15.071414866740623</v>
      </c>
      <c r="E46" s="386">
        <v>14.865367680885146</v>
      </c>
      <c r="F46" s="386">
        <v>14.823371997406447</v>
      </c>
      <c r="G46" s="386">
        <v>14.437413073131601</v>
      </c>
      <c r="H46" s="386">
        <v>14.40147320223406</v>
      </c>
      <c r="I46" s="386">
        <v>14.333801947009309</v>
      </c>
      <c r="J46" s="248"/>
      <c r="K46" s="247"/>
    </row>
    <row r="47" spans="1:12" ht="18" customHeight="1">
      <c r="A47" s="240"/>
      <c r="B47" s="955" t="str">
        <f>"Cuadro N°13: Valor de los costos marginales medios registrados en las principales barras del área sur durante el mes de "&amp;'1. Resumen'!Q4</f>
        <v>Cuadro N°13: Valor de los costos marginales medios registrados en las principales barras del área sur durante el mes de agosto</v>
      </c>
      <c r="C47" s="955"/>
      <c r="D47" s="955"/>
      <c r="E47" s="955"/>
      <c r="F47" s="955"/>
      <c r="G47" s="955"/>
      <c r="H47" s="955"/>
      <c r="I47" s="955"/>
      <c r="J47" s="248"/>
      <c r="K47" s="247"/>
    </row>
    <row r="48" spans="1:12" ht="12.75">
      <c r="A48" s="240"/>
      <c r="B48" s="247"/>
      <c r="C48" s="247"/>
      <c r="D48" s="247"/>
      <c r="E48" s="247"/>
      <c r="F48" s="247"/>
      <c r="G48" s="249"/>
      <c r="H48" s="249"/>
      <c r="I48" s="249"/>
      <c r="J48" s="249"/>
      <c r="K48" s="247"/>
    </row>
    <row r="49" spans="1:11" ht="12.75">
      <c r="A49" s="240"/>
      <c r="B49" s="249"/>
      <c r="C49" s="249"/>
      <c r="D49" s="249"/>
      <c r="E49" s="249"/>
      <c r="F49" s="249"/>
      <c r="G49" s="249"/>
      <c r="H49" s="249"/>
      <c r="I49" s="249"/>
      <c r="J49" s="249"/>
      <c r="K49" s="247"/>
    </row>
    <row r="50" spans="1:11" ht="12.75">
      <c r="A50" s="240"/>
      <c r="B50" s="132"/>
      <c r="C50" s="132"/>
      <c r="D50" s="132"/>
      <c r="E50" s="132"/>
      <c r="F50" s="132"/>
      <c r="G50" s="132"/>
      <c r="H50" s="132"/>
      <c r="I50" s="132"/>
      <c r="J50" s="132"/>
      <c r="K50" s="247"/>
    </row>
    <row r="51" spans="1:11" ht="12.75">
      <c r="A51" s="240"/>
      <c r="B51" s="132"/>
      <c r="C51" s="132"/>
      <c r="D51" s="132"/>
      <c r="E51" s="132"/>
      <c r="F51" s="132"/>
      <c r="G51" s="132"/>
      <c r="H51" s="132"/>
      <c r="I51" s="132"/>
      <c r="J51" s="132"/>
      <c r="K51" s="247"/>
    </row>
    <row r="52" spans="1:11" ht="12.75">
      <c r="A52" s="240"/>
      <c r="B52" s="132"/>
      <c r="C52" s="132"/>
      <c r="D52" s="132"/>
      <c r="E52" s="132"/>
      <c r="F52" s="132"/>
      <c r="G52" s="132"/>
      <c r="H52" s="132"/>
      <c r="I52" s="132"/>
      <c r="J52" s="132"/>
      <c r="K52" s="247"/>
    </row>
    <row r="53" spans="1:11" ht="12.75">
      <c r="A53" s="240"/>
      <c r="B53" s="132"/>
      <c r="C53" s="132"/>
      <c r="D53" s="132"/>
      <c r="E53" s="132"/>
      <c r="F53" s="132"/>
      <c r="G53" s="132"/>
      <c r="H53" s="132"/>
      <c r="I53" s="132"/>
      <c r="J53" s="132"/>
      <c r="K53" s="247"/>
    </row>
    <row r="54" spans="1:11" ht="12.75">
      <c r="A54" s="240"/>
      <c r="B54" s="132"/>
      <c r="C54" s="132"/>
      <c r="D54" s="132"/>
      <c r="E54" s="132"/>
      <c r="F54" s="132"/>
      <c r="G54" s="132"/>
      <c r="H54" s="132"/>
      <c r="I54" s="132"/>
      <c r="J54" s="132"/>
      <c r="K54" s="247"/>
    </row>
    <row r="55" spans="1:11" ht="12.75">
      <c r="A55" s="240"/>
      <c r="B55" s="132"/>
      <c r="C55" s="132"/>
      <c r="D55" s="132"/>
      <c r="E55" s="132"/>
      <c r="F55" s="132"/>
      <c r="G55" s="132"/>
      <c r="H55" s="132"/>
      <c r="I55" s="132"/>
      <c r="J55" s="132"/>
      <c r="K55" s="247"/>
    </row>
    <row r="56" spans="1:11" ht="12.75">
      <c r="A56" s="240"/>
      <c r="B56" s="249"/>
      <c r="C56" s="249"/>
      <c r="D56" s="249"/>
      <c r="E56" s="249"/>
      <c r="F56" s="249"/>
      <c r="G56" s="249"/>
      <c r="H56" s="249"/>
      <c r="I56" s="249"/>
      <c r="J56" s="249"/>
      <c r="K56" s="247"/>
    </row>
    <row r="57" spans="1:11" ht="12.75">
      <c r="A57" s="240"/>
      <c r="B57" s="249"/>
      <c r="C57" s="249"/>
      <c r="D57" s="249"/>
      <c r="E57" s="249"/>
      <c r="F57" s="249"/>
      <c r="G57" s="249"/>
      <c r="H57" s="249"/>
      <c r="I57" s="249"/>
      <c r="J57" s="249"/>
      <c r="K57" s="247"/>
    </row>
    <row r="58" spans="1:11" ht="12.75">
      <c r="A58" s="240"/>
      <c r="B58" s="953" t="str">
        <f>"Gráfico N°22: Costos marginales medios registrados en las principales barras del área sur durante el mes de "&amp;'1. Resumen'!Q4</f>
        <v>Gráfico N°22: Costos marginales medios registrados en las principales barras del área sur durante el mes de agosto</v>
      </c>
      <c r="C58" s="953"/>
      <c r="D58" s="953"/>
      <c r="E58" s="953"/>
      <c r="F58" s="953"/>
      <c r="G58" s="953"/>
      <c r="H58" s="953"/>
      <c r="I58" s="953"/>
      <c r="J58" s="249"/>
      <c r="K58" s="247"/>
    </row>
    <row r="59" spans="1:11" ht="12.75">
      <c r="A59" s="92"/>
      <c r="B59" s="157"/>
      <c r="C59" s="157"/>
      <c r="D59" s="157"/>
      <c r="E59" s="157"/>
      <c r="F59" s="157"/>
      <c r="G59" s="157"/>
      <c r="H59" s="249"/>
      <c r="I59" s="249"/>
      <c r="J59" s="249"/>
      <c r="K59" s="247"/>
    </row>
  </sheetData>
  <mergeCells count="8">
    <mergeCell ref="B58:I58"/>
    <mergeCell ref="B21:I21"/>
    <mergeCell ref="B10:I10"/>
    <mergeCell ref="A2:K2"/>
    <mergeCell ref="A4:H4"/>
    <mergeCell ref="B28:I28"/>
    <mergeCell ref="B47:I47"/>
    <mergeCell ref="B40:I40"/>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22AA-019D-4C60-AB9F-E5ED2AAB79C3}">
  <sheetPr>
    <tabColor theme="4"/>
  </sheetPr>
  <dimension ref="A1:L71"/>
  <sheetViews>
    <sheetView showGridLines="0" view="pageBreakPreview" zoomScale="175" zoomScaleNormal="100" zoomScaleSheetLayoutView="175" zoomScalePageLayoutView="145" workbookViewId="0">
      <selection activeCell="Q15" sqref="Q15"/>
    </sheetView>
  </sheetViews>
  <sheetFormatPr defaultRowHeight="11.25"/>
  <cols>
    <col min="1" max="9" width="9.33203125" style="3"/>
    <col min="10" max="10" width="9.33203125" style="3" customWidth="1"/>
    <col min="11" max="11" width="11.33203125" style="3" customWidth="1"/>
    <col min="12" max="12" width="12.33203125" style="3" customWidth="1"/>
    <col min="13" max="16384" width="9.33203125" style="3"/>
  </cols>
  <sheetData>
    <row r="1" spans="1:12" ht="11.25" customHeight="1"/>
    <row r="2" spans="1:12" ht="26.25" customHeight="1">
      <c r="A2" s="916" t="s">
        <v>497</v>
      </c>
      <c r="B2" s="916"/>
      <c r="C2" s="916"/>
      <c r="D2" s="916"/>
      <c r="E2" s="916"/>
      <c r="F2" s="916"/>
      <c r="G2" s="916"/>
      <c r="H2" s="916"/>
      <c r="I2" s="916"/>
      <c r="J2" s="916"/>
      <c r="K2" s="916"/>
      <c r="L2" s="916"/>
    </row>
    <row r="3" spans="1:12" ht="11.25" customHeight="1">
      <c r="A3" s="240"/>
      <c r="B3" s="240"/>
      <c r="C3" s="240"/>
      <c r="D3" s="240"/>
      <c r="E3" s="240"/>
      <c r="F3" s="240"/>
      <c r="G3" s="240"/>
      <c r="H3" s="240"/>
      <c r="I3" s="240"/>
      <c r="J3" s="240"/>
      <c r="K3" s="240"/>
      <c r="L3" s="251"/>
    </row>
    <row r="4" spans="1:12" ht="11.25" customHeight="1">
      <c r="A4" s="240"/>
      <c r="B4" s="240"/>
      <c r="C4" s="240"/>
      <c r="D4" s="240"/>
      <c r="E4" s="240"/>
      <c r="F4" s="240"/>
      <c r="G4" s="240"/>
      <c r="H4" s="240"/>
      <c r="I4" s="240"/>
      <c r="J4" s="240"/>
      <c r="K4" s="240"/>
      <c r="L4" s="84"/>
    </row>
    <row r="5" spans="1:12" ht="11.25" customHeight="1">
      <c r="A5" s="240"/>
      <c r="B5" s="240"/>
      <c r="C5" s="240"/>
      <c r="D5" s="240"/>
      <c r="E5" s="240"/>
      <c r="F5" s="240"/>
      <c r="G5" s="240"/>
      <c r="H5" s="240"/>
      <c r="I5" s="240"/>
      <c r="J5" s="240"/>
      <c r="K5" s="240"/>
      <c r="L5" s="84"/>
    </row>
    <row r="6" spans="1:12" ht="11.25" customHeight="1">
      <c r="A6" s="240"/>
      <c r="B6" s="240"/>
      <c r="C6" s="240"/>
      <c r="D6" s="240"/>
      <c r="E6" s="240"/>
      <c r="F6" s="240"/>
      <c r="G6" s="240"/>
      <c r="H6" s="240"/>
      <c r="I6" s="240"/>
      <c r="J6" s="240"/>
      <c r="K6" s="240"/>
      <c r="L6" s="84"/>
    </row>
    <row r="7" spans="1:12" ht="11.25" customHeight="1">
      <c r="A7" s="240"/>
      <c r="B7" s="241"/>
      <c r="C7" s="240"/>
      <c r="D7" s="240"/>
      <c r="E7" s="240"/>
      <c r="F7" s="240"/>
      <c r="G7" s="240"/>
      <c r="H7" s="240"/>
      <c r="I7" s="240"/>
      <c r="J7" s="240"/>
      <c r="K7" s="240"/>
      <c r="L7" s="84"/>
    </row>
    <row r="8" spans="1:12" ht="11.25" customHeight="1">
      <c r="A8" s="240"/>
      <c r="B8" s="241"/>
      <c r="C8" s="240"/>
      <c r="D8" s="240"/>
      <c r="E8" s="240"/>
      <c r="F8" s="240"/>
      <c r="G8" s="240"/>
      <c r="H8" s="240"/>
      <c r="I8" s="240"/>
      <c r="J8" s="240"/>
      <c r="K8" s="240"/>
      <c r="L8" s="84"/>
    </row>
    <row r="9" spans="1:12" ht="11.25" customHeight="1">
      <c r="A9" s="240"/>
      <c r="B9" s="241"/>
      <c r="C9" s="240"/>
      <c r="D9" s="240"/>
      <c r="E9" s="240"/>
      <c r="F9" s="240"/>
      <c r="G9" s="240"/>
      <c r="H9" s="240"/>
      <c r="I9" s="240"/>
      <c r="J9" s="240"/>
      <c r="K9" s="240"/>
      <c r="L9" s="84"/>
    </row>
    <row r="10" spans="1:12" ht="11.25" customHeight="1">
      <c r="A10" s="240"/>
      <c r="B10" s="240"/>
      <c r="C10" s="240"/>
      <c r="D10" s="240"/>
      <c r="E10" s="240"/>
      <c r="F10" s="240"/>
      <c r="G10" s="240"/>
      <c r="H10" s="240"/>
      <c r="I10" s="240"/>
      <c r="J10" s="240"/>
      <c r="K10" s="240"/>
      <c r="L10" s="84"/>
    </row>
    <row r="11" spans="1:12" ht="11.25" customHeight="1">
      <c r="A11" s="240"/>
      <c r="B11" s="240"/>
      <c r="C11" s="240"/>
      <c r="D11" s="240"/>
      <c r="E11" s="240"/>
      <c r="F11" s="240"/>
      <c r="G11" s="240"/>
      <c r="H11" s="240"/>
      <c r="I11" s="240"/>
      <c r="J11" s="240"/>
      <c r="K11" s="240"/>
      <c r="L11" s="84"/>
    </row>
    <row r="12" spans="1:12" ht="11.25" customHeight="1">
      <c r="A12" s="240"/>
      <c r="B12" s="240"/>
      <c r="C12" s="240"/>
      <c r="D12" s="240"/>
      <c r="E12" s="240"/>
      <c r="F12" s="240"/>
      <c r="G12" s="240"/>
      <c r="H12" s="240"/>
      <c r="I12" s="240"/>
      <c r="J12" s="240"/>
      <c r="K12" s="240"/>
      <c r="L12" s="84"/>
    </row>
    <row r="13" spans="1:12" ht="11.25" customHeight="1">
      <c r="A13" s="240"/>
      <c r="B13" s="240"/>
      <c r="C13" s="240"/>
      <c r="D13" s="240"/>
      <c r="E13" s="240"/>
      <c r="F13" s="240"/>
      <c r="G13" s="240"/>
      <c r="H13" s="240"/>
      <c r="I13" s="240"/>
      <c r="J13" s="240"/>
      <c r="K13" s="240"/>
      <c r="L13" s="84"/>
    </row>
    <row r="14" spans="1:12" ht="11.25" customHeight="1">
      <c r="A14" s="240"/>
      <c r="B14" s="240"/>
      <c r="C14" s="240"/>
      <c r="D14" s="240"/>
      <c r="E14" s="240"/>
      <c r="F14" s="240"/>
      <c r="G14" s="240"/>
      <c r="H14" s="240"/>
      <c r="I14" s="240"/>
      <c r="J14" s="240"/>
      <c r="K14" s="240"/>
      <c r="L14" s="84"/>
    </row>
    <row r="15" spans="1:12" ht="11.25" customHeight="1">
      <c r="A15" s="240"/>
      <c r="B15" s="240"/>
      <c r="C15" s="240"/>
      <c r="D15" s="240"/>
      <c r="E15" s="240"/>
      <c r="F15" s="240"/>
      <c r="G15" s="240"/>
      <c r="H15" s="240"/>
      <c r="I15" s="240"/>
      <c r="J15" s="240"/>
      <c r="K15" s="240"/>
      <c r="L15" s="84"/>
    </row>
    <row r="16" spans="1:12" ht="11.25" customHeight="1">
      <c r="A16" s="240"/>
      <c r="B16" s="240"/>
      <c r="C16" s="240"/>
      <c r="D16" s="240"/>
      <c r="E16" s="240"/>
      <c r="F16" s="240"/>
      <c r="G16" s="240"/>
      <c r="H16" s="240"/>
      <c r="I16" s="240"/>
      <c r="J16" s="240"/>
      <c r="K16" s="240"/>
      <c r="L16" s="84"/>
    </row>
    <row r="17" spans="1:12" ht="11.25" customHeight="1">
      <c r="A17" s="240"/>
      <c r="B17" s="240"/>
      <c r="C17" s="240"/>
      <c r="D17" s="240"/>
      <c r="E17" s="240"/>
      <c r="F17" s="240"/>
      <c r="G17" s="240"/>
      <c r="H17" s="240"/>
      <c r="I17" s="240"/>
      <c r="J17" s="240"/>
      <c r="K17" s="240"/>
      <c r="L17" s="84"/>
    </row>
    <row r="18" spans="1:12" ht="11.25" customHeight="1">
      <c r="A18" s="240"/>
      <c r="B18" s="240"/>
      <c r="C18" s="240"/>
      <c r="D18" s="240"/>
      <c r="E18" s="240"/>
      <c r="F18" s="240"/>
      <c r="G18" s="240"/>
      <c r="H18" s="240"/>
      <c r="I18" s="240"/>
      <c r="J18" s="240"/>
      <c r="K18" s="240"/>
      <c r="L18" s="251"/>
    </row>
    <row r="19" spans="1:12" ht="11.25" customHeight="1">
      <c r="A19" s="240"/>
      <c r="B19" s="240"/>
      <c r="C19" s="240"/>
      <c r="D19" s="240"/>
      <c r="E19" s="240"/>
      <c r="F19" s="240"/>
      <c r="G19" s="240"/>
      <c r="H19" s="240"/>
      <c r="I19" s="240"/>
      <c r="J19" s="240"/>
      <c r="K19" s="240"/>
      <c r="L19" s="251"/>
    </row>
    <row r="20" spans="1:12" ht="11.25" customHeight="1">
      <c r="A20" s="240"/>
      <c r="B20" s="240"/>
      <c r="C20" s="240"/>
      <c r="D20" s="240"/>
      <c r="E20" s="240"/>
      <c r="F20" s="240"/>
      <c r="G20" s="240"/>
      <c r="H20" s="240"/>
      <c r="I20" s="240"/>
      <c r="J20" s="240"/>
      <c r="K20" s="240"/>
      <c r="L20" s="251"/>
    </row>
    <row r="21" spans="1:12" ht="11.25" customHeight="1">
      <c r="A21" s="240"/>
      <c r="B21" s="240"/>
      <c r="C21" s="240"/>
      <c r="D21" s="240"/>
      <c r="E21" s="240"/>
      <c r="F21" s="240"/>
      <c r="G21" s="240"/>
      <c r="H21" s="240"/>
      <c r="I21" s="240"/>
      <c r="J21" s="240"/>
      <c r="K21" s="240"/>
      <c r="L21" s="251"/>
    </row>
    <row r="22" spans="1:12" ht="11.25" customHeight="1">
      <c r="A22" s="240"/>
      <c r="B22" s="240"/>
      <c r="C22" s="240"/>
      <c r="D22" s="240"/>
      <c r="E22" s="240"/>
      <c r="F22" s="240"/>
      <c r="G22" s="240"/>
      <c r="H22" s="240"/>
      <c r="I22" s="240"/>
      <c r="J22" s="240"/>
      <c r="K22" s="240"/>
      <c r="L22" s="251"/>
    </row>
    <row r="23" spans="1:12" ht="11.25" customHeight="1">
      <c r="A23" s="240"/>
      <c r="B23" s="240"/>
      <c r="C23" s="240"/>
      <c r="D23" s="240"/>
      <c r="E23" s="240"/>
      <c r="F23" s="240"/>
      <c r="G23" s="240"/>
      <c r="H23" s="240"/>
      <c r="I23" s="240"/>
      <c r="J23" s="240"/>
      <c r="K23" s="240"/>
      <c r="L23" s="251"/>
    </row>
    <row r="24" spans="1:12" ht="11.25" customHeight="1">
      <c r="A24" s="240"/>
      <c r="B24" s="240"/>
      <c r="C24" s="240"/>
      <c r="D24" s="240"/>
      <c r="E24" s="240"/>
      <c r="F24" s="240"/>
      <c r="G24" s="240"/>
      <c r="H24" s="240"/>
      <c r="I24" s="240"/>
      <c r="J24" s="240"/>
      <c r="K24" s="240"/>
      <c r="L24" s="251"/>
    </row>
    <row r="25" spans="1:12" ht="11.25" customHeight="1">
      <c r="A25" s="240"/>
      <c r="B25" s="240"/>
      <c r="C25" s="240"/>
      <c r="D25" s="240"/>
      <c r="E25" s="240"/>
      <c r="F25" s="240"/>
      <c r="G25" s="240"/>
      <c r="H25" s="240"/>
      <c r="I25" s="240"/>
      <c r="J25" s="240"/>
      <c r="K25" s="240"/>
      <c r="L25" s="251"/>
    </row>
    <row r="26" spans="1:12" ht="11.25" customHeight="1">
      <c r="A26" s="240"/>
      <c r="B26" s="240"/>
      <c r="C26" s="240"/>
      <c r="D26" s="240"/>
      <c r="E26" s="240"/>
      <c r="F26" s="240"/>
      <c r="G26" s="240"/>
      <c r="H26" s="240"/>
      <c r="I26" s="240"/>
      <c r="J26" s="240"/>
      <c r="K26" s="240"/>
      <c r="L26" s="251"/>
    </row>
    <row r="27" spans="1:12" ht="11.25" customHeight="1">
      <c r="A27" s="240"/>
      <c r="B27" s="240"/>
      <c r="C27" s="240"/>
      <c r="D27" s="240"/>
      <c r="E27" s="240"/>
      <c r="F27" s="240"/>
      <c r="G27" s="240"/>
      <c r="H27" s="240"/>
      <c r="I27" s="240"/>
      <c r="J27" s="240"/>
      <c r="K27" s="240"/>
      <c r="L27" s="251"/>
    </row>
    <row r="28" spans="1:12" ht="11.25" customHeight="1">
      <c r="A28" s="240"/>
      <c r="B28" s="240"/>
      <c r="C28" s="240"/>
      <c r="D28" s="240"/>
      <c r="E28" s="240"/>
      <c r="F28" s="240"/>
      <c r="G28" s="240"/>
      <c r="H28" s="240"/>
      <c r="I28" s="240"/>
      <c r="J28" s="240"/>
      <c r="K28" s="240"/>
      <c r="L28" s="251"/>
    </row>
    <row r="29" spans="1:12" ht="11.25" customHeight="1">
      <c r="A29" s="240"/>
      <c r="B29" s="240"/>
      <c r="C29" s="240"/>
      <c r="D29" s="240"/>
      <c r="E29" s="240"/>
      <c r="F29" s="240"/>
      <c r="G29" s="240"/>
      <c r="H29" s="240"/>
      <c r="I29" s="240"/>
      <c r="J29" s="240"/>
      <c r="K29" s="240"/>
      <c r="L29" s="251"/>
    </row>
    <row r="30" spans="1:12" ht="11.25" customHeight="1">
      <c r="A30" s="240"/>
      <c r="B30" s="240"/>
      <c r="C30" s="240"/>
      <c r="D30" s="240"/>
      <c r="E30" s="240"/>
      <c r="F30" s="240"/>
      <c r="G30" s="240"/>
      <c r="H30" s="240"/>
      <c r="I30" s="240"/>
      <c r="J30" s="240"/>
      <c r="K30" s="240"/>
      <c r="L30" s="251"/>
    </row>
    <row r="31" spans="1:12" ht="11.25" customHeight="1">
      <c r="A31" s="240"/>
      <c r="B31" s="240"/>
      <c r="C31" s="240"/>
      <c r="D31" s="240"/>
      <c r="E31" s="240"/>
      <c r="F31" s="240"/>
      <c r="G31" s="240"/>
      <c r="H31" s="240"/>
      <c r="I31" s="240"/>
      <c r="J31" s="240"/>
      <c r="K31" s="240"/>
      <c r="L31" s="251"/>
    </row>
    <row r="32" spans="1:12" ht="11.25" customHeight="1">
      <c r="A32" s="240"/>
      <c r="B32" s="240"/>
      <c r="C32" s="240"/>
      <c r="D32" s="240"/>
      <c r="E32" s="240"/>
      <c r="F32" s="240"/>
      <c r="G32" s="240"/>
      <c r="H32" s="240"/>
      <c r="I32" s="240"/>
      <c r="J32" s="240"/>
      <c r="K32" s="240"/>
      <c r="L32" s="91"/>
    </row>
    <row r="33" spans="1:12" ht="11.25" customHeight="1">
      <c r="A33" s="240"/>
      <c r="B33" s="240"/>
      <c r="C33" s="240"/>
      <c r="D33" s="240"/>
      <c r="E33" s="240"/>
      <c r="F33" s="240"/>
      <c r="G33" s="240"/>
      <c r="H33" s="240"/>
      <c r="I33" s="240"/>
      <c r="J33" s="240"/>
      <c r="K33" s="240"/>
      <c r="L33" s="91"/>
    </row>
    <row r="34" spans="1:12" ht="11.25" customHeight="1">
      <c r="A34" s="240"/>
      <c r="B34" s="240"/>
      <c r="C34" s="240"/>
      <c r="D34" s="240"/>
      <c r="E34" s="240"/>
      <c r="F34" s="240"/>
      <c r="G34" s="240"/>
      <c r="H34" s="240"/>
      <c r="I34" s="240"/>
      <c r="J34" s="240"/>
      <c r="K34" s="240"/>
      <c r="L34" s="91"/>
    </row>
    <row r="35" spans="1:12" ht="11.25" customHeight="1">
      <c r="A35" s="240"/>
      <c r="B35" s="240"/>
      <c r="C35" s="240"/>
      <c r="D35" s="240"/>
      <c r="E35" s="240"/>
      <c r="F35" s="240"/>
      <c r="G35" s="240"/>
      <c r="H35" s="240"/>
      <c r="I35" s="240"/>
      <c r="J35" s="240"/>
      <c r="K35" s="240"/>
      <c r="L35" s="91"/>
    </row>
    <row r="36" spans="1:12" ht="11.25" customHeight="1">
      <c r="A36" s="240"/>
      <c r="B36" s="240"/>
      <c r="C36" s="240"/>
      <c r="D36" s="240"/>
      <c r="E36" s="240"/>
      <c r="F36" s="240"/>
      <c r="G36" s="240"/>
      <c r="H36" s="240"/>
      <c r="I36" s="240"/>
      <c r="J36" s="240"/>
      <c r="K36" s="240"/>
      <c r="L36" s="91"/>
    </row>
    <row r="37" spans="1:12" ht="11.25" customHeight="1">
      <c r="A37" s="240"/>
      <c r="B37" s="240"/>
      <c r="C37" s="240"/>
      <c r="D37" s="240"/>
      <c r="E37" s="240"/>
      <c r="F37" s="240"/>
      <c r="G37" s="240"/>
      <c r="H37" s="240"/>
      <c r="I37" s="240"/>
      <c r="J37" s="240"/>
      <c r="K37" s="240"/>
      <c r="L37" s="91"/>
    </row>
    <row r="38" spans="1:12" ht="11.25" customHeight="1">
      <c r="A38" s="240"/>
      <c r="B38" s="240"/>
      <c r="C38" s="240"/>
      <c r="D38" s="240"/>
      <c r="E38" s="240"/>
      <c r="F38" s="240"/>
      <c r="G38" s="240"/>
      <c r="H38" s="240"/>
      <c r="I38" s="240"/>
      <c r="J38" s="240"/>
      <c r="K38" s="240"/>
      <c r="L38" s="91"/>
    </row>
    <row r="39" spans="1:12" ht="11.25" customHeight="1">
      <c r="A39" s="240"/>
      <c r="B39" s="240"/>
      <c r="C39" s="240"/>
      <c r="D39" s="240"/>
      <c r="E39" s="240"/>
      <c r="F39" s="240"/>
      <c r="G39" s="240"/>
      <c r="H39" s="240"/>
      <c r="I39" s="240"/>
      <c r="J39" s="240"/>
      <c r="K39" s="240"/>
      <c r="L39" s="91"/>
    </row>
    <row r="40" spans="1:12" ht="11.25" customHeight="1">
      <c r="A40" s="240"/>
      <c r="B40" s="240"/>
      <c r="C40" s="240"/>
      <c r="D40" s="240"/>
      <c r="E40" s="240"/>
      <c r="F40" s="240"/>
      <c r="G40" s="240"/>
      <c r="H40" s="240"/>
      <c r="I40" s="240"/>
      <c r="J40" s="240"/>
      <c r="K40" s="240"/>
      <c r="L40" s="91"/>
    </row>
    <row r="41" spans="1:12" ht="11.25" customHeight="1">
      <c r="A41" s="240"/>
      <c r="B41" s="240"/>
      <c r="C41" s="240"/>
      <c r="D41" s="240"/>
      <c r="E41" s="240"/>
      <c r="F41" s="240"/>
      <c r="G41" s="240"/>
      <c r="H41" s="240"/>
      <c r="I41" s="240"/>
      <c r="J41" s="240"/>
      <c r="K41" s="240"/>
      <c r="L41" s="91"/>
    </row>
    <row r="42" spans="1:12" ht="11.25" customHeight="1">
      <c r="A42" s="240"/>
      <c r="B42" s="240"/>
      <c r="C42" s="240"/>
      <c r="D42" s="240"/>
      <c r="E42" s="240"/>
      <c r="F42" s="240"/>
      <c r="G42" s="240"/>
      <c r="H42" s="240"/>
      <c r="I42" s="240"/>
      <c r="J42" s="240"/>
      <c r="K42" s="240"/>
      <c r="L42" s="91"/>
    </row>
    <row r="43" spans="1:12" ht="11.25" customHeight="1">
      <c r="A43" s="240"/>
      <c r="B43" s="240"/>
      <c r="C43" s="240"/>
      <c r="D43" s="240"/>
      <c r="E43" s="240"/>
      <c r="F43" s="240"/>
      <c r="G43" s="240"/>
      <c r="H43" s="240"/>
      <c r="I43" s="240"/>
      <c r="J43" s="240"/>
      <c r="K43" s="240"/>
      <c r="L43" s="91"/>
    </row>
    <row r="44" spans="1:12" ht="11.25" customHeight="1">
      <c r="A44" s="92"/>
      <c r="B44" s="92"/>
      <c r="C44" s="92"/>
      <c r="D44" s="92"/>
      <c r="E44" s="92"/>
      <c r="F44" s="92"/>
      <c r="G44" s="92"/>
      <c r="H44" s="92"/>
      <c r="I44" s="92"/>
      <c r="J44" s="92"/>
      <c r="K44" s="240"/>
      <c r="L44" s="91"/>
    </row>
    <row r="45" spans="1:12" ht="11.25" customHeight="1">
      <c r="A45" s="92"/>
      <c r="B45" s="92"/>
      <c r="C45" s="92"/>
      <c r="D45" s="92"/>
      <c r="E45" s="92"/>
      <c r="F45" s="92"/>
      <c r="G45" s="92"/>
      <c r="H45" s="92"/>
      <c r="I45" s="92"/>
      <c r="J45" s="92"/>
      <c r="K45" s="240"/>
      <c r="L45" s="91"/>
    </row>
    <row r="46" spans="1:12" ht="11.25" customHeight="1">
      <c r="A46" s="92"/>
      <c r="B46" s="92"/>
      <c r="C46" s="92"/>
      <c r="D46" s="92"/>
      <c r="E46" s="92"/>
      <c r="F46" s="92"/>
      <c r="G46" s="92"/>
      <c r="H46" s="92"/>
      <c r="I46" s="92"/>
      <c r="J46" s="92"/>
      <c r="K46" s="240"/>
      <c r="L46" s="91"/>
    </row>
    <row r="47" spans="1:12" ht="11.25" customHeight="1">
      <c r="A47" s="92"/>
      <c r="B47" s="92"/>
      <c r="C47" s="92"/>
      <c r="D47" s="92"/>
      <c r="E47" s="92"/>
      <c r="F47" s="92"/>
      <c r="G47" s="92"/>
      <c r="H47" s="92"/>
      <c r="I47" s="92"/>
      <c r="J47" s="92"/>
      <c r="K47" s="240"/>
      <c r="L47" s="91"/>
    </row>
    <row r="48" spans="1:12" ht="11.25" customHeight="1">
      <c r="A48" s="92"/>
      <c r="B48" s="92"/>
      <c r="C48" s="92"/>
      <c r="D48" s="92"/>
      <c r="E48" s="92"/>
      <c r="F48" s="92"/>
      <c r="G48" s="92"/>
      <c r="H48" s="92"/>
      <c r="I48" s="92"/>
      <c r="J48" s="92"/>
      <c r="K48" s="240"/>
      <c r="L48" s="91"/>
    </row>
    <row r="49" spans="1:12" ht="11.25" customHeight="1">
      <c r="A49" s="92"/>
      <c r="B49" s="92"/>
      <c r="C49" s="92"/>
      <c r="D49" s="92"/>
      <c r="E49" s="92"/>
      <c r="F49" s="92"/>
      <c r="G49" s="92"/>
      <c r="H49" s="92"/>
      <c r="I49" s="92"/>
      <c r="J49" s="92"/>
      <c r="K49" s="240"/>
      <c r="L49" s="91"/>
    </row>
    <row r="50" spans="1:12" ht="12.75">
      <c r="A50" s="92"/>
      <c r="B50" s="92"/>
      <c r="C50" s="92"/>
      <c r="D50" s="92"/>
      <c r="E50" s="92"/>
      <c r="F50" s="92"/>
      <c r="G50" s="92"/>
      <c r="H50" s="92"/>
      <c r="I50" s="92"/>
      <c r="J50" s="92"/>
      <c r="K50" s="240"/>
      <c r="L50" s="91"/>
    </row>
    <row r="51" spans="1:12" ht="12.75">
      <c r="A51" s="92"/>
      <c r="B51" s="92"/>
      <c r="C51" s="92"/>
      <c r="D51" s="92"/>
      <c r="E51" s="92"/>
      <c r="F51" s="92"/>
      <c r="G51" s="92"/>
      <c r="H51" s="92"/>
      <c r="I51" s="92"/>
      <c r="J51" s="92"/>
      <c r="K51" s="240"/>
      <c r="L51" s="91"/>
    </row>
    <row r="52" spans="1:12" ht="12.75">
      <c r="A52" s="92"/>
      <c r="B52" s="92"/>
      <c r="C52" s="92"/>
      <c r="D52" s="92"/>
      <c r="E52" s="92"/>
      <c r="F52" s="92"/>
      <c r="G52" s="92"/>
      <c r="H52" s="92"/>
      <c r="I52" s="92"/>
      <c r="J52" s="92"/>
      <c r="K52" s="240"/>
      <c r="L52" s="91"/>
    </row>
    <row r="53" spans="1:12" ht="12.75">
      <c r="A53" s="92"/>
      <c r="B53" s="92"/>
      <c r="C53" s="92"/>
      <c r="D53" s="92"/>
      <c r="E53" s="92"/>
      <c r="F53" s="92"/>
      <c r="G53" s="92"/>
      <c r="H53" s="92"/>
      <c r="I53" s="92"/>
      <c r="J53" s="92"/>
      <c r="K53" s="240"/>
      <c r="L53" s="91"/>
    </row>
    <row r="54" spans="1:12" ht="12.75">
      <c r="A54" s="92"/>
      <c r="B54" s="92"/>
      <c r="C54" s="92"/>
      <c r="D54" s="92"/>
      <c r="E54" s="92"/>
      <c r="F54" s="92"/>
      <c r="G54" s="92"/>
      <c r="H54" s="92"/>
      <c r="I54" s="92"/>
      <c r="J54" s="92"/>
      <c r="K54" s="240"/>
      <c r="L54" s="91"/>
    </row>
    <row r="55" spans="1:12" ht="12.75">
      <c r="A55" s="92"/>
      <c r="B55" s="92"/>
      <c r="C55" s="92"/>
      <c r="D55" s="92"/>
      <c r="E55" s="92"/>
      <c r="F55" s="92"/>
      <c r="G55" s="92"/>
      <c r="H55" s="92"/>
      <c r="I55" s="92"/>
      <c r="J55" s="92"/>
      <c r="K55" s="240"/>
      <c r="L55" s="91"/>
    </row>
    <row r="56" spans="1:12" ht="12.75">
      <c r="A56" s="92"/>
      <c r="B56" s="92"/>
      <c r="C56" s="92"/>
      <c r="D56" s="92"/>
      <c r="E56" s="92"/>
      <c r="F56" s="92"/>
      <c r="G56" s="92"/>
      <c r="H56" s="92"/>
      <c r="I56" s="92"/>
      <c r="J56" s="92"/>
      <c r="K56" s="240"/>
      <c r="L56" s="91"/>
    </row>
    <row r="57" spans="1:12" ht="12.75">
      <c r="A57" s="92"/>
      <c r="B57" s="92"/>
      <c r="C57" s="92"/>
      <c r="D57" s="92"/>
      <c r="E57" s="92"/>
      <c r="F57" s="92"/>
      <c r="G57" s="92"/>
      <c r="H57" s="92"/>
      <c r="I57" s="92"/>
      <c r="J57" s="92"/>
      <c r="K57" s="240"/>
      <c r="L57" s="91"/>
    </row>
    <row r="58" spans="1:12" ht="12.75">
      <c r="A58" s="92"/>
      <c r="B58" s="92"/>
      <c r="C58" s="92"/>
      <c r="D58" s="92"/>
      <c r="E58" s="92"/>
      <c r="F58" s="92"/>
      <c r="G58" s="92"/>
      <c r="H58" s="92"/>
      <c r="I58" s="92"/>
      <c r="J58" s="92"/>
      <c r="K58" s="240"/>
      <c r="L58" s="91"/>
    </row>
    <row r="59" spans="1:12" ht="12.75">
      <c r="A59" s="92"/>
      <c r="B59" s="92"/>
      <c r="C59" s="92"/>
      <c r="D59" s="92"/>
      <c r="E59" s="92"/>
      <c r="F59" s="92"/>
      <c r="G59" s="92"/>
      <c r="H59" s="92"/>
      <c r="I59" s="92"/>
      <c r="J59" s="92"/>
      <c r="K59" s="240"/>
      <c r="L59" s="91"/>
    </row>
    <row r="60" spans="1:12" ht="12.75">
      <c r="A60" s="92"/>
      <c r="B60" s="92"/>
      <c r="C60" s="92"/>
      <c r="D60" s="92"/>
      <c r="E60" s="92"/>
      <c r="F60" s="92"/>
      <c r="G60" s="92"/>
      <c r="H60" s="92"/>
      <c r="I60" s="92"/>
      <c r="J60" s="92"/>
      <c r="K60" s="240"/>
      <c r="L60" s="91"/>
    </row>
    <row r="61" spans="1:12" ht="12.75">
      <c r="A61" s="92"/>
      <c r="B61" s="92"/>
      <c r="C61" s="92"/>
      <c r="D61" s="92"/>
      <c r="E61" s="92"/>
      <c r="F61" s="92"/>
      <c r="G61" s="92"/>
      <c r="H61" s="92"/>
      <c r="I61" s="92"/>
      <c r="J61" s="92"/>
      <c r="K61" s="240"/>
      <c r="L61" s="91"/>
    </row>
    <row r="62" spans="1:12" ht="12.75">
      <c r="A62" s="92"/>
      <c r="B62" s="92"/>
      <c r="C62" s="92"/>
      <c r="D62" s="92"/>
      <c r="E62" s="92"/>
      <c r="F62" s="92"/>
      <c r="G62" s="92"/>
      <c r="H62" s="92"/>
      <c r="I62" s="92"/>
      <c r="J62" s="92"/>
      <c r="K62" s="240"/>
      <c r="L62" s="91"/>
    </row>
    <row r="63" spans="1:12" ht="12.75">
      <c r="A63" s="92"/>
      <c r="B63" s="92"/>
      <c r="C63" s="92"/>
      <c r="D63" s="92"/>
      <c r="E63" s="92"/>
      <c r="F63" s="92"/>
      <c r="G63" s="92"/>
      <c r="H63" s="92"/>
      <c r="I63" s="92"/>
      <c r="J63" s="92"/>
      <c r="K63" s="240"/>
      <c r="L63" s="91"/>
    </row>
    <row r="64" spans="1:12" ht="12.75">
      <c r="A64" s="92"/>
      <c r="B64" s="92"/>
      <c r="C64" s="92"/>
      <c r="D64" s="92"/>
      <c r="E64" s="92"/>
      <c r="F64" s="92"/>
      <c r="G64" s="92"/>
      <c r="H64" s="92"/>
      <c r="I64" s="92"/>
      <c r="J64" s="92"/>
      <c r="K64" s="240"/>
      <c r="L64" s="91"/>
    </row>
    <row r="65" spans="1:12" ht="12.75">
      <c r="A65" s="92"/>
      <c r="B65" s="92"/>
      <c r="C65" s="92"/>
      <c r="D65" s="92"/>
      <c r="E65" s="92"/>
      <c r="F65" s="92"/>
      <c r="G65" s="92"/>
      <c r="H65" s="92"/>
      <c r="I65" s="92"/>
      <c r="J65" s="92"/>
      <c r="K65" s="240"/>
      <c r="L65" s="91"/>
    </row>
    <row r="66" spans="1:12" ht="12.75">
      <c r="A66" s="92"/>
      <c r="B66" s="92"/>
      <c r="C66" s="92"/>
      <c r="D66" s="92"/>
      <c r="E66" s="92"/>
      <c r="F66" s="92"/>
      <c r="G66" s="92"/>
      <c r="H66" s="92"/>
      <c r="I66" s="92"/>
      <c r="J66" s="92"/>
      <c r="K66" s="240"/>
      <c r="L66" s="91"/>
    </row>
    <row r="67" spans="1:12" ht="12.75">
      <c r="A67" s="92"/>
      <c r="B67" s="92"/>
      <c r="C67" s="92"/>
      <c r="D67" s="92"/>
      <c r="E67" s="92"/>
      <c r="F67" s="92"/>
      <c r="G67" s="92"/>
      <c r="H67" s="92"/>
      <c r="I67" s="92"/>
      <c r="J67" s="92"/>
      <c r="K67" s="240"/>
      <c r="L67" s="91"/>
    </row>
    <row r="68" spans="1:12" ht="12.75">
      <c r="A68" s="92"/>
      <c r="B68" s="92"/>
      <c r="C68" s="92"/>
      <c r="D68" s="92"/>
      <c r="E68" s="92"/>
      <c r="F68" s="92"/>
      <c r="G68" s="92"/>
      <c r="H68" s="92"/>
      <c r="I68" s="92"/>
      <c r="J68" s="92"/>
      <c r="K68" s="240"/>
      <c r="L68" s="91"/>
    </row>
    <row r="69" spans="1:12" ht="12.75">
      <c r="A69" s="92"/>
      <c r="B69" s="92"/>
      <c r="C69" s="92"/>
      <c r="D69" s="92"/>
      <c r="E69" s="92"/>
      <c r="F69" s="92"/>
      <c r="G69" s="92"/>
      <c r="H69" s="92"/>
      <c r="I69" s="92"/>
      <c r="J69" s="92"/>
      <c r="K69" s="240"/>
      <c r="L69" s="91"/>
    </row>
    <row r="70" spans="1:12" ht="12.75">
      <c r="A70" s="252"/>
      <c r="B70" s="252"/>
      <c r="C70" s="252"/>
      <c r="D70" s="252"/>
      <c r="E70" s="252"/>
      <c r="F70" s="252"/>
      <c r="G70" s="252"/>
      <c r="H70" s="252"/>
      <c r="I70" s="252"/>
      <c r="J70" s="252"/>
      <c r="K70" s="240"/>
      <c r="L70" s="91"/>
    </row>
    <row r="71" spans="1:12" ht="12.75">
      <c r="A71" s="92"/>
      <c r="B71" s="91"/>
      <c r="C71" s="91"/>
      <c r="D71" s="91"/>
      <c r="E71" s="91"/>
      <c r="F71" s="91"/>
      <c r="G71" s="91"/>
      <c r="H71" s="91"/>
      <c r="I71" s="91"/>
      <c r="J71" s="91"/>
      <c r="K71" s="240"/>
      <c r="L71" s="91"/>
    </row>
  </sheetData>
  <mergeCells count="1">
    <mergeCell ref="A2:L2"/>
  </mergeCells>
  <pageMargins left="0.7" right="0.50724637681159424" top="0.86956521739130432" bottom="0.61458333333333337" header="0.3" footer="0.3"/>
  <pageSetup orientation="portrait" r:id="rId1"/>
  <headerFooter>
    <oddHeader>&amp;R&amp;7Informe de la Operación Mensual - Agosto 2018
INFSGI-MES-08-2018
10/09/2018
Versión: 01</oddHeader>
    <oddFooter>&amp;L&amp;7COES, 2018&amp;C15&amp;R&amp;7Dirección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C756-708C-4923-B655-0C742344DA82}">
  <sheetPr>
    <tabColor theme="4"/>
  </sheetPr>
  <dimension ref="A1:M61"/>
  <sheetViews>
    <sheetView showGridLines="0" view="pageBreakPreview" zoomScale="115" zoomScaleNormal="100" zoomScaleSheetLayoutView="115" zoomScalePageLayoutView="115" workbookViewId="0">
      <selection activeCell="Q15" sqref="Q15"/>
    </sheetView>
  </sheetViews>
  <sheetFormatPr defaultRowHeight="11.25"/>
  <cols>
    <col min="1" max="1" width="12.83203125" style="61" customWidth="1"/>
    <col min="2" max="2" width="19.33203125" style="61" customWidth="1"/>
    <col min="3" max="3" width="25.6640625" style="61" customWidth="1"/>
    <col min="4" max="4" width="10.1640625" style="61" customWidth="1"/>
    <col min="5" max="5" width="11" style="61" customWidth="1"/>
    <col min="6" max="6" width="10.5" style="61" customWidth="1"/>
    <col min="7" max="7" width="12.1640625" style="61" customWidth="1"/>
    <col min="8" max="8" width="12.33203125" style="61" customWidth="1"/>
    <col min="9" max="9" width="9.33203125" style="61"/>
    <col min="10" max="11" width="9.33203125" style="61" customWidth="1"/>
    <col min="12" max="13" width="9.33203125" style="61"/>
    <col min="14" max="16384" width="9.33203125" style="95"/>
  </cols>
  <sheetData>
    <row r="1" spans="1:12" ht="11.25" customHeight="1"/>
    <row r="2" spans="1:12" ht="21" customHeight="1">
      <c r="A2" s="956" t="s">
        <v>496</v>
      </c>
      <c r="B2" s="956"/>
      <c r="C2" s="956"/>
      <c r="D2" s="956"/>
      <c r="E2" s="956"/>
      <c r="F2" s="956"/>
      <c r="G2" s="956"/>
      <c r="H2" s="956"/>
      <c r="I2" s="264"/>
      <c r="J2" s="264"/>
      <c r="K2" s="264"/>
    </row>
    <row r="3" spans="1:12" ht="11.25" customHeight="1">
      <c r="A3" s="97"/>
      <c r="B3" s="97"/>
      <c r="C3" s="97"/>
      <c r="D3" s="97"/>
      <c r="E3" s="97"/>
      <c r="F3" s="97"/>
      <c r="G3" s="97"/>
      <c r="H3" s="97"/>
      <c r="I3" s="265"/>
      <c r="J3" s="265"/>
      <c r="K3" s="265"/>
      <c r="L3" s="254"/>
    </row>
    <row r="4" spans="1:12" ht="11.25" customHeight="1">
      <c r="A4" s="946" t="s">
        <v>498</v>
      </c>
      <c r="B4" s="946"/>
      <c r="C4" s="946"/>
      <c r="D4" s="946"/>
      <c r="E4" s="946"/>
      <c r="F4" s="946"/>
      <c r="G4" s="946"/>
      <c r="H4" s="946"/>
      <c r="I4" s="255"/>
      <c r="J4" s="255"/>
      <c r="K4" s="255"/>
      <c r="L4" s="254"/>
    </row>
    <row r="5" spans="1:12" ht="11.25" customHeight="1">
      <c r="A5" s="97"/>
      <c r="B5" s="199"/>
      <c r="C5" s="98"/>
      <c r="D5" s="99"/>
      <c r="E5" s="99"/>
      <c r="F5" s="100"/>
      <c r="G5" s="96"/>
      <c r="H5" s="96"/>
      <c r="I5" s="256"/>
      <c r="J5" s="256"/>
      <c r="K5" s="256"/>
      <c r="L5" s="266"/>
    </row>
    <row r="6" spans="1:12" ht="30.75" customHeight="1">
      <c r="A6" s="816" t="s">
        <v>196</v>
      </c>
      <c r="B6" s="817" t="s">
        <v>197</v>
      </c>
      <c r="C6" s="817" t="s">
        <v>198</v>
      </c>
      <c r="D6" s="818" t="str">
        <f>UPPER('1. Resumen'!Q4)&amp;"
 "&amp;'1. Resumen'!Q5</f>
        <v>AGOSTO
 2018</v>
      </c>
      <c r="E6" s="818" t="str">
        <f>UPPER('1. Resumen'!Q4)&amp;"
 "&amp;'1. Resumen'!Q5-1</f>
        <v>AGOSTO
 2017</v>
      </c>
      <c r="F6" s="818" t="str">
        <f>UPPER('1. Resumen'!Q4)&amp;"
 "&amp;'1. Resumen'!Q5-2</f>
        <v>AGOSTO
 2016</v>
      </c>
      <c r="G6" s="817" t="s">
        <v>511</v>
      </c>
      <c r="H6" s="819" t="s">
        <v>199</v>
      </c>
      <c r="I6" s="256"/>
      <c r="J6" s="256"/>
      <c r="K6" s="256"/>
      <c r="L6" s="201"/>
    </row>
    <row r="7" spans="1:12" ht="16.5">
      <c r="A7" s="693" t="s">
        <v>200</v>
      </c>
      <c r="B7" s="687" t="s">
        <v>561</v>
      </c>
      <c r="C7" s="633" t="s">
        <v>560</v>
      </c>
      <c r="D7" s="271"/>
      <c r="E7" s="271">
        <v>728</v>
      </c>
      <c r="F7" s="271">
        <v>616.38333333333333</v>
      </c>
      <c r="G7" s="655">
        <f>+D7/E7-1</f>
        <v>-1</v>
      </c>
      <c r="H7" s="387">
        <f>+E7/F7-1</f>
        <v>0.18108320038936809</v>
      </c>
      <c r="I7" s="256"/>
      <c r="J7" s="256"/>
      <c r="K7" s="256"/>
      <c r="L7" s="74"/>
    </row>
    <row r="8" spans="1:12" ht="12.75">
      <c r="A8" s="957" t="s">
        <v>201</v>
      </c>
      <c r="B8" s="687" t="s">
        <v>562</v>
      </c>
      <c r="C8" s="633" t="s">
        <v>559</v>
      </c>
      <c r="D8" s="271">
        <v>7.2500000000000009</v>
      </c>
      <c r="E8" s="271"/>
      <c r="F8" s="271"/>
      <c r="G8" s="655"/>
      <c r="H8" s="387"/>
      <c r="I8" s="256"/>
      <c r="J8" s="256"/>
      <c r="K8" s="256"/>
      <c r="L8" s="74"/>
    </row>
    <row r="9" spans="1:12" ht="12.75">
      <c r="A9" s="958"/>
      <c r="B9" s="687" t="s">
        <v>748</v>
      </c>
      <c r="C9" s="633" t="s">
        <v>752</v>
      </c>
      <c r="D9" s="271">
        <v>10.466666666666661</v>
      </c>
      <c r="E9" s="271"/>
      <c r="F9" s="271"/>
      <c r="G9" s="655"/>
      <c r="H9" s="387"/>
      <c r="I9" s="256"/>
      <c r="J9" s="256"/>
      <c r="K9" s="256"/>
      <c r="L9" s="200"/>
    </row>
    <row r="10" spans="1:12" ht="12.75">
      <c r="A10" s="958"/>
      <c r="B10" s="687" t="s">
        <v>749</v>
      </c>
      <c r="C10" s="633" t="s">
        <v>753</v>
      </c>
      <c r="D10" s="271"/>
      <c r="E10" s="271"/>
      <c r="F10" s="271">
        <v>2.7500000000000009</v>
      </c>
      <c r="G10" s="655"/>
      <c r="H10" s="387">
        <f t="shared" ref="H10:H11" si="0">+E10/F10-1</f>
        <v>-1</v>
      </c>
      <c r="I10" s="256"/>
      <c r="J10" s="256"/>
      <c r="K10" s="257"/>
      <c r="L10" s="267"/>
    </row>
    <row r="11" spans="1:12" ht="12.75">
      <c r="A11" s="958"/>
      <c r="B11" s="687" t="s">
        <v>750</v>
      </c>
      <c r="C11" s="633" t="s">
        <v>754</v>
      </c>
      <c r="D11" s="271"/>
      <c r="E11" s="271"/>
      <c r="F11" s="271">
        <v>12.849999999999998</v>
      </c>
      <c r="G11" s="655"/>
      <c r="H11" s="387">
        <f t="shared" si="0"/>
        <v>-1</v>
      </c>
      <c r="I11" s="256"/>
      <c r="J11" s="256"/>
      <c r="K11" s="257"/>
      <c r="L11" s="267"/>
    </row>
    <row r="12" spans="1:12" ht="12.75">
      <c r="A12" s="958"/>
      <c r="B12" s="687" t="s">
        <v>751</v>
      </c>
      <c r="C12" s="633" t="s">
        <v>603</v>
      </c>
      <c r="D12" s="271">
        <v>8.2833333333333314</v>
      </c>
      <c r="E12" s="271"/>
      <c r="F12" s="271"/>
      <c r="G12" s="655"/>
      <c r="H12" s="387"/>
      <c r="I12" s="256"/>
      <c r="J12" s="256"/>
      <c r="K12" s="257"/>
      <c r="L12" s="267"/>
    </row>
    <row r="13" spans="1:12" ht="12.75" hidden="1" customHeight="1">
      <c r="A13" s="958"/>
      <c r="B13" s="687"/>
      <c r="C13" s="633"/>
      <c r="D13" s="271"/>
      <c r="E13" s="271"/>
      <c r="F13" s="271"/>
      <c r="G13" s="655"/>
      <c r="H13" s="387"/>
      <c r="I13" s="256"/>
      <c r="J13" s="256"/>
      <c r="K13" s="257"/>
      <c r="L13" s="267"/>
    </row>
    <row r="14" spans="1:12" ht="12.75" hidden="1" customHeight="1">
      <c r="A14" s="958"/>
      <c r="B14" s="687"/>
      <c r="C14" s="633"/>
      <c r="D14" s="271"/>
      <c r="E14" s="271"/>
      <c r="F14" s="271"/>
      <c r="G14" s="655"/>
      <c r="H14" s="387"/>
      <c r="I14" s="256"/>
      <c r="J14" s="256"/>
      <c r="K14" s="257"/>
      <c r="L14" s="267"/>
    </row>
    <row r="15" spans="1:12" ht="12.75" hidden="1" customHeight="1">
      <c r="A15" s="959"/>
      <c r="B15" s="687"/>
      <c r="C15" s="633"/>
      <c r="D15" s="271"/>
      <c r="E15" s="271"/>
      <c r="F15" s="271"/>
      <c r="G15" s="655"/>
      <c r="H15" s="387"/>
      <c r="I15" s="256"/>
      <c r="J15" s="256"/>
      <c r="K15" s="257"/>
      <c r="L15" s="267"/>
    </row>
    <row r="16" spans="1:12" ht="11.25" customHeight="1">
      <c r="A16" s="857" t="s">
        <v>202</v>
      </c>
      <c r="B16" s="858"/>
      <c r="C16" s="859"/>
      <c r="D16" s="860">
        <f>SUM(D7:D15)</f>
        <v>25.999999999999993</v>
      </c>
      <c r="E16" s="860">
        <f t="shared" ref="E16:F16" si="1">SUM(E7:E15)</f>
        <v>728</v>
      </c>
      <c r="F16" s="860">
        <f t="shared" si="1"/>
        <v>631.98333333333335</v>
      </c>
      <c r="G16" s="861">
        <f>+E16/F16-1</f>
        <v>0.15192911205464266</v>
      </c>
      <c r="H16" s="861">
        <f>+D16/E16-1</f>
        <v>-0.9642857142857143</v>
      </c>
      <c r="I16" s="256"/>
      <c r="J16" s="256"/>
      <c r="K16" s="257"/>
      <c r="L16" s="267"/>
    </row>
    <row r="17" spans="1:12" ht="11.25" customHeight="1">
      <c r="A17" s="383" t="str">
        <f>"Cuadro N° 14: Horas de operación de los principales equipos de congestión en "&amp;'1. Resumen'!Q4</f>
        <v>Cuadro N° 14: Horas de operación de los principales equipos de congestión en agosto</v>
      </c>
      <c r="B17" s="272"/>
      <c r="C17" s="273"/>
      <c r="D17" s="274"/>
      <c r="E17" s="274"/>
      <c r="F17" s="275"/>
      <c r="G17" s="96"/>
      <c r="H17" s="102"/>
      <c r="I17" s="256"/>
      <c r="J17" s="256"/>
      <c r="K17" s="257"/>
      <c r="L17" s="267"/>
    </row>
    <row r="18" spans="1:12" ht="11.25" customHeight="1">
      <c r="A18" s="158"/>
      <c r="B18" s="272"/>
      <c r="C18" s="273"/>
      <c r="D18" s="274"/>
      <c r="E18" s="274"/>
      <c r="F18" s="275"/>
      <c r="G18" s="96"/>
      <c r="H18" s="96"/>
      <c r="I18" s="256"/>
      <c r="J18" s="256"/>
      <c r="K18" s="257"/>
      <c r="L18" s="267"/>
    </row>
    <row r="19" spans="1:12" ht="11.25" customHeight="1">
      <c r="A19" s="158"/>
      <c r="B19" s="272"/>
      <c r="C19" s="273"/>
      <c r="D19" s="274"/>
      <c r="E19" s="274"/>
      <c r="F19" s="275"/>
      <c r="G19" s="96"/>
      <c r="H19" s="96"/>
      <c r="I19" s="256"/>
      <c r="J19" s="256"/>
      <c r="K19" s="257"/>
      <c r="L19" s="267"/>
    </row>
    <row r="20" spans="1:12" ht="11.25" customHeight="1">
      <c r="A20" s="97"/>
      <c r="B20" s="199"/>
      <c r="C20" s="98"/>
      <c r="D20" s="99"/>
      <c r="E20" s="99"/>
      <c r="F20" s="100"/>
      <c r="G20" s="96"/>
      <c r="H20" s="96"/>
      <c r="I20" s="256"/>
      <c r="J20" s="256"/>
      <c r="K20" s="257"/>
      <c r="L20" s="267"/>
    </row>
    <row r="21" spans="1:12" ht="11.25" customHeight="1">
      <c r="A21" s="97"/>
      <c r="B21" s="199"/>
      <c r="C21" s="98"/>
      <c r="D21" s="99"/>
      <c r="E21" s="99"/>
      <c r="F21" s="100"/>
      <c r="G21" s="96"/>
      <c r="H21" s="96"/>
      <c r="I21" s="256"/>
      <c r="J21" s="256"/>
      <c r="K21" s="257"/>
      <c r="L21" s="267"/>
    </row>
    <row r="22" spans="1:12" ht="11.25" customHeight="1">
      <c r="A22" s="97"/>
      <c r="B22" s="199"/>
      <c r="C22" s="98"/>
      <c r="D22" s="99"/>
      <c r="E22" s="99"/>
      <c r="F22" s="100"/>
      <c r="G22" s="96"/>
      <c r="H22" s="96"/>
      <c r="I22" s="256"/>
      <c r="J22" s="256"/>
      <c r="K22" s="257"/>
      <c r="L22" s="268"/>
    </row>
    <row r="23" spans="1:12" ht="11.25" customHeight="1">
      <c r="A23" s="97"/>
      <c r="B23" s="199"/>
      <c r="C23" s="98"/>
      <c r="D23" s="99"/>
      <c r="E23" s="99"/>
      <c r="F23" s="100"/>
      <c r="G23" s="96"/>
      <c r="H23" s="96"/>
      <c r="I23" s="256"/>
      <c r="J23" s="256"/>
      <c r="K23" s="257"/>
      <c r="L23" s="267"/>
    </row>
    <row r="24" spans="1:12" ht="11.25" customHeight="1">
      <c r="A24" s="97"/>
      <c r="B24" s="199"/>
      <c r="C24" s="98"/>
      <c r="D24" s="99"/>
      <c r="E24" s="99"/>
      <c r="F24" s="100"/>
      <c r="G24" s="96"/>
      <c r="H24" s="96"/>
      <c r="I24" s="256"/>
      <c r="J24" s="256"/>
      <c r="K24" s="257"/>
      <c r="L24" s="267"/>
    </row>
    <row r="25" spans="1:12" ht="11.25" customHeight="1">
      <c r="A25" s="97"/>
      <c r="B25" s="199"/>
      <c r="C25" s="98"/>
      <c r="D25" s="99"/>
      <c r="E25" s="99"/>
      <c r="F25" s="100"/>
      <c r="G25" s="96"/>
      <c r="H25" s="96"/>
      <c r="I25" s="256"/>
      <c r="J25" s="256"/>
      <c r="K25" s="256"/>
      <c r="L25" s="74"/>
    </row>
    <row r="26" spans="1:12" ht="11.25" customHeight="1">
      <c r="A26" s="97"/>
      <c r="B26" s="199"/>
      <c r="C26" s="98"/>
      <c r="D26" s="99"/>
      <c r="E26" s="99"/>
      <c r="F26" s="100"/>
      <c r="G26" s="96"/>
      <c r="H26" s="96"/>
      <c r="I26" s="256"/>
      <c r="J26" s="256"/>
      <c r="K26" s="257"/>
      <c r="L26" s="267"/>
    </row>
    <row r="27" spans="1:12" ht="11.25" customHeight="1">
      <c r="A27" s="97"/>
      <c r="B27" s="199"/>
      <c r="C27" s="98"/>
      <c r="D27" s="99"/>
      <c r="E27" s="99"/>
      <c r="F27" s="100"/>
      <c r="G27" s="96"/>
      <c r="H27" s="96"/>
      <c r="I27" s="256"/>
      <c r="J27" s="256"/>
      <c r="K27" s="258"/>
      <c r="L27" s="267"/>
    </row>
    <row r="28" spans="1:12" ht="11.25" customHeight="1">
      <c r="A28" s="97"/>
      <c r="B28" s="199"/>
      <c r="C28" s="98"/>
      <c r="D28" s="99"/>
      <c r="E28" s="99"/>
      <c r="F28" s="100"/>
      <c r="G28" s="96"/>
      <c r="H28" s="96"/>
      <c r="I28" s="256"/>
      <c r="J28" s="256"/>
      <c r="K28" s="258"/>
      <c r="L28" s="267"/>
    </row>
    <row r="29" spans="1:12" ht="11.25" customHeight="1">
      <c r="A29" s="97"/>
      <c r="B29" s="199"/>
      <c r="C29" s="98"/>
      <c r="D29" s="99"/>
      <c r="E29" s="99"/>
      <c r="F29" s="100"/>
      <c r="G29" s="96"/>
      <c r="H29" s="96"/>
      <c r="I29" s="256"/>
      <c r="J29" s="256"/>
      <c r="K29" s="258"/>
      <c r="L29" s="267"/>
    </row>
    <row r="30" spans="1:12" ht="11.25" customHeight="1">
      <c r="A30" s="97"/>
      <c r="B30" s="199"/>
      <c r="C30" s="98"/>
      <c r="D30" s="99"/>
      <c r="E30" s="99"/>
      <c r="F30" s="100"/>
      <c r="G30" s="96"/>
      <c r="H30" s="96"/>
      <c r="I30" s="256"/>
      <c r="J30" s="256"/>
      <c r="K30" s="258"/>
      <c r="L30" s="267"/>
    </row>
    <row r="31" spans="1:12" ht="11.25" customHeight="1">
      <c r="A31" s="97"/>
      <c r="B31" s="199"/>
      <c r="C31" s="98"/>
      <c r="D31" s="99"/>
      <c r="E31" s="99"/>
      <c r="F31" s="100"/>
      <c r="G31" s="96"/>
      <c r="H31" s="96"/>
      <c r="I31" s="256"/>
      <c r="J31" s="256"/>
      <c r="K31" s="258"/>
      <c r="L31" s="267"/>
    </row>
    <row r="32" spans="1:12" ht="11.25" customHeight="1">
      <c r="A32" s="97"/>
      <c r="B32" s="199"/>
      <c r="C32" s="98"/>
      <c r="D32" s="99"/>
      <c r="E32" s="99"/>
      <c r="F32" s="100"/>
      <c r="G32" s="96"/>
      <c r="H32" s="96"/>
      <c r="I32" s="256"/>
      <c r="J32" s="256"/>
      <c r="K32" s="258"/>
      <c r="L32" s="267"/>
    </row>
    <row r="33" spans="1:12" ht="11.25" customHeight="1">
      <c r="A33" s="97"/>
      <c r="B33" s="199"/>
      <c r="C33" s="98"/>
      <c r="D33" s="99"/>
      <c r="E33" s="99"/>
      <c r="F33" s="100"/>
      <c r="G33" s="96"/>
      <c r="H33" s="96"/>
      <c r="I33" s="256"/>
      <c r="J33" s="256"/>
      <c r="K33" s="258"/>
      <c r="L33" s="267"/>
    </row>
    <row r="34" spans="1:12" ht="11.25" customHeight="1">
      <c r="A34" s="97"/>
      <c r="B34" s="199"/>
      <c r="C34" s="98"/>
      <c r="D34" s="99"/>
      <c r="E34" s="99"/>
      <c r="F34" s="100"/>
      <c r="G34" s="96"/>
      <c r="H34" s="96"/>
      <c r="I34" s="256"/>
      <c r="J34" s="256"/>
      <c r="K34" s="258"/>
      <c r="L34" s="269"/>
    </row>
    <row r="35" spans="1:12" ht="11.25" customHeight="1">
      <c r="A35" s="97"/>
      <c r="B35" s="199"/>
      <c r="C35" s="98"/>
      <c r="D35" s="99"/>
      <c r="E35" s="99"/>
      <c r="F35" s="100"/>
      <c r="G35" s="96"/>
      <c r="H35" s="96"/>
      <c r="I35" s="256"/>
      <c r="J35" s="256"/>
      <c r="K35" s="258"/>
      <c r="L35" s="267"/>
    </row>
    <row r="36" spans="1:12" ht="11.25" customHeight="1">
      <c r="A36" s="97"/>
      <c r="B36" s="199"/>
      <c r="C36" s="98"/>
      <c r="D36" s="99"/>
      <c r="E36" s="99"/>
      <c r="F36" s="100"/>
      <c r="G36" s="96"/>
      <c r="H36" s="96"/>
      <c r="I36" s="256"/>
      <c r="J36" s="256"/>
      <c r="K36" s="258"/>
      <c r="L36" s="267"/>
    </row>
    <row r="37" spans="1:12" ht="11.25" customHeight="1">
      <c r="A37" s="97"/>
      <c r="B37" s="97"/>
      <c r="C37" s="97"/>
      <c r="D37" s="97"/>
      <c r="E37" s="97"/>
      <c r="F37" s="97"/>
      <c r="G37" s="97"/>
      <c r="H37" s="97"/>
      <c r="I37" s="256"/>
      <c r="J37" s="256"/>
      <c r="K37" s="258"/>
      <c r="L37" s="267"/>
    </row>
    <row r="38" spans="1:12" ht="11.25" customHeight="1">
      <c r="A38" s="97"/>
      <c r="B38" s="97"/>
      <c r="C38" s="97"/>
      <c r="D38" s="97"/>
      <c r="E38" s="97"/>
      <c r="F38" s="97"/>
      <c r="G38" s="97"/>
      <c r="H38" s="97"/>
      <c r="I38" s="256"/>
      <c r="J38" s="256"/>
      <c r="K38" s="258"/>
      <c r="L38" s="267"/>
    </row>
    <row r="39" spans="1:12" ht="11.25" customHeight="1">
      <c r="A39" s="97"/>
      <c r="B39" s="97"/>
      <c r="C39" s="97"/>
      <c r="D39" s="97"/>
      <c r="E39" s="97"/>
      <c r="F39" s="97"/>
      <c r="G39" s="97"/>
      <c r="H39" s="97"/>
      <c r="I39" s="256"/>
      <c r="J39" s="256"/>
      <c r="K39" s="258"/>
      <c r="L39" s="267"/>
    </row>
    <row r="40" spans="1:12" ht="11.25" customHeight="1">
      <c r="A40" s="97"/>
      <c r="B40" s="97"/>
      <c r="C40" s="97"/>
      <c r="D40" s="97"/>
      <c r="E40" s="97"/>
      <c r="F40" s="97"/>
      <c r="G40" s="97"/>
      <c r="H40" s="97"/>
      <c r="I40" s="256"/>
      <c r="J40" s="256"/>
      <c r="K40" s="258"/>
      <c r="L40" s="267"/>
    </row>
    <row r="41" spans="1:12" ht="11.25" customHeight="1">
      <c r="A41" s="97"/>
      <c r="B41" s="97"/>
      <c r="C41" s="97"/>
      <c r="D41" s="97"/>
      <c r="E41" s="97"/>
      <c r="F41" s="97"/>
      <c r="G41" s="97"/>
      <c r="H41" s="97"/>
      <c r="I41" s="256"/>
      <c r="J41" s="256"/>
      <c r="K41" s="260"/>
      <c r="L41" s="75"/>
    </row>
    <row r="42" spans="1:12" ht="11.25" customHeight="1">
      <c r="A42" s="97"/>
      <c r="B42" s="97"/>
      <c r="C42" s="97"/>
      <c r="D42" s="97"/>
      <c r="E42" s="97"/>
      <c r="F42" s="97"/>
      <c r="G42" s="97"/>
      <c r="H42" s="97"/>
      <c r="I42" s="256"/>
      <c r="J42" s="256"/>
      <c r="K42" s="260"/>
      <c r="L42" s="76"/>
    </row>
    <row r="43" spans="1:12" ht="11.25" customHeight="1">
      <c r="A43" s="97"/>
      <c r="B43" s="97"/>
      <c r="C43" s="97"/>
      <c r="D43" s="97"/>
      <c r="E43" s="97"/>
      <c r="F43" s="97"/>
      <c r="G43" s="97"/>
      <c r="H43" s="97"/>
      <c r="I43" s="256"/>
      <c r="J43" s="256"/>
      <c r="K43" s="260"/>
      <c r="L43" s="76"/>
    </row>
    <row r="44" spans="1:12" ht="11.25" customHeight="1">
      <c r="A44" s="97"/>
      <c r="B44" s="97"/>
      <c r="C44" s="97"/>
      <c r="D44" s="97"/>
      <c r="E44" s="97"/>
      <c r="F44" s="97"/>
      <c r="G44" s="97"/>
      <c r="H44" s="97"/>
      <c r="I44" s="256"/>
      <c r="J44" s="256"/>
      <c r="K44" s="258"/>
    </row>
    <row r="45" spans="1:12" ht="11.25" customHeight="1">
      <c r="A45" s="97"/>
      <c r="B45" s="97"/>
      <c r="C45" s="97"/>
      <c r="D45" s="97"/>
      <c r="E45" s="97"/>
      <c r="F45" s="97"/>
      <c r="G45" s="97"/>
      <c r="H45" s="97"/>
      <c r="I45" s="256"/>
      <c r="J45" s="256"/>
      <c r="K45" s="258"/>
    </row>
    <row r="46" spans="1:12" ht="12.75">
      <c r="A46" s="93"/>
      <c r="B46" s="97"/>
      <c r="C46" s="97"/>
      <c r="D46" s="97"/>
      <c r="E46" s="97"/>
      <c r="F46" s="97"/>
      <c r="G46" s="97"/>
      <c r="H46" s="97"/>
      <c r="I46" s="256"/>
      <c r="J46" s="256"/>
      <c r="K46" s="258"/>
    </row>
    <row r="47" spans="1:12" ht="12.75">
      <c r="A47" s="97"/>
      <c r="B47" s="97"/>
      <c r="C47" s="97"/>
      <c r="D47" s="97"/>
      <c r="E47" s="97"/>
      <c r="F47" s="97"/>
      <c r="G47" s="97"/>
      <c r="H47" s="97"/>
      <c r="I47" s="256"/>
      <c r="J47" s="256"/>
      <c r="K47" s="258"/>
    </row>
    <row r="48" spans="1:12" ht="12.75">
      <c r="A48" s="97"/>
      <c r="B48" s="97"/>
      <c r="C48" s="97"/>
      <c r="D48" s="97"/>
      <c r="E48" s="97"/>
      <c r="F48" s="97"/>
      <c r="G48" s="97"/>
      <c r="H48" s="97"/>
      <c r="I48" s="256"/>
      <c r="J48" s="256"/>
      <c r="K48" s="258"/>
    </row>
    <row r="49" spans="1:11" ht="12.75">
      <c r="A49" s="97"/>
      <c r="B49" s="97"/>
      <c r="C49" s="97"/>
      <c r="D49" s="97"/>
      <c r="E49" s="97"/>
      <c r="F49" s="97"/>
      <c r="G49" s="97"/>
      <c r="H49" s="97"/>
      <c r="I49" s="256"/>
      <c r="J49" s="256"/>
      <c r="K49" s="258"/>
    </row>
    <row r="50" spans="1:11" ht="12.75">
      <c r="A50" s="97"/>
      <c r="B50" s="97"/>
      <c r="C50" s="97"/>
      <c r="D50" s="97"/>
      <c r="E50" s="97"/>
      <c r="F50" s="97"/>
      <c r="G50" s="97"/>
      <c r="H50" s="97"/>
      <c r="I50" s="256"/>
      <c r="J50" s="256"/>
      <c r="K50" s="258"/>
    </row>
    <row r="51" spans="1:11" ht="12.75">
      <c r="A51" s="97"/>
      <c r="B51" s="97"/>
      <c r="C51" s="97"/>
      <c r="D51" s="97"/>
      <c r="E51" s="97"/>
      <c r="F51" s="97"/>
      <c r="G51" s="97"/>
      <c r="H51" s="97"/>
      <c r="I51" s="132"/>
      <c r="J51" s="132"/>
      <c r="K51" s="258"/>
    </row>
    <row r="52" spans="1:11" ht="12.75">
      <c r="A52" s="97"/>
      <c r="B52" s="97"/>
      <c r="C52" s="97"/>
      <c r="D52" s="97"/>
      <c r="E52" s="97"/>
      <c r="F52" s="97"/>
      <c r="G52" s="97"/>
      <c r="H52" s="97"/>
      <c r="I52" s="132"/>
      <c r="J52" s="132"/>
      <c r="K52" s="258"/>
    </row>
    <row r="53" spans="1:11" ht="12.75">
      <c r="A53" s="97"/>
      <c r="B53" s="97"/>
      <c r="C53" s="97"/>
      <c r="D53" s="97"/>
      <c r="E53" s="97"/>
      <c r="F53" s="97"/>
      <c r="G53" s="97"/>
      <c r="H53" s="97"/>
      <c r="I53" s="132"/>
      <c r="J53" s="132"/>
      <c r="K53" s="258"/>
    </row>
    <row r="54" spans="1:11" ht="12.75">
      <c r="B54" s="97"/>
      <c r="C54" s="97"/>
      <c r="D54" s="97"/>
      <c r="E54" s="97"/>
      <c r="F54" s="97"/>
      <c r="G54" s="97"/>
      <c r="H54" s="97"/>
      <c r="I54" s="132"/>
      <c r="J54" s="132"/>
      <c r="K54" s="258"/>
    </row>
    <row r="55" spans="1:11" ht="12.75">
      <c r="A55" s="383" t="str">
        <f>"Gráfico N° 23: Comparación de las horas de operación de los principales equipos de congestión en "&amp;'1. Resumen'!Q4</f>
        <v>Gráfico N° 23: Comparación de las horas de operación de los principales equipos de congestión en agosto</v>
      </c>
      <c r="B55" s="97"/>
      <c r="C55" s="97"/>
      <c r="D55" s="97"/>
      <c r="E55" s="97"/>
      <c r="F55" s="97"/>
      <c r="G55" s="97"/>
      <c r="H55" s="97"/>
      <c r="I55" s="132"/>
      <c r="J55" s="132"/>
      <c r="K55" s="258"/>
    </row>
    <row r="56" spans="1:11" ht="12.75">
      <c r="A56" s="97"/>
      <c r="B56" s="97"/>
      <c r="C56" s="97"/>
      <c r="D56" s="97"/>
      <c r="E56" s="97"/>
      <c r="F56" s="97"/>
      <c r="G56" s="97"/>
      <c r="H56" s="97"/>
      <c r="I56" s="257"/>
      <c r="J56" s="257"/>
      <c r="K56" s="258"/>
    </row>
    <row r="57" spans="1:11" ht="12.75">
      <c r="A57" s="256"/>
      <c r="B57" s="257"/>
      <c r="C57" s="257"/>
      <c r="D57" s="257"/>
      <c r="E57" s="257"/>
      <c r="F57" s="257"/>
      <c r="G57" s="257"/>
      <c r="H57" s="257"/>
      <c r="I57" s="257"/>
      <c r="J57" s="257"/>
      <c r="K57" s="258"/>
    </row>
    <row r="58" spans="1:11" ht="12.75">
      <c r="A58" s="256"/>
      <c r="B58" s="270"/>
      <c r="C58" s="258"/>
      <c r="D58" s="258"/>
      <c r="E58" s="258"/>
      <c r="F58" s="258"/>
      <c r="G58" s="257"/>
      <c r="H58" s="257"/>
      <c r="I58" s="257"/>
      <c r="J58" s="257"/>
      <c r="K58" s="258"/>
    </row>
    <row r="59" spans="1:11" ht="12.75">
      <c r="A59" s="2"/>
      <c r="B59" s="131"/>
      <c r="C59" s="131"/>
      <c r="D59" s="131"/>
      <c r="E59" s="131"/>
      <c r="F59" s="131"/>
      <c r="G59" s="131"/>
      <c r="H59" s="257"/>
      <c r="I59" s="257"/>
      <c r="J59" s="257"/>
      <c r="K59" s="258"/>
    </row>
    <row r="60" spans="1:11" ht="12.75">
      <c r="A60" s="2"/>
      <c r="B60" s="131"/>
      <c r="C60" s="131"/>
      <c r="D60" s="131"/>
      <c r="E60" s="131"/>
      <c r="F60" s="131"/>
      <c r="G60" s="131"/>
      <c r="H60" s="257"/>
      <c r="I60" s="257"/>
      <c r="J60" s="257"/>
      <c r="K60" s="257"/>
    </row>
    <row r="61" spans="1:11" ht="12.75">
      <c r="A61" s="2"/>
      <c r="B61" s="131"/>
      <c r="C61" s="131"/>
      <c r="D61" s="131"/>
      <c r="E61" s="131"/>
      <c r="F61" s="131"/>
      <c r="G61" s="131"/>
      <c r="H61" s="257"/>
      <c r="I61" s="257"/>
      <c r="J61" s="257"/>
      <c r="K61" s="257"/>
    </row>
  </sheetData>
  <mergeCells count="3">
    <mergeCell ref="A4:H4"/>
    <mergeCell ref="A2:H2"/>
    <mergeCell ref="A8:A15"/>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4CB9D-54EF-47BE-AF3E-BCE3C83F12A6}">
  <sheetPr>
    <tabColor theme="4"/>
  </sheetPr>
  <dimension ref="A1:M250"/>
  <sheetViews>
    <sheetView showGridLines="0" view="pageBreakPreview" zoomScale="145" zoomScaleNormal="160" zoomScaleSheetLayoutView="145" zoomScalePageLayoutView="160" workbookViewId="0">
      <selection activeCell="Q15" sqref="Q15"/>
    </sheetView>
  </sheetViews>
  <sheetFormatPr defaultRowHeight="11.25"/>
  <cols>
    <col min="1" max="1" width="19.6640625" style="50" customWidth="1"/>
    <col min="2" max="2" width="12.33203125" style="50" customWidth="1"/>
    <col min="3" max="4" width="9" style="50" customWidth="1"/>
    <col min="5" max="5" width="13.5" style="50" customWidth="1"/>
    <col min="6" max="6" width="12" style="50" customWidth="1"/>
    <col min="7" max="7" width="11" style="50" customWidth="1"/>
    <col min="8" max="8" width="8.6640625" style="50" customWidth="1"/>
    <col min="9" max="9" width="6.6640625" style="50" customWidth="1"/>
    <col min="10" max="10" width="12.5" style="50" customWidth="1"/>
    <col min="11" max="11" width="9.33203125" style="50" customWidth="1"/>
    <col min="12" max="13" width="9.33203125" style="50"/>
    <col min="14" max="16384" width="9.33203125" style="3"/>
  </cols>
  <sheetData>
    <row r="1" spans="1:13" ht="11.25" customHeight="1"/>
    <row r="2" spans="1:13" ht="32.25" customHeight="1">
      <c r="A2" s="968" t="s">
        <v>203</v>
      </c>
      <c r="B2" s="968"/>
      <c r="C2" s="968"/>
      <c r="D2" s="968"/>
      <c r="E2" s="968"/>
      <c r="F2" s="968"/>
      <c r="G2" s="968"/>
      <c r="H2" s="968"/>
      <c r="I2" s="968"/>
      <c r="J2" s="968"/>
      <c r="K2" s="197"/>
    </row>
    <row r="3" spans="1:13" ht="6.75" customHeight="1">
      <c r="A3" s="25"/>
      <c r="B3" s="276"/>
      <c r="C3" s="277"/>
      <c r="D3" s="24"/>
      <c r="E3" s="24"/>
      <c r="F3" s="278"/>
      <c r="G3" s="83"/>
      <c r="H3" s="83"/>
      <c r="I3" s="89"/>
      <c r="J3" s="197"/>
      <c r="K3" s="197"/>
      <c r="L3" s="254"/>
    </row>
    <row r="4" spans="1:13" ht="11.25" customHeight="1">
      <c r="A4" s="969" t="s">
        <v>204</v>
      </c>
      <c r="B4" s="969"/>
      <c r="C4" s="969"/>
      <c r="D4" s="969"/>
      <c r="E4" s="969"/>
      <c r="F4" s="969"/>
      <c r="G4" s="969"/>
      <c r="H4" s="969"/>
      <c r="I4" s="969"/>
      <c r="J4" s="969"/>
      <c r="K4" s="197"/>
      <c r="L4" s="254"/>
    </row>
    <row r="5" spans="1:13" ht="38.25" customHeight="1">
      <c r="A5" s="966" t="s">
        <v>205</v>
      </c>
      <c r="B5" s="820" t="s">
        <v>206</v>
      </c>
      <c r="C5" s="820" t="s">
        <v>207</v>
      </c>
      <c r="D5" s="820" t="s">
        <v>208</v>
      </c>
      <c r="E5" s="820" t="s">
        <v>209</v>
      </c>
      <c r="F5" s="820" t="s">
        <v>210</v>
      </c>
      <c r="G5" s="820" t="s">
        <v>211</v>
      </c>
      <c r="H5" s="820" t="s">
        <v>212</v>
      </c>
      <c r="I5" s="821" t="s">
        <v>213</v>
      </c>
      <c r="J5" s="820" t="s">
        <v>214</v>
      </c>
      <c r="K5" s="279"/>
    </row>
    <row r="6" spans="1:13" ht="11.25" customHeight="1">
      <c r="A6" s="967"/>
      <c r="B6" s="820" t="s">
        <v>215</v>
      </c>
      <c r="C6" s="820" t="s">
        <v>216</v>
      </c>
      <c r="D6" s="820" t="s">
        <v>217</v>
      </c>
      <c r="E6" s="820" t="s">
        <v>218</v>
      </c>
      <c r="F6" s="820" t="s">
        <v>219</v>
      </c>
      <c r="G6" s="820" t="s">
        <v>220</v>
      </c>
      <c r="H6" s="820" t="s">
        <v>221</v>
      </c>
      <c r="I6" s="822"/>
      <c r="J6" s="820" t="s">
        <v>222</v>
      </c>
      <c r="K6" s="26"/>
    </row>
    <row r="7" spans="1:13" ht="16.5">
      <c r="A7" s="624" t="s">
        <v>508</v>
      </c>
      <c r="B7" s="601">
        <v>9</v>
      </c>
      <c r="C7" s="602">
        <v>2</v>
      </c>
      <c r="D7" s="602"/>
      <c r="E7" s="603">
        <v>5</v>
      </c>
      <c r="F7" s="602">
        <v>4</v>
      </c>
      <c r="G7" s="602"/>
      <c r="H7" s="602"/>
      <c r="I7" s="604">
        <f>+SUM(B7:H7)</f>
        <v>20</v>
      </c>
      <c r="J7" s="605">
        <v>250.10000000000002</v>
      </c>
      <c r="K7" s="31"/>
    </row>
    <row r="8" spans="1:13">
      <c r="A8" s="606" t="s">
        <v>175</v>
      </c>
      <c r="B8" s="607"/>
      <c r="C8" s="607"/>
      <c r="D8" s="607">
        <v>2</v>
      </c>
      <c r="E8" s="608">
        <v>4</v>
      </c>
      <c r="F8" s="607"/>
      <c r="G8" s="607">
        <v>2</v>
      </c>
      <c r="H8" s="607"/>
      <c r="I8" s="609">
        <f>+SUM(B8:H8)</f>
        <v>8</v>
      </c>
      <c r="J8" s="610">
        <v>0.9900000000000001</v>
      </c>
      <c r="K8" s="29"/>
    </row>
    <row r="9" spans="1:13">
      <c r="A9" s="624" t="s">
        <v>707</v>
      </c>
      <c r="B9" s="601"/>
      <c r="C9" s="602"/>
      <c r="D9" s="602"/>
      <c r="E9" s="603"/>
      <c r="F9" s="602"/>
      <c r="G9" s="602"/>
      <c r="H9" s="602">
        <v>1</v>
      </c>
      <c r="I9" s="604">
        <f>+SUM(B9:H9)</f>
        <v>1</v>
      </c>
      <c r="J9" s="605">
        <v>0.04</v>
      </c>
      <c r="K9" s="29"/>
    </row>
    <row r="10" spans="1:13">
      <c r="A10" s="606" t="s">
        <v>708</v>
      </c>
      <c r="B10" s="607"/>
      <c r="C10" s="607"/>
      <c r="D10" s="607"/>
      <c r="E10" s="608">
        <v>1</v>
      </c>
      <c r="F10" s="607"/>
      <c r="G10" s="607"/>
      <c r="H10" s="607">
        <v>1</v>
      </c>
      <c r="I10" s="609">
        <f>+SUM(B10:H10)</f>
        <v>2</v>
      </c>
      <c r="J10" s="610">
        <v>20.990000000000002</v>
      </c>
      <c r="K10" s="29"/>
    </row>
    <row r="11" spans="1:13">
      <c r="A11" s="624" t="s">
        <v>596</v>
      </c>
      <c r="B11" s="690"/>
      <c r="C11" s="691"/>
      <c r="D11" s="691"/>
      <c r="E11" s="692">
        <v>1</v>
      </c>
      <c r="F11" s="691"/>
      <c r="G11" s="691"/>
      <c r="H11" s="691"/>
      <c r="I11" s="604">
        <f>+SUM(B11:H11)</f>
        <v>1</v>
      </c>
      <c r="J11" s="605">
        <v>1.2</v>
      </c>
      <c r="K11" s="29"/>
    </row>
    <row r="12" spans="1:13">
      <c r="A12" s="606" t="s">
        <v>213</v>
      </c>
      <c r="B12" s="607">
        <f t="shared" ref="B12:J12" si="0">+SUM(B7:B11)</f>
        <v>9</v>
      </c>
      <c r="C12" s="607">
        <f t="shared" si="0"/>
        <v>2</v>
      </c>
      <c r="D12" s="607">
        <f t="shared" si="0"/>
        <v>2</v>
      </c>
      <c r="E12" s="608">
        <f t="shared" si="0"/>
        <v>11</v>
      </c>
      <c r="F12" s="607">
        <f t="shared" si="0"/>
        <v>4</v>
      </c>
      <c r="G12" s="607">
        <f t="shared" si="0"/>
        <v>2</v>
      </c>
      <c r="H12" s="607">
        <f t="shared" si="0"/>
        <v>2</v>
      </c>
      <c r="I12" s="609">
        <f t="shared" si="0"/>
        <v>32</v>
      </c>
      <c r="J12" s="610">
        <f t="shared" si="0"/>
        <v>273.32</v>
      </c>
      <c r="K12" s="29"/>
    </row>
    <row r="13" spans="1:13" ht="11.25" customHeight="1">
      <c r="A13" s="971"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agosto 2018</v>
      </c>
      <c r="B13" s="971"/>
      <c r="C13" s="971"/>
      <c r="D13" s="971"/>
      <c r="E13" s="971"/>
      <c r="F13" s="971"/>
      <c r="G13" s="971"/>
      <c r="H13" s="971"/>
      <c r="I13" s="971"/>
      <c r="J13" s="971"/>
      <c r="K13" s="29"/>
    </row>
    <row r="14" spans="1:13" ht="11.25" customHeight="1">
      <c r="A14" s="3"/>
      <c r="B14" s="3"/>
      <c r="C14" s="3"/>
      <c r="D14" s="3"/>
      <c r="E14" s="3"/>
      <c r="F14" s="3"/>
      <c r="G14" s="3"/>
      <c r="H14" s="3"/>
      <c r="I14" s="3"/>
      <c r="J14" s="3"/>
      <c r="K14" s="29"/>
    </row>
    <row r="15" spans="1:13" s="631" customFormat="1" ht="11.25" customHeight="1">
      <c r="A15" s="970" t="s">
        <v>548</v>
      </c>
      <c r="B15" s="970"/>
      <c r="C15" s="970"/>
      <c r="D15" s="970"/>
      <c r="E15" s="970"/>
      <c r="F15" s="970"/>
      <c r="G15" s="970"/>
      <c r="H15" s="970"/>
      <c r="I15" s="970"/>
      <c r="J15" s="970"/>
      <c r="K15" s="629"/>
      <c r="L15" s="630"/>
      <c r="M15" s="630"/>
    </row>
    <row r="16" spans="1:13" ht="11.25" customHeight="1">
      <c r="A16" s="25"/>
      <c r="B16" s="282"/>
      <c r="C16" s="281"/>
      <c r="D16" s="281"/>
      <c r="E16" s="281"/>
      <c r="F16" s="281"/>
      <c r="G16" s="232"/>
      <c r="H16" s="232"/>
      <c r="I16" s="159"/>
      <c r="J16" s="237"/>
      <c r="K16" s="237"/>
      <c r="L16" s="29"/>
    </row>
    <row r="17" spans="1:12" ht="11.25" customHeight="1">
      <c r="A17" s="963" t="str">
        <f>"FALLAS  POR TIPO DE CAUSA  -  "&amp;UPPER('1. Resumen'!Q4)&amp;" "&amp;'1. Resumen'!Q5</f>
        <v>FALLAS  POR TIPO DE CAUSA  -  AGOSTO 2018</v>
      </c>
      <c r="B17" s="963"/>
      <c r="C17" s="963"/>
      <c r="D17" s="963"/>
      <c r="E17" s="963" t="str">
        <f>"FALLAS  POR TIPO DE EQUIPO  -  "&amp;UPPER('1. Resumen'!Q4)&amp;" "&amp;'1. Resumen'!Q5</f>
        <v>FALLAS  POR TIPO DE EQUIPO  -  AGOSTO 2018</v>
      </c>
      <c r="F17" s="963"/>
      <c r="G17" s="963"/>
      <c r="H17" s="963"/>
      <c r="I17" s="963"/>
      <c r="J17" s="963"/>
      <c r="K17" s="237"/>
      <c r="L17" s="29"/>
    </row>
    <row r="18" spans="1:12" ht="11.25" customHeight="1">
      <c r="A18" s="25"/>
      <c r="E18" s="281"/>
      <c r="F18" s="281"/>
      <c r="G18" s="232"/>
      <c r="H18" s="232"/>
      <c r="I18" s="159"/>
      <c r="J18" s="132"/>
      <c r="K18" s="132"/>
      <c r="L18" s="29"/>
    </row>
    <row r="19" spans="1:12" ht="11.25" customHeight="1">
      <c r="A19" s="25"/>
      <c r="B19" s="282"/>
      <c r="C19" s="281"/>
      <c r="D19" s="281"/>
      <c r="E19" s="281"/>
      <c r="F19" s="281"/>
      <c r="G19" s="232"/>
      <c r="H19" s="232"/>
      <c r="I19" s="159"/>
      <c r="J19" s="132"/>
      <c r="K19" s="132"/>
      <c r="L19" s="39"/>
    </row>
    <row r="20" spans="1:12" ht="11.25" customHeight="1">
      <c r="A20" s="25"/>
      <c r="B20" s="282"/>
      <c r="C20" s="281"/>
      <c r="D20" s="281"/>
      <c r="E20" s="281"/>
      <c r="F20" s="281"/>
      <c r="G20" s="232"/>
      <c r="H20" s="232"/>
      <c r="I20" s="159"/>
      <c r="J20" s="132"/>
      <c r="K20" s="132"/>
      <c r="L20" s="29"/>
    </row>
    <row r="21" spans="1:12" ht="11.25" customHeight="1">
      <c r="A21" s="25"/>
      <c r="B21" s="282"/>
      <c r="C21" s="281"/>
      <c r="D21" s="281"/>
      <c r="E21" s="281"/>
      <c r="F21" s="281"/>
      <c r="G21" s="232"/>
      <c r="H21" s="232"/>
      <c r="I21" s="159"/>
      <c r="J21" s="132"/>
      <c r="K21" s="132"/>
      <c r="L21" s="29"/>
    </row>
    <row r="22" spans="1:12" ht="11.25" customHeight="1">
      <c r="A22" s="25"/>
      <c r="B22" s="282"/>
      <c r="C22" s="281"/>
      <c r="D22" s="281"/>
      <c r="E22" s="281"/>
      <c r="F22" s="281"/>
      <c r="G22" s="232"/>
      <c r="H22" s="232"/>
      <c r="I22" s="159"/>
      <c r="J22" s="132"/>
      <c r="K22" s="132"/>
      <c r="L22" s="29"/>
    </row>
    <row r="23" spans="1:12" ht="11.25" customHeight="1">
      <c r="A23" s="25"/>
      <c r="B23" s="282"/>
      <c r="C23" s="281"/>
      <c r="D23" s="281"/>
      <c r="E23" s="281"/>
      <c r="F23" s="281"/>
      <c r="G23" s="232"/>
      <c r="H23" s="232"/>
      <c r="I23" s="159"/>
      <c r="J23" s="132"/>
      <c r="K23" s="132"/>
      <c r="L23" s="39"/>
    </row>
    <row r="24" spans="1:12" ht="11.25" customHeight="1">
      <c r="A24" s="25"/>
      <c r="B24" s="282"/>
      <c r="C24" s="281"/>
      <c r="D24" s="281"/>
      <c r="E24" s="281"/>
      <c r="F24" s="281"/>
      <c r="G24" s="232"/>
      <c r="H24" s="232"/>
      <c r="I24" s="159"/>
      <c r="J24" s="132"/>
      <c r="K24" s="132"/>
      <c r="L24" s="29"/>
    </row>
    <row r="25" spans="1:12" ht="11.25" customHeight="1">
      <c r="A25" s="25"/>
      <c r="B25" s="282"/>
      <c r="C25" s="281"/>
      <c r="D25" s="281"/>
      <c r="E25" s="281"/>
      <c r="F25" s="281"/>
      <c r="G25" s="232"/>
      <c r="H25" s="232"/>
      <c r="I25" s="159"/>
      <c r="J25" s="132"/>
      <c r="K25" s="132"/>
      <c r="L25" s="29"/>
    </row>
    <row r="26" spans="1:12" ht="11.25" customHeight="1">
      <c r="A26" s="25"/>
      <c r="B26" s="282"/>
      <c r="C26" s="281"/>
      <c r="D26" s="281"/>
      <c r="E26" s="281"/>
      <c r="F26" s="281"/>
      <c r="G26" s="232"/>
      <c r="H26" s="232"/>
      <c r="I26" s="159"/>
      <c r="J26" s="132"/>
      <c r="K26" s="132"/>
      <c r="L26" s="29"/>
    </row>
    <row r="27" spans="1:12" ht="11.25" customHeight="1">
      <c r="A27" s="25"/>
      <c r="B27" s="282"/>
      <c r="C27" s="281"/>
      <c r="D27" s="281"/>
      <c r="E27" s="281"/>
      <c r="F27" s="281"/>
      <c r="G27" s="232"/>
      <c r="H27" s="232"/>
      <c r="I27" s="159"/>
      <c r="J27" s="132"/>
      <c r="K27" s="132"/>
      <c r="L27" s="29"/>
    </row>
    <row r="28" spans="1:12" ht="11.25" customHeight="1">
      <c r="A28" s="25"/>
      <c r="B28" s="282"/>
      <c r="C28" s="281"/>
      <c r="D28" s="281"/>
      <c r="E28" s="281"/>
      <c r="F28" s="281"/>
      <c r="G28" s="232"/>
      <c r="H28" s="232"/>
      <c r="I28" s="159"/>
      <c r="J28" s="132"/>
      <c r="K28" s="132"/>
      <c r="L28" s="29"/>
    </row>
    <row r="29" spans="1:12" ht="11.25" customHeight="1">
      <c r="A29" s="25"/>
      <c r="B29" s="282"/>
      <c r="C29" s="281"/>
      <c r="D29" s="281"/>
      <c r="E29" s="281"/>
      <c r="F29" s="281"/>
      <c r="G29" s="232"/>
      <c r="H29" s="232"/>
      <c r="I29" s="159"/>
      <c r="J29" s="132"/>
      <c r="K29" s="132"/>
      <c r="L29" s="29"/>
    </row>
    <row r="30" spans="1:12" ht="11.25" customHeight="1">
      <c r="A30" s="25"/>
      <c r="B30" s="282"/>
      <c r="C30" s="281"/>
      <c r="D30" s="281"/>
      <c r="E30" s="281"/>
      <c r="F30" s="281"/>
      <c r="G30" s="232"/>
      <c r="H30" s="232"/>
      <c r="I30" s="159"/>
      <c r="J30" s="132"/>
      <c r="K30" s="132"/>
      <c r="L30" s="29"/>
    </row>
    <row r="31" spans="1:12" ht="11.25" customHeight="1">
      <c r="A31" s="25"/>
      <c r="B31" s="282"/>
      <c r="C31" s="281"/>
      <c r="D31" s="281"/>
      <c r="E31" s="281"/>
      <c r="F31" s="281"/>
      <c r="G31" s="232"/>
      <c r="H31" s="232"/>
      <c r="I31" s="159"/>
      <c r="J31" s="132"/>
      <c r="K31" s="132"/>
      <c r="L31" s="29"/>
    </row>
    <row r="32" spans="1:12" ht="11.25" customHeight="1">
      <c r="A32" s="25"/>
      <c r="B32" s="282"/>
      <c r="C32" s="281"/>
      <c r="D32" s="281"/>
      <c r="E32" s="281"/>
      <c r="F32" s="281"/>
      <c r="G32" s="232"/>
      <c r="H32" s="232"/>
      <c r="I32" s="159"/>
      <c r="J32" s="132"/>
      <c r="K32" s="132"/>
      <c r="L32" s="29"/>
    </row>
    <row r="33" spans="1:12" ht="11.25" customHeight="1">
      <c r="A33" s="25"/>
      <c r="B33" s="282"/>
      <c r="C33" s="281"/>
      <c r="D33" s="281"/>
      <c r="E33" s="281"/>
      <c r="F33" s="281"/>
      <c r="G33" s="232"/>
      <c r="H33" s="232"/>
      <c r="I33" s="159"/>
      <c r="J33" s="132"/>
      <c r="K33" s="132"/>
      <c r="L33" s="29"/>
    </row>
    <row r="34" spans="1:12" ht="11.25" customHeight="1">
      <c r="A34" s="25"/>
      <c r="B34" s="282"/>
      <c r="C34" s="281"/>
      <c r="D34" s="281"/>
      <c r="E34" s="281"/>
      <c r="F34" s="281"/>
      <c r="G34" s="232"/>
      <c r="H34" s="232"/>
      <c r="I34" s="159"/>
      <c r="J34" s="132"/>
      <c r="K34" s="132"/>
      <c r="L34" s="29"/>
    </row>
    <row r="35" spans="1:12" ht="23.25" customHeight="1">
      <c r="A35" s="962" t="s">
        <v>543</v>
      </c>
      <c r="B35" s="962"/>
      <c r="C35" s="962"/>
      <c r="D35" s="388"/>
      <c r="E35" s="965" t="s">
        <v>544</v>
      </c>
      <c r="F35" s="965"/>
      <c r="G35" s="965"/>
      <c r="H35" s="965"/>
      <c r="I35" s="965"/>
      <c r="J35" s="965"/>
      <c r="K35" s="283"/>
      <c r="L35" s="29"/>
    </row>
    <row r="36" spans="1:12" ht="11.25" customHeight="1">
      <c r="A36" s="25"/>
      <c r="B36" s="191"/>
      <c r="C36" s="191"/>
      <c r="D36" s="191"/>
      <c r="E36" s="191"/>
      <c r="F36" s="191"/>
      <c r="G36" s="237"/>
      <c r="H36" s="237"/>
      <c r="I36" s="237"/>
      <c r="J36" s="283"/>
      <c r="K36" s="283"/>
      <c r="L36" s="29"/>
    </row>
    <row r="37" spans="1:12" ht="6.75" customHeight="1">
      <c r="A37" s="25"/>
      <c r="B37" s="191"/>
      <c r="C37" s="191"/>
      <c r="D37" s="191"/>
      <c r="E37" s="191"/>
      <c r="F37" s="191"/>
      <c r="G37" s="237"/>
      <c r="H37" s="237"/>
      <c r="I37" s="237"/>
      <c r="J37" s="283"/>
      <c r="K37" s="283"/>
      <c r="L37" s="284"/>
    </row>
    <row r="38" spans="1:12" ht="11.25" customHeight="1">
      <c r="A38" s="964" t="str">
        <f>"ENERGIA INTERRUMPIDA APROXIMADA POR TIPO DE EQUIPO (MWh)  -  "&amp;UPPER('1. Resumen'!Q4)&amp;" "&amp;'1. Resumen'!Q5</f>
        <v>ENERGIA INTERRUMPIDA APROXIMADA POR TIPO DE EQUIPO (MWh)  -  AGOSTO 2018</v>
      </c>
      <c r="B38" s="964"/>
      <c r="C38" s="964"/>
      <c r="D38" s="964"/>
      <c r="E38" s="964"/>
      <c r="F38" s="964"/>
      <c r="G38" s="964"/>
      <c r="H38" s="964"/>
      <c r="I38" s="964"/>
      <c r="J38" s="964"/>
      <c r="K38" s="283"/>
      <c r="L38" s="285"/>
    </row>
    <row r="39" spans="1:12" ht="11.25" customHeight="1">
      <c r="A39" s="25"/>
      <c r="B39" s="191"/>
      <c r="C39" s="191"/>
      <c r="D39" s="191"/>
      <c r="E39" s="191"/>
      <c r="F39" s="191"/>
      <c r="G39" s="237"/>
      <c r="H39" s="237"/>
      <c r="I39" s="237"/>
      <c r="J39" s="283"/>
      <c r="K39" s="283"/>
      <c r="L39" s="285"/>
    </row>
    <row r="40" spans="1:12" ht="11.25" customHeight="1">
      <c r="A40" s="25"/>
      <c r="B40" s="191"/>
      <c r="C40" s="237"/>
      <c r="D40" s="237"/>
      <c r="E40" s="237"/>
      <c r="F40" s="237"/>
      <c r="G40" s="237"/>
      <c r="H40" s="237"/>
      <c r="I40" s="237"/>
      <c r="J40" s="283"/>
      <c r="K40" s="283"/>
      <c r="L40" s="285"/>
    </row>
    <row r="41" spans="1:12" ht="11.25" customHeight="1">
      <c r="A41" s="25"/>
      <c r="B41" s="191"/>
      <c r="C41" s="237"/>
      <c r="D41" s="237"/>
      <c r="E41" s="237"/>
      <c r="F41" s="237"/>
      <c r="G41" s="237"/>
      <c r="H41" s="237"/>
    </row>
    <row r="42" spans="1:12" ht="12.75">
      <c r="A42" s="25"/>
      <c r="B42" s="191"/>
      <c r="J42" s="283"/>
      <c r="K42" s="283"/>
      <c r="L42" s="285"/>
    </row>
    <row r="43" spans="1:12" ht="12.75">
      <c r="A43" s="25"/>
      <c r="B43" s="191"/>
      <c r="C43" s="191"/>
      <c r="D43" s="191"/>
      <c r="E43" s="191"/>
      <c r="F43" s="191"/>
      <c r="G43" s="237"/>
      <c r="H43" s="237"/>
      <c r="I43" s="237"/>
      <c r="J43" s="283"/>
      <c r="K43" s="283"/>
      <c r="L43" s="285"/>
    </row>
    <row r="44" spans="1:12" ht="12.75">
      <c r="A44" s="25"/>
      <c r="B44" s="191"/>
      <c r="C44" s="191"/>
      <c r="D44" s="191"/>
      <c r="E44" s="191"/>
      <c r="F44" s="191"/>
      <c r="G44" s="237"/>
      <c r="H44" s="237"/>
      <c r="I44" s="237"/>
      <c r="J44" s="283"/>
      <c r="K44" s="283"/>
      <c r="L44" s="285"/>
    </row>
    <row r="45" spans="1:12" ht="12.75">
      <c r="A45" s="25"/>
      <c r="B45" s="191"/>
      <c r="C45" s="191"/>
      <c r="D45" s="191"/>
      <c r="E45" s="191"/>
      <c r="F45" s="191"/>
      <c r="G45" s="237"/>
      <c r="H45" s="237"/>
      <c r="I45" s="237"/>
      <c r="J45" s="283"/>
      <c r="K45" s="283"/>
      <c r="L45" s="285"/>
    </row>
    <row r="46" spans="1:12" ht="12.75">
      <c r="A46" s="25"/>
      <c r="B46" s="191"/>
      <c r="C46" s="191"/>
      <c r="D46" s="191"/>
      <c r="E46" s="191"/>
      <c r="F46" s="191"/>
      <c r="G46" s="237"/>
      <c r="H46" s="237"/>
      <c r="I46" s="237"/>
      <c r="J46" s="283"/>
      <c r="K46" s="283"/>
      <c r="L46" s="285"/>
    </row>
    <row r="47" spans="1:12" ht="12.75">
      <c r="A47" s="197"/>
      <c r="B47" s="237"/>
      <c r="C47" s="237"/>
      <c r="D47" s="237"/>
      <c r="E47" s="237"/>
      <c r="F47" s="237"/>
      <c r="G47" s="237"/>
      <c r="H47" s="237"/>
      <c r="I47" s="237"/>
      <c r="J47" s="283"/>
      <c r="K47" s="283"/>
      <c r="L47" s="285"/>
    </row>
    <row r="48" spans="1:12" ht="12.75">
      <c r="A48" s="197"/>
      <c r="B48" s="237"/>
      <c r="C48" s="237"/>
      <c r="D48" s="237"/>
      <c r="E48" s="237"/>
      <c r="F48" s="237"/>
      <c r="G48" s="237"/>
      <c r="H48" s="237"/>
      <c r="I48" s="237"/>
      <c r="J48" s="283"/>
      <c r="K48" s="283"/>
      <c r="L48" s="285"/>
    </row>
    <row r="49" spans="1:12" ht="12.75">
      <c r="A49" s="197"/>
      <c r="B49" s="237"/>
      <c r="C49" s="237"/>
      <c r="D49" s="237"/>
      <c r="E49" s="237"/>
      <c r="F49" s="237"/>
      <c r="G49" s="237"/>
      <c r="H49" s="237"/>
      <c r="I49" s="237"/>
      <c r="J49" s="283"/>
      <c r="K49" s="283"/>
      <c r="L49" s="285"/>
    </row>
    <row r="50" spans="1:12" ht="12.75">
      <c r="A50" s="197"/>
      <c r="B50" s="237"/>
      <c r="C50" s="237"/>
      <c r="D50" s="237"/>
      <c r="E50" s="237"/>
      <c r="F50" s="237"/>
      <c r="G50" s="237"/>
      <c r="H50" s="237"/>
      <c r="I50" s="237"/>
      <c r="J50" s="283"/>
      <c r="K50" s="283"/>
      <c r="L50" s="285"/>
    </row>
    <row r="51" spans="1:12" ht="12.75">
      <c r="A51" s="197"/>
      <c r="B51" s="237"/>
      <c r="C51" s="237"/>
      <c r="D51" s="237"/>
      <c r="E51" s="237"/>
      <c r="F51" s="237"/>
      <c r="G51" s="237"/>
      <c r="H51" s="237"/>
      <c r="I51" s="237"/>
      <c r="J51" s="283"/>
      <c r="K51" s="283"/>
      <c r="L51" s="285"/>
    </row>
    <row r="52" spans="1:12" ht="12.75">
      <c r="A52" s="197"/>
      <c r="B52" s="237"/>
      <c r="C52" s="237"/>
      <c r="D52" s="237"/>
      <c r="E52" s="237"/>
      <c r="F52" s="237"/>
      <c r="G52" s="237"/>
      <c r="H52" s="237"/>
      <c r="I52" s="237"/>
      <c r="J52" s="283"/>
      <c r="K52" s="283"/>
      <c r="L52" s="285"/>
    </row>
    <row r="53" spans="1:12">
      <c r="A53" s="389" t="str">
        <f>"Gráfico N°26: Comparación de la energía interrumpida aproximada por tipo de equipo en "&amp;'1. Resumen'!Q4&amp;" "&amp;'1. Resumen'!Q5</f>
        <v>Gráfico N°26: Comparación de la energía interrumpida aproximada por tipo de equipo en agosto 2018</v>
      </c>
      <c r="B53" s="237"/>
      <c r="C53" s="237"/>
      <c r="D53" s="237"/>
      <c r="E53" s="237"/>
      <c r="F53" s="237"/>
      <c r="G53" s="237"/>
      <c r="H53" s="237"/>
      <c r="I53" s="237"/>
      <c r="J53" s="283"/>
      <c r="K53" s="283"/>
      <c r="L53" s="285"/>
    </row>
    <row r="54" spans="1:12">
      <c r="A54" s="3"/>
      <c r="B54" s="237"/>
      <c r="C54" s="237"/>
      <c r="D54" s="237"/>
      <c r="E54" s="237"/>
      <c r="F54" s="237"/>
      <c r="G54" s="237"/>
      <c r="H54" s="237"/>
      <c r="I54" s="237"/>
      <c r="J54" s="283"/>
      <c r="K54" s="283"/>
      <c r="L54" s="285"/>
    </row>
    <row r="55" spans="1:12" ht="24.75" customHeight="1">
      <c r="A55" s="960" t="s">
        <v>223</v>
      </c>
      <c r="B55" s="960"/>
      <c r="C55" s="960"/>
      <c r="D55" s="960"/>
      <c r="E55" s="960"/>
      <c r="F55" s="960"/>
      <c r="G55" s="960"/>
      <c r="H55" s="960"/>
      <c r="I55" s="960"/>
      <c r="J55" s="960"/>
      <c r="K55" s="283"/>
      <c r="L55" s="285"/>
    </row>
    <row r="56" spans="1:12" ht="11.25" customHeight="1">
      <c r="A56" s="961" t="s">
        <v>224</v>
      </c>
      <c r="B56" s="961"/>
      <c r="C56" s="961"/>
      <c r="D56" s="961"/>
      <c r="E56" s="961"/>
      <c r="F56" s="961"/>
      <c r="G56" s="961"/>
      <c r="H56" s="961"/>
      <c r="I56" s="961"/>
      <c r="J56" s="961"/>
      <c r="K56" s="283"/>
      <c r="L56" s="285"/>
    </row>
    <row r="57" spans="1:12" ht="12.75">
      <c r="A57" s="197"/>
      <c r="B57" s="237"/>
      <c r="C57" s="237"/>
      <c r="D57" s="237"/>
      <c r="E57" s="237"/>
      <c r="F57" s="237"/>
      <c r="G57" s="237"/>
      <c r="H57" s="237"/>
      <c r="I57" s="237"/>
      <c r="J57" s="283"/>
      <c r="K57" s="283"/>
      <c r="L57" s="285"/>
    </row>
    <row r="58" spans="1:12" ht="12.75">
      <c r="A58" s="197"/>
      <c r="B58" s="237"/>
      <c r="C58" s="237"/>
      <c r="D58" s="237"/>
      <c r="E58" s="237"/>
      <c r="F58" s="237"/>
      <c r="G58" s="237"/>
      <c r="H58" s="237"/>
      <c r="I58" s="237"/>
      <c r="J58" s="283"/>
      <c r="K58" s="283"/>
      <c r="L58" s="285"/>
    </row>
    <row r="59" spans="1:12" ht="12.75">
      <c r="A59" s="197"/>
      <c r="B59" s="237"/>
      <c r="C59" s="237"/>
      <c r="D59" s="237"/>
      <c r="E59" s="237"/>
      <c r="F59" s="237"/>
      <c r="G59" s="237"/>
      <c r="H59" s="237"/>
      <c r="I59" s="237"/>
      <c r="J59" s="283"/>
      <c r="K59" s="283"/>
      <c r="L59" s="285"/>
    </row>
    <row r="60" spans="1:12" ht="12.75">
      <c r="A60" s="197"/>
      <c r="B60" s="237"/>
      <c r="C60" s="237"/>
      <c r="D60" s="237"/>
      <c r="E60" s="237"/>
      <c r="F60" s="237"/>
      <c r="G60" s="237"/>
      <c r="H60" s="237"/>
      <c r="I60" s="237"/>
      <c r="J60" s="283"/>
      <c r="K60" s="283"/>
      <c r="L60" s="285"/>
    </row>
    <row r="61" spans="1:12" ht="12.75">
      <c r="A61" s="197"/>
      <c r="B61" s="237"/>
      <c r="C61" s="237"/>
      <c r="D61" s="237"/>
      <c r="E61" s="237"/>
      <c r="F61" s="237"/>
      <c r="G61" s="237"/>
      <c r="H61" s="237"/>
      <c r="I61" s="237"/>
      <c r="J61" s="283"/>
      <c r="K61" s="283"/>
      <c r="L61" s="285"/>
    </row>
    <row r="62" spans="1:12" ht="12.75">
      <c r="A62" s="197"/>
      <c r="B62" s="237"/>
      <c r="C62" s="237"/>
      <c r="D62" s="237"/>
      <c r="E62" s="237"/>
      <c r="F62" s="237"/>
      <c r="G62" s="237"/>
      <c r="H62" s="237"/>
      <c r="I62" s="237"/>
      <c r="J62" s="283"/>
      <c r="K62" s="283"/>
      <c r="L62" s="285"/>
    </row>
    <row r="63" spans="1:12" ht="12.75">
      <c r="A63" s="197"/>
      <c r="B63" s="237"/>
      <c r="C63" s="237"/>
      <c r="D63" s="237"/>
      <c r="E63" s="237"/>
      <c r="F63" s="237"/>
      <c r="G63" s="237"/>
      <c r="H63" s="237"/>
      <c r="I63" s="237"/>
      <c r="J63" s="283"/>
      <c r="K63" s="283"/>
      <c r="L63" s="285"/>
    </row>
    <row r="64" spans="1:12" ht="12.75">
      <c r="A64" s="197"/>
      <c r="B64" s="237"/>
      <c r="C64" s="237"/>
      <c r="D64" s="237"/>
      <c r="E64" s="237"/>
      <c r="F64" s="237"/>
      <c r="G64" s="237"/>
      <c r="H64" s="237"/>
      <c r="I64" s="237"/>
      <c r="J64" s="283"/>
      <c r="K64" s="283"/>
      <c r="L64" s="285"/>
    </row>
    <row r="65" spans="1:12" ht="12.75">
      <c r="A65" s="197"/>
      <c r="B65" s="237"/>
      <c r="C65" s="237"/>
      <c r="D65" s="237"/>
      <c r="E65" s="237"/>
      <c r="F65" s="237"/>
      <c r="G65" s="237"/>
      <c r="H65" s="237"/>
      <c r="I65" s="237"/>
      <c r="J65" s="283"/>
      <c r="K65" s="283"/>
      <c r="L65" s="285"/>
    </row>
    <row r="66" spans="1:12" ht="12.75">
      <c r="A66" s="197"/>
      <c r="B66" s="237"/>
      <c r="C66" s="237"/>
      <c r="D66" s="237"/>
      <c r="E66" s="237"/>
      <c r="F66" s="237"/>
      <c r="G66" s="237"/>
      <c r="H66" s="237"/>
      <c r="I66" s="237"/>
      <c r="J66" s="283"/>
      <c r="K66" s="283"/>
      <c r="L66" s="285"/>
    </row>
    <row r="67" spans="1:12" ht="12.75">
      <c r="A67" s="197"/>
      <c r="B67" s="237"/>
      <c r="C67" s="3"/>
      <c r="D67" s="3"/>
      <c r="E67" s="3"/>
      <c r="F67" s="3"/>
      <c r="G67" s="3"/>
      <c r="H67" s="3"/>
      <c r="I67" s="3"/>
      <c r="J67" s="283"/>
      <c r="K67" s="283"/>
      <c r="L67" s="285"/>
    </row>
    <row r="68" spans="1:12" ht="12.75">
      <c r="A68" s="197"/>
      <c r="B68" s="237"/>
      <c r="C68" s="3"/>
      <c r="D68" s="3"/>
      <c r="E68" s="3"/>
      <c r="F68" s="3"/>
      <c r="G68" s="3"/>
      <c r="H68" s="3"/>
      <c r="I68" s="3"/>
      <c r="J68" s="283"/>
      <c r="K68" s="283"/>
      <c r="L68" s="285"/>
    </row>
    <row r="69" spans="1:12" ht="12.75">
      <c r="A69" s="197"/>
      <c r="B69" s="237"/>
      <c r="C69" s="3"/>
      <c r="D69" s="3"/>
      <c r="E69" s="3"/>
      <c r="F69" s="3"/>
      <c r="G69" s="3"/>
      <c r="H69" s="3"/>
      <c r="I69" s="3"/>
      <c r="J69" s="283"/>
      <c r="K69" s="283"/>
      <c r="L69" s="285"/>
    </row>
    <row r="70" spans="1:12" ht="12.75">
      <c r="A70" s="197"/>
      <c r="B70" s="237"/>
      <c r="C70" s="3"/>
      <c r="D70" s="3"/>
      <c r="E70" s="3"/>
      <c r="F70" s="3"/>
      <c r="G70" s="3"/>
      <c r="H70" s="3"/>
      <c r="I70" s="3"/>
      <c r="J70" s="283"/>
      <c r="K70" s="283"/>
      <c r="L70" s="285"/>
    </row>
    <row r="71" spans="1:12">
      <c r="B71" s="285"/>
      <c r="C71" s="285"/>
      <c r="D71" s="285"/>
      <c r="E71" s="285"/>
      <c r="F71" s="285"/>
      <c r="G71" s="285"/>
      <c r="H71" s="285"/>
      <c r="I71" s="285"/>
      <c r="J71" s="285"/>
      <c r="K71" s="285"/>
      <c r="L71" s="285"/>
    </row>
    <row r="72" spans="1:12">
      <c r="B72" s="285"/>
      <c r="C72" s="285"/>
      <c r="D72" s="285"/>
      <c r="E72" s="285"/>
      <c r="F72" s="285"/>
      <c r="G72" s="285"/>
      <c r="H72" s="285"/>
      <c r="I72" s="285"/>
      <c r="J72" s="285"/>
      <c r="K72" s="285"/>
      <c r="L72" s="285"/>
    </row>
    <row r="73" spans="1:12">
      <c r="B73" s="285"/>
      <c r="C73" s="285"/>
      <c r="D73" s="285"/>
      <c r="E73" s="285"/>
      <c r="F73" s="285"/>
      <c r="G73" s="285"/>
      <c r="H73" s="285"/>
      <c r="I73" s="285"/>
      <c r="J73" s="285"/>
      <c r="K73" s="285"/>
      <c r="L73" s="285"/>
    </row>
    <row r="74" spans="1:12">
      <c r="B74" s="285"/>
      <c r="C74" s="285"/>
      <c r="D74" s="285"/>
      <c r="E74" s="285"/>
      <c r="F74" s="285"/>
      <c r="G74" s="285"/>
      <c r="H74" s="285"/>
      <c r="I74" s="285"/>
      <c r="J74" s="285"/>
      <c r="K74" s="285"/>
      <c r="L74" s="285"/>
    </row>
    <row r="75" spans="1:12">
      <c r="B75" s="285"/>
      <c r="C75" s="285"/>
      <c r="D75" s="285"/>
      <c r="E75" s="285"/>
      <c r="F75" s="285"/>
      <c r="G75" s="285"/>
      <c r="H75" s="285"/>
      <c r="I75" s="285"/>
      <c r="J75" s="285"/>
      <c r="K75" s="285"/>
      <c r="L75" s="285"/>
    </row>
    <row r="76" spans="1:12">
      <c r="B76" s="285"/>
      <c r="C76" s="285"/>
      <c r="D76" s="285"/>
      <c r="E76" s="285"/>
      <c r="F76" s="285"/>
      <c r="G76" s="285"/>
      <c r="H76" s="285"/>
      <c r="I76" s="285"/>
      <c r="J76" s="285"/>
      <c r="K76" s="285"/>
      <c r="L76" s="285"/>
    </row>
    <row r="77" spans="1:12">
      <c r="B77" s="285"/>
      <c r="C77" s="285"/>
      <c r="D77" s="285"/>
      <c r="E77" s="285"/>
      <c r="F77" s="285"/>
      <c r="G77" s="285"/>
      <c r="H77" s="285"/>
      <c r="I77" s="285"/>
      <c r="J77" s="285"/>
      <c r="K77" s="285"/>
      <c r="L77" s="285"/>
    </row>
    <row r="78" spans="1:12">
      <c r="B78" s="285"/>
      <c r="C78" s="285"/>
      <c r="D78" s="285"/>
      <c r="E78" s="285"/>
      <c r="F78" s="285"/>
      <c r="G78" s="285"/>
      <c r="H78" s="285"/>
      <c r="I78" s="285"/>
      <c r="J78" s="285"/>
      <c r="K78" s="285"/>
      <c r="L78" s="285"/>
    </row>
    <row r="79" spans="1:12">
      <c r="B79" s="285"/>
      <c r="C79" s="285"/>
      <c r="D79" s="285"/>
      <c r="E79" s="285"/>
      <c r="F79" s="285"/>
      <c r="G79" s="285"/>
      <c r="H79" s="285"/>
      <c r="I79" s="285"/>
      <c r="J79" s="285"/>
      <c r="K79" s="285"/>
      <c r="L79" s="285"/>
    </row>
    <row r="80" spans="1:12">
      <c r="B80" s="285"/>
      <c r="C80" s="285"/>
      <c r="D80" s="285"/>
      <c r="E80" s="285"/>
      <c r="F80" s="285"/>
      <c r="G80" s="285"/>
      <c r="H80" s="285"/>
      <c r="I80" s="285"/>
      <c r="J80" s="285"/>
      <c r="K80" s="285"/>
      <c r="L80" s="285"/>
    </row>
    <row r="81" spans="2:12">
      <c r="B81" s="285"/>
      <c r="C81" s="285"/>
      <c r="D81" s="285"/>
      <c r="E81" s="285"/>
      <c r="F81" s="285"/>
      <c r="G81" s="285"/>
      <c r="H81" s="285"/>
      <c r="I81" s="285"/>
      <c r="J81" s="285"/>
      <c r="K81" s="285"/>
      <c r="L81" s="285"/>
    </row>
    <row r="82" spans="2:12">
      <c r="B82" s="285"/>
      <c r="C82" s="285"/>
      <c r="D82" s="285"/>
      <c r="E82" s="285"/>
      <c r="F82" s="285"/>
      <c r="G82" s="285"/>
      <c r="H82" s="285"/>
      <c r="I82" s="285"/>
      <c r="J82" s="285"/>
      <c r="K82" s="285"/>
      <c r="L82" s="285"/>
    </row>
    <row r="83" spans="2:12">
      <c r="B83" s="285"/>
      <c r="C83" s="285"/>
      <c r="D83" s="285"/>
      <c r="E83" s="285"/>
      <c r="F83" s="285"/>
      <c r="G83" s="285"/>
      <c r="H83" s="285"/>
      <c r="I83" s="285"/>
      <c r="J83" s="285"/>
      <c r="K83" s="285"/>
      <c r="L83" s="285"/>
    </row>
    <row r="84" spans="2:12">
      <c r="B84" s="285"/>
      <c r="C84" s="285"/>
      <c r="D84" s="285"/>
      <c r="E84" s="285"/>
      <c r="F84" s="285"/>
      <c r="G84" s="285"/>
      <c r="H84" s="285"/>
      <c r="I84" s="285"/>
      <c r="J84" s="285"/>
      <c r="K84" s="285"/>
      <c r="L84" s="285"/>
    </row>
    <row r="85" spans="2:12">
      <c r="B85" s="285"/>
      <c r="C85" s="285"/>
      <c r="D85" s="285"/>
      <c r="E85" s="285"/>
      <c r="F85" s="285"/>
      <c r="G85" s="285"/>
      <c r="H85" s="285"/>
      <c r="I85" s="285"/>
      <c r="J85" s="285"/>
      <c r="K85" s="285"/>
      <c r="L85" s="285"/>
    </row>
    <row r="86" spans="2:12">
      <c r="B86" s="285"/>
      <c r="C86" s="285"/>
      <c r="D86" s="285"/>
      <c r="E86" s="285"/>
      <c r="F86" s="285"/>
      <c r="G86" s="285"/>
      <c r="H86" s="285"/>
      <c r="I86" s="285"/>
      <c r="J86" s="285"/>
      <c r="K86" s="285"/>
      <c r="L86" s="285"/>
    </row>
    <row r="87" spans="2:12">
      <c r="B87" s="285"/>
      <c r="C87" s="285"/>
      <c r="D87" s="285"/>
      <c r="E87" s="285"/>
      <c r="F87" s="285"/>
      <c r="G87" s="285"/>
      <c r="H87" s="285"/>
      <c r="I87" s="285"/>
      <c r="J87" s="285"/>
      <c r="K87" s="285"/>
      <c r="L87" s="285"/>
    </row>
    <row r="88" spans="2:12">
      <c r="B88" s="285"/>
      <c r="C88" s="285"/>
      <c r="D88" s="285"/>
      <c r="E88" s="285"/>
      <c r="F88" s="285"/>
      <c r="G88" s="285"/>
      <c r="H88" s="285"/>
      <c r="I88" s="285"/>
      <c r="J88" s="285"/>
      <c r="K88" s="285"/>
      <c r="L88" s="285"/>
    </row>
    <row r="89" spans="2:12">
      <c r="B89" s="285"/>
      <c r="C89" s="285"/>
      <c r="D89" s="285"/>
      <c r="E89" s="285"/>
      <c r="F89" s="285"/>
      <c r="G89" s="285"/>
      <c r="H89" s="285"/>
      <c r="I89" s="285"/>
      <c r="J89" s="285"/>
      <c r="K89" s="285"/>
      <c r="L89" s="285"/>
    </row>
    <row r="90" spans="2:12">
      <c r="B90" s="285"/>
      <c r="C90" s="285"/>
      <c r="D90" s="285"/>
      <c r="E90" s="285"/>
      <c r="F90" s="285"/>
      <c r="G90" s="285"/>
      <c r="H90" s="285"/>
      <c r="I90" s="285"/>
      <c r="J90" s="285"/>
      <c r="K90" s="285"/>
      <c r="L90" s="285"/>
    </row>
    <row r="91" spans="2:12">
      <c r="B91" s="285"/>
      <c r="C91" s="285"/>
      <c r="D91" s="285"/>
      <c r="E91" s="285"/>
      <c r="F91" s="285"/>
      <c r="G91" s="285"/>
      <c r="H91" s="285"/>
      <c r="I91" s="285"/>
      <c r="J91" s="285"/>
      <c r="K91" s="285"/>
      <c r="L91" s="285"/>
    </row>
    <row r="92" spans="2:12">
      <c r="B92" s="285"/>
      <c r="C92" s="285"/>
      <c r="D92" s="285"/>
      <c r="E92" s="285"/>
      <c r="F92" s="285"/>
      <c r="G92" s="285"/>
      <c r="H92" s="285"/>
      <c r="I92" s="285"/>
      <c r="J92" s="285"/>
      <c r="K92" s="285"/>
      <c r="L92" s="285"/>
    </row>
    <row r="93" spans="2:12">
      <c r="B93" s="285"/>
      <c r="C93" s="285"/>
      <c r="D93" s="285"/>
      <c r="E93" s="285"/>
      <c r="F93" s="285"/>
      <c r="G93" s="285"/>
      <c r="H93" s="285"/>
      <c r="I93" s="285"/>
      <c r="J93" s="285"/>
      <c r="K93" s="285"/>
      <c r="L93" s="285"/>
    </row>
    <row r="94" spans="2:12">
      <c r="B94" s="285"/>
      <c r="C94" s="285"/>
      <c r="D94" s="285"/>
      <c r="E94" s="285"/>
      <c r="F94" s="285"/>
      <c r="G94" s="285"/>
      <c r="H94" s="285"/>
      <c r="I94" s="285"/>
      <c r="J94" s="285"/>
      <c r="K94" s="285"/>
      <c r="L94" s="285"/>
    </row>
    <row r="95" spans="2:12">
      <c r="B95" s="285"/>
      <c r="C95" s="285"/>
      <c r="D95" s="285"/>
      <c r="E95" s="285"/>
      <c r="F95" s="285"/>
      <c r="G95" s="285"/>
      <c r="H95" s="285"/>
      <c r="I95" s="285"/>
      <c r="J95" s="285"/>
      <c r="K95" s="285"/>
      <c r="L95" s="285"/>
    </row>
    <row r="96" spans="2:12">
      <c r="B96" s="285"/>
      <c r="C96" s="285"/>
      <c r="D96" s="285"/>
      <c r="E96" s="285"/>
      <c r="F96" s="285"/>
      <c r="G96" s="285"/>
      <c r="H96" s="285"/>
      <c r="I96" s="285"/>
      <c r="J96" s="285"/>
      <c r="K96" s="285"/>
      <c r="L96" s="285"/>
    </row>
    <row r="97" spans="2:12">
      <c r="B97" s="285"/>
      <c r="C97" s="285"/>
      <c r="D97" s="285"/>
      <c r="E97" s="285"/>
      <c r="F97" s="285"/>
      <c r="G97" s="285"/>
      <c r="H97" s="285"/>
      <c r="I97" s="285"/>
      <c r="J97" s="285"/>
      <c r="K97" s="285"/>
      <c r="L97" s="285"/>
    </row>
    <row r="98" spans="2:12">
      <c r="B98" s="285"/>
      <c r="C98" s="285"/>
      <c r="D98" s="285"/>
      <c r="E98" s="285"/>
      <c r="F98" s="285"/>
      <c r="G98" s="285"/>
      <c r="H98" s="285"/>
      <c r="I98" s="285"/>
      <c r="J98" s="285"/>
      <c r="K98" s="285"/>
      <c r="L98" s="285"/>
    </row>
    <row r="99" spans="2:12">
      <c r="B99" s="285"/>
      <c r="C99" s="285"/>
      <c r="D99" s="285"/>
      <c r="E99" s="285"/>
      <c r="F99" s="285"/>
      <c r="G99" s="285"/>
      <c r="H99" s="285"/>
      <c r="I99" s="285"/>
      <c r="J99" s="285"/>
      <c r="K99" s="285"/>
      <c r="L99" s="285"/>
    </row>
    <row r="100" spans="2:12">
      <c r="B100" s="285"/>
      <c r="C100" s="285"/>
      <c r="D100" s="285"/>
      <c r="E100" s="285"/>
      <c r="F100" s="285"/>
      <c r="G100" s="285"/>
      <c r="H100" s="285"/>
      <c r="I100" s="285"/>
      <c r="J100" s="285"/>
      <c r="K100" s="285"/>
      <c r="L100" s="285"/>
    </row>
    <row r="101" spans="2:12">
      <c r="B101" s="285"/>
      <c r="C101" s="285"/>
      <c r="D101" s="285"/>
      <c r="E101" s="285"/>
      <c r="F101" s="285"/>
      <c r="G101" s="285"/>
      <c r="H101" s="285"/>
      <c r="I101" s="285"/>
      <c r="J101" s="285"/>
      <c r="K101" s="285"/>
      <c r="L101" s="285"/>
    </row>
    <row r="102" spans="2:12">
      <c r="B102" s="285"/>
      <c r="C102" s="285"/>
      <c r="D102" s="285"/>
      <c r="E102" s="285"/>
      <c r="F102" s="285"/>
      <c r="G102" s="285"/>
      <c r="H102" s="285"/>
      <c r="I102" s="285"/>
      <c r="J102" s="285"/>
      <c r="K102" s="285"/>
      <c r="L102" s="285"/>
    </row>
    <row r="103" spans="2:12">
      <c r="B103" s="285"/>
      <c r="C103" s="285"/>
      <c r="D103" s="285"/>
      <c r="E103" s="285"/>
      <c r="F103" s="285"/>
      <c r="G103" s="285"/>
      <c r="H103" s="285"/>
      <c r="I103" s="285"/>
      <c r="J103" s="285"/>
      <c r="K103" s="285"/>
      <c r="L103" s="285"/>
    </row>
    <row r="104" spans="2:12">
      <c r="B104" s="285"/>
      <c r="C104" s="285"/>
      <c r="D104" s="285"/>
      <c r="E104" s="285"/>
      <c r="F104" s="285"/>
      <c r="G104" s="285"/>
      <c r="H104" s="285"/>
      <c r="I104" s="285"/>
      <c r="J104" s="285"/>
      <c r="K104" s="285"/>
      <c r="L104" s="285"/>
    </row>
    <row r="105" spans="2:12">
      <c r="B105" s="285"/>
      <c r="C105" s="285"/>
      <c r="D105" s="285"/>
      <c r="E105" s="285"/>
      <c r="F105" s="285"/>
      <c r="G105" s="285"/>
      <c r="H105" s="285"/>
      <c r="I105" s="285"/>
      <c r="J105" s="285"/>
      <c r="K105" s="285"/>
      <c r="L105" s="285"/>
    </row>
    <row r="106" spans="2:12">
      <c r="B106" s="285"/>
      <c r="C106" s="285"/>
      <c r="D106" s="285"/>
      <c r="E106" s="285"/>
      <c r="F106" s="285"/>
      <c r="G106" s="285"/>
      <c r="H106" s="285"/>
      <c r="I106" s="285"/>
      <c r="J106" s="285"/>
      <c r="K106" s="285"/>
      <c r="L106" s="285"/>
    </row>
    <row r="107" spans="2:12">
      <c r="B107" s="285"/>
      <c r="C107" s="285"/>
      <c r="D107" s="285"/>
      <c r="E107" s="285"/>
      <c r="F107" s="285"/>
      <c r="G107" s="285"/>
      <c r="H107" s="285"/>
      <c r="I107" s="285"/>
      <c r="J107" s="285"/>
      <c r="K107" s="285"/>
      <c r="L107" s="285"/>
    </row>
    <row r="108" spans="2:12">
      <c r="B108" s="285"/>
      <c r="C108" s="285"/>
      <c r="D108" s="285"/>
      <c r="E108" s="285"/>
      <c r="F108" s="285"/>
      <c r="G108" s="285"/>
      <c r="H108" s="285"/>
      <c r="I108" s="285"/>
      <c r="J108" s="285"/>
      <c r="K108" s="285"/>
      <c r="L108" s="285"/>
    </row>
    <row r="109" spans="2:12">
      <c r="B109" s="285"/>
      <c r="C109" s="285"/>
      <c r="D109" s="285"/>
      <c r="E109" s="285"/>
      <c r="F109" s="285"/>
      <c r="G109" s="285"/>
      <c r="H109" s="285"/>
      <c r="I109" s="285"/>
      <c r="J109" s="285"/>
      <c r="K109" s="285"/>
      <c r="L109" s="285"/>
    </row>
    <row r="110" spans="2:12">
      <c r="B110" s="285"/>
      <c r="C110" s="285"/>
      <c r="D110" s="285"/>
      <c r="E110" s="285"/>
      <c r="F110" s="285"/>
      <c r="G110" s="285"/>
      <c r="H110" s="285"/>
      <c r="I110" s="285"/>
      <c r="J110" s="285"/>
      <c r="K110" s="285"/>
      <c r="L110" s="285"/>
    </row>
    <row r="111" spans="2:12">
      <c r="B111" s="285"/>
      <c r="C111" s="285"/>
      <c r="D111" s="285"/>
      <c r="E111" s="285"/>
      <c r="F111" s="285"/>
      <c r="G111" s="285"/>
      <c r="H111" s="285"/>
      <c r="I111" s="285"/>
      <c r="J111" s="285"/>
      <c r="K111" s="285"/>
      <c r="L111" s="285"/>
    </row>
    <row r="112" spans="2:12">
      <c r="B112" s="285"/>
      <c r="C112" s="285"/>
      <c r="D112" s="285"/>
      <c r="E112" s="285"/>
      <c r="F112" s="285"/>
      <c r="G112" s="285"/>
      <c r="H112" s="285"/>
      <c r="I112" s="285"/>
      <c r="J112" s="285"/>
      <c r="K112" s="285"/>
      <c r="L112" s="285"/>
    </row>
    <row r="113" spans="2:12">
      <c r="B113" s="285"/>
      <c r="C113" s="285"/>
      <c r="D113" s="285"/>
      <c r="E113" s="285"/>
      <c r="F113" s="285"/>
      <c r="G113" s="285"/>
      <c r="H113" s="285"/>
      <c r="I113" s="285"/>
      <c r="J113" s="285"/>
      <c r="K113" s="285"/>
      <c r="L113" s="285"/>
    </row>
    <row r="114" spans="2:12">
      <c r="B114" s="285"/>
      <c r="C114" s="285"/>
      <c r="D114" s="285"/>
      <c r="E114" s="285"/>
      <c r="F114" s="285"/>
      <c r="G114" s="285"/>
      <c r="H114" s="285"/>
      <c r="I114" s="285"/>
      <c r="J114" s="285"/>
      <c r="K114" s="285"/>
      <c r="L114" s="285"/>
    </row>
    <row r="115" spans="2:12">
      <c r="B115" s="285"/>
      <c r="C115" s="285"/>
      <c r="D115" s="285"/>
      <c r="E115" s="285"/>
      <c r="F115" s="285"/>
      <c r="G115" s="285"/>
      <c r="H115" s="285"/>
      <c r="I115" s="285"/>
      <c r="J115" s="285"/>
      <c r="K115" s="285"/>
      <c r="L115" s="285"/>
    </row>
    <row r="116" spans="2:12">
      <c r="B116" s="285"/>
      <c r="C116" s="285"/>
      <c r="D116" s="285"/>
      <c r="E116" s="285"/>
      <c r="F116" s="285"/>
      <c r="G116" s="285"/>
      <c r="H116" s="285"/>
      <c r="I116" s="285"/>
      <c r="J116" s="285"/>
      <c r="K116" s="285"/>
      <c r="L116" s="285"/>
    </row>
    <row r="117" spans="2:12">
      <c r="B117" s="285"/>
      <c r="C117" s="285"/>
      <c r="D117" s="285"/>
      <c r="E117" s="285"/>
      <c r="F117" s="285"/>
      <c r="G117" s="285"/>
      <c r="H117" s="285"/>
      <c r="I117" s="285"/>
      <c r="J117" s="285"/>
      <c r="K117" s="285"/>
      <c r="L117" s="285"/>
    </row>
    <row r="118" spans="2:12">
      <c r="B118" s="285"/>
      <c r="C118" s="285"/>
      <c r="D118" s="285"/>
      <c r="E118" s="285"/>
      <c r="F118" s="285"/>
      <c r="G118" s="285"/>
      <c r="H118" s="285"/>
      <c r="I118" s="285"/>
      <c r="J118" s="285"/>
      <c r="K118" s="285"/>
      <c r="L118" s="285"/>
    </row>
    <row r="119" spans="2:12">
      <c r="B119" s="285"/>
      <c r="C119" s="285"/>
      <c r="D119" s="285"/>
      <c r="E119" s="285"/>
      <c r="F119" s="285"/>
      <c r="G119" s="285"/>
      <c r="H119" s="285"/>
      <c r="I119" s="285"/>
      <c r="J119" s="285"/>
      <c r="K119" s="285"/>
      <c r="L119" s="285"/>
    </row>
    <row r="120" spans="2:12">
      <c r="B120" s="285"/>
      <c r="C120" s="285"/>
      <c r="D120" s="285"/>
      <c r="E120" s="285"/>
      <c r="F120" s="285"/>
      <c r="G120" s="285"/>
      <c r="H120" s="285"/>
      <c r="I120" s="285"/>
      <c r="J120" s="285"/>
      <c r="K120" s="285"/>
      <c r="L120" s="285"/>
    </row>
    <row r="121" spans="2:12">
      <c r="B121" s="285"/>
      <c r="C121" s="285"/>
      <c r="D121" s="285"/>
      <c r="E121" s="285"/>
      <c r="F121" s="285"/>
      <c r="G121" s="285"/>
      <c r="H121" s="285"/>
      <c r="I121" s="285"/>
      <c r="J121" s="285"/>
      <c r="K121" s="285"/>
      <c r="L121" s="285"/>
    </row>
    <row r="122" spans="2:12">
      <c r="B122" s="285"/>
      <c r="C122" s="285"/>
      <c r="D122" s="285"/>
      <c r="E122" s="285"/>
      <c r="F122" s="285"/>
      <c r="G122" s="285"/>
      <c r="H122" s="285"/>
      <c r="I122" s="285"/>
      <c r="J122" s="285"/>
      <c r="K122" s="285"/>
      <c r="L122" s="285"/>
    </row>
    <row r="123" spans="2:12">
      <c r="B123" s="285"/>
      <c r="C123" s="285"/>
      <c r="D123" s="285"/>
      <c r="E123" s="285"/>
      <c r="F123" s="285"/>
      <c r="G123" s="285"/>
      <c r="H123" s="285"/>
      <c r="I123" s="285"/>
      <c r="J123" s="285"/>
      <c r="K123" s="285"/>
      <c r="L123" s="285"/>
    </row>
    <row r="124" spans="2:12">
      <c r="B124" s="285"/>
      <c r="C124" s="285"/>
      <c r="D124" s="285"/>
      <c r="E124" s="285"/>
      <c r="F124" s="285"/>
      <c r="G124" s="285"/>
      <c r="H124" s="285"/>
      <c r="I124" s="285"/>
      <c r="J124" s="285"/>
      <c r="K124" s="285"/>
      <c r="L124" s="285"/>
    </row>
    <row r="125" spans="2:12">
      <c r="B125" s="285"/>
      <c r="C125" s="285"/>
      <c r="D125" s="285"/>
      <c r="E125" s="285"/>
      <c r="F125" s="285"/>
      <c r="G125" s="285"/>
      <c r="H125" s="285"/>
      <c r="I125" s="285"/>
      <c r="J125" s="285"/>
      <c r="K125" s="285"/>
      <c r="L125" s="285"/>
    </row>
    <row r="126" spans="2:12">
      <c r="B126" s="285"/>
      <c r="C126" s="285"/>
      <c r="D126" s="285"/>
      <c r="E126" s="285"/>
      <c r="F126" s="285"/>
      <c r="G126" s="285"/>
      <c r="H126" s="285"/>
      <c r="I126" s="285"/>
      <c r="J126" s="285"/>
      <c r="K126" s="285"/>
      <c r="L126" s="285"/>
    </row>
    <row r="127" spans="2:12">
      <c r="B127" s="285"/>
      <c r="C127" s="285"/>
      <c r="D127" s="285"/>
      <c r="E127" s="285"/>
      <c r="F127" s="285"/>
      <c r="G127" s="285"/>
      <c r="H127" s="285"/>
      <c r="I127" s="285"/>
      <c r="J127" s="285"/>
      <c r="K127" s="285"/>
      <c r="L127" s="285"/>
    </row>
    <row r="128" spans="2:12">
      <c r="B128" s="285"/>
      <c r="C128" s="285"/>
      <c r="D128" s="285"/>
      <c r="E128" s="285"/>
      <c r="F128" s="285"/>
      <c r="G128" s="285"/>
      <c r="H128" s="285"/>
      <c r="I128" s="285"/>
      <c r="J128" s="285"/>
      <c r="K128" s="285"/>
      <c r="L128" s="285"/>
    </row>
    <row r="129" spans="2:12">
      <c r="B129" s="285"/>
      <c r="C129" s="285"/>
      <c r="D129" s="285"/>
      <c r="E129" s="285"/>
      <c r="F129" s="285"/>
      <c r="G129" s="285"/>
      <c r="H129" s="285"/>
      <c r="I129" s="285"/>
      <c r="J129" s="285"/>
      <c r="K129" s="285"/>
      <c r="L129" s="285"/>
    </row>
    <row r="130" spans="2:12">
      <c r="B130" s="285"/>
      <c r="C130" s="285"/>
      <c r="D130" s="285"/>
      <c r="E130" s="285"/>
      <c r="F130" s="285"/>
      <c r="G130" s="285"/>
      <c r="H130" s="285"/>
      <c r="I130" s="285"/>
      <c r="J130" s="285"/>
      <c r="K130" s="285"/>
      <c r="L130" s="285"/>
    </row>
    <row r="131" spans="2:12">
      <c r="B131" s="285"/>
      <c r="C131" s="285"/>
      <c r="D131" s="285"/>
      <c r="E131" s="285"/>
      <c r="F131" s="285"/>
      <c r="G131" s="285"/>
      <c r="H131" s="285"/>
      <c r="I131" s="285"/>
      <c r="J131" s="285"/>
      <c r="K131" s="285"/>
      <c r="L131" s="285"/>
    </row>
    <row r="132" spans="2:12">
      <c r="B132" s="285"/>
      <c r="C132" s="285"/>
      <c r="D132" s="285"/>
      <c r="E132" s="285"/>
      <c r="F132" s="285"/>
      <c r="G132" s="285"/>
      <c r="H132" s="285"/>
      <c r="I132" s="285"/>
      <c r="J132" s="285"/>
      <c r="K132" s="285"/>
      <c r="L132" s="285"/>
    </row>
    <row r="133" spans="2:12">
      <c r="B133" s="285"/>
      <c r="C133" s="285"/>
      <c r="D133" s="285"/>
      <c r="E133" s="285"/>
      <c r="F133" s="285"/>
      <c r="G133" s="285"/>
      <c r="H133" s="285"/>
      <c r="I133" s="285"/>
      <c r="J133" s="285"/>
      <c r="K133" s="285"/>
      <c r="L133" s="285"/>
    </row>
    <row r="134" spans="2:12">
      <c r="B134" s="285"/>
      <c r="C134" s="285"/>
      <c r="D134" s="285"/>
      <c r="E134" s="285"/>
      <c r="F134" s="285"/>
      <c r="G134" s="285"/>
      <c r="H134" s="285"/>
      <c r="I134" s="285"/>
      <c r="J134" s="285"/>
      <c r="K134" s="285"/>
      <c r="L134" s="285"/>
    </row>
    <row r="135" spans="2:12">
      <c r="B135" s="285"/>
      <c r="C135" s="285"/>
      <c r="D135" s="285"/>
      <c r="E135" s="285"/>
      <c r="F135" s="285"/>
      <c r="G135" s="285"/>
      <c r="H135" s="285"/>
      <c r="I135" s="285"/>
      <c r="J135" s="285"/>
      <c r="K135" s="285"/>
      <c r="L135" s="285"/>
    </row>
    <row r="136" spans="2:12">
      <c r="B136" s="285"/>
      <c r="C136" s="285"/>
      <c r="D136" s="285"/>
      <c r="E136" s="285"/>
      <c r="F136" s="285"/>
      <c r="G136" s="285"/>
      <c r="H136" s="285"/>
      <c r="I136" s="285"/>
      <c r="J136" s="285"/>
      <c r="K136" s="285"/>
      <c r="L136" s="285"/>
    </row>
    <row r="137" spans="2:12">
      <c r="B137" s="285"/>
      <c r="C137" s="285"/>
      <c r="D137" s="285"/>
      <c r="E137" s="285"/>
      <c r="F137" s="285"/>
      <c r="G137" s="285"/>
      <c r="H137" s="285"/>
      <c r="I137" s="285"/>
      <c r="J137" s="285"/>
      <c r="K137" s="285"/>
      <c r="L137" s="285"/>
    </row>
    <row r="138" spans="2:12">
      <c r="B138" s="285"/>
      <c r="C138" s="285"/>
      <c r="D138" s="285"/>
      <c r="E138" s="285"/>
      <c r="F138" s="285"/>
      <c r="G138" s="285"/>
      <c r="H138" s="285"/>
      <c r="I138" s="285"/>
      <c r="J138" s="285"/>
      <c r="K138" s="285"/>
      <c r="L138" s="285"/>
    </row>
    <row r="139" spans="2:12">
      <c r="B139" s="285"/>
      <c r="C139" s="285"/>
      <c r="D139" s="285"/>
      <c r="E139" s="285"/>
      <c r="F139" s="285"/>
      <c r="G139" s="285"/>
      <c r="H139" s="285"/>
      <c r="I139" s="285"/>
      <c r="J139" s="285"/>
      <c r="K139" s="285"/>
      <c r="L139" s="285"/>
    </row>
    <row r="140" spans="2:12">
      <c r="B140" s="285"/>
      <c r="C140" s="285"/>
      <c r="D140" s="285"/>
      <c r="E140" s="285"/>
      <c r="F140" s="285"/>
      <c r="G140" s="285"/>
      <c r="H140" s="285"/>
      <c r="I140" s="285"/>
      <c r="J140" s="285"/>
      <c r="K140" s="285"/>
      <c r="L140" s="285"/>
    </row>
    <row r="141" spans="2:12">
      <c r="B141" s="285"/>
      <c r="C141" s="285"/>
      <c r="D141" s="285"/>
      <c r="E141" s="285"/>
      <c r="F141" s="285"/>
      <c r="G141" s="285"/>
      <c r="H141" s="285"/>
      <c r="I141" s="285"/>
      <c r="J141" s="285"/>
      <c r="K141" s="285"/>
      <c r="L141" s="285"/>
    </row>
    <row r="142" spans="2:12">
      <c r="B142" s="285"/>
      <c r="C142" s="285"/>
      <c r="D142" s="285"/>
      <c r="E142" s="285"/>
      <c r="F142" s="285"/>
      <c r="G142" s="285"/>
      <c r="H142" s="285"/>
      <c r="I142" s="285"/>
      <c r="J142" s="285"/>
      <c r="K142" s="285"/>
      <c r="L142" s="285"/>
    </row>
    <row r="143" spans="2:12">
      <c r="B143" s="285"/>
      <c r="C143" s="285"/>
      <c r="D143" s="285"/>
      <c r="E143" s="285"/>
      <c r="F143" s="285"/>
      <c r="G143" s="285"/>
      <c r="H143" s="285"/>
      <c r="I143" s="285"/>
      <c r="J143" s="285"/>
      <c r="K143" s="285"/>
      <c r="L143" s="285"/>
    </row>
    <row r="144" spans="2:12">
      <c r="B144" s="285"/>
      <c r="C144" s="285"/>
      <c r="D144" s="285"/>
      <c r="E144" s="285"/>
      <c r="F144" s="285"/>
      <c r="G144" s="285"/>
      <c r="H144" s="285"/>
      <c r="I144" s="285"/>
      <c r="J144" s="285"/>
      <c r="K144" s="285"/>
      <c r="L144" s="285"/>
    </row>
    <row r="145" spans="2:12">
      <c r="B145" s="285"/>
      <c r="C145" s="285"/>
      <c r="D145" s="285"/>
      <c r="E145" s="285"/>
      <c r="F145" s="285"/>
      <c r="G145" s="285"/>
      <c r="H145" s="285"/>
      <c r="I145" s="285"/>
      <c r="J145" s="285"/>
      <c r="K145" s="285"/>
      <c r="L145" s="285"/>
    </row>
    <row r="146" spans="2:12">
      <c r="B146" s="285"/>
      <c r="C146" s="285"/>
      <c r="D146" s="285"/>
      <c r="E146" s="285"/>
      <c r="F146" s="285"/>
      <c r="G146" s="285"/>
      <c r="H146" s="285"/>
      <c r="I146" s="285"/>
      <c r="J146" s="285"/>
      <c r="K146" s="285"/>
      <c r="L146" s="285"/>
    </row>
    <row r="147" spans="2:12">
      <c r="B147" s="285"/>
      <c r="C147" s="285"/>
      <c r="D147" s="285"/>
      <c r="E147" s="285"/>
      <c r="F147" s="285"/>
      <c r="G147" s="285"/>
      <c r="H147" s="285"/>
      <c r="I147" s="285"/>
      <c r="J147" s="285"/>
      <c r="K147" s="285"/>
      <c r="L147" s="285"/>
    </row>
    <row r="148" spans="2:12">
      <c r="B148" s="285"/>
      <c r="C148" s="285"/>
      <c r="D148" s="285"/>
      <c r="E148" s="285"/>
      <c r="F148" s="285"/>
      <c r="G148" s="285"/>
      <c r="H148" s="285"/>
      <c r="I148" s="285"/>
      <c r="J148" s="285"/>
      <c r="K148" s="285"/>
      <c r="L148" s="285"/>
    </row>
    <row r="149" spans="2:12">
      <c r="B149" s="285"/>
      <c r="C149" s="285"/>
      <c r="D149" s="285"/>
      <c r="E149" s="285"/>
      <c r="F149" s="285"/>
      <c r="G149" s="285"/>
      <c r="H149" s="285"/>
      <c r="I149" s="285"/>
      <c r="J149" s="285"/>
      <c r="K149" s="285"/>
      <c r="L149" s="285"/>
    </row>
    <row r="150" spans="2:12">
      <c r="B150" s="285"/>
      <c r="C150" s="285"/>
      <c r="D150" s="285"/>
      <c r="E150" s="285"/>
      <c r="F150" s="285"/>
      <c r="G150" s="285"/>
      <c r="H150" s="285"/>
      <c r="I150" s="285"/>
      <c r="J150" s="285"/>
      <c r="K150" s="285"/>
      <c r="L150" s="285"/>
    </row>
    <row r="151" spans="2:12">
      <c r="B151" s="285"/>
      <c r="C151" s="285"/>
      <c r="D151" s="285"/>
      <c r="E151" s="285"/>
      <c r="F151" s="285"/>
      <c r="G151" s="285"/>
      <c r="H151" s="285"/>
      <c r="I151" s="285"/>
      <c r="J151" s="285"/>
      <c r="K151" s="285"/>
      <c r="L151" s="285"/>
    </row>
    <row r="152" spans="2:12">
      <c r="B152" s="285"/>
      <c r="C152" s="285"/>
      <c r="D152" s="285"/>
      <c r="E152" s="285"/>
      <c r="F152" s="285"/>
      <c r="G152" s="285"/>
      <c r="H152" s="285"/>
      <c r="I152" s="285"/>
      <c r="J152" s="285"/>
      <c r="K152" s="285"/>
      <c r="L152" s="285"/>
    </row>
    <row r="153" spans="2:12">
      <c r="B153" s="285"/>
      <c r="C153" s="285"/>
      <c r="D153" s="285"/>
      <c r="E153" s="285"/>
      <c r="F153" s="285"/>
      <c r="G153" s="285"/>
      <c r="H153" s="285"/>
      <c r="I153" s="285"/>
      <c r="J153" s="285"/>
      <c r="K153" s="285"/>
      <c r="L153" s="285"/>
    </row>
    <row r="154" spans="2:12">
      <c r="B154" s="285"/>
      <c r="C154" s="285"/>
      <c r="D154" s="285"/>
      <c r="E154" s="285"/>
      <c r="F154" s="285"/>
      <c r="G154" s="285"/>
      <c r="H154" s="285"/>
      <c r="I154" s="285"/>
      <c r="J154" s="285"/>
      <c r="K154" s="285"/>
      <c r="L154" s="285"/>
    </row>
    <row r="155" spans="2:12">
      <c r="B155" s="285"/>
      <c r="C155" s="285"/>
      <c r="D155" s="285"/>
      <c r="E155" s="285"/>
      <c r="F155" s="285"/>
      <c r="G155" s="285"/>
      <c r="H155" s="285"/>
      <c r="I155" s="285"/>
      <c r="J155" s="285"/>
      <c r="K155" s="285"/>
      <c r="L155" s="285"/>
    </row>
    <row r="156" spans="2:12">
      <c r="B156" s="285"/>
      <c r="C156" s="285"/>
      <c r="D156" s="285"/>
      <c r="E156" s="285"/>
      <c r="F156" s="285"/>
      <c r="G156" s="285"/>
      <c r="H156" s="285"/>
      <c r="I156" s="285"/>
      <c r="J156" s="285"/>
      <c r="K156" s="285"/>
      <c r="L156" s="285"/>
    </row>
    <row r="157" spans="2:12">
      <c r="B157" s="285"/>
      <c r="C157" s="285"/>
      <c r="D157" s="285"/>
      <c r="E157" s="285"/>
      <c r="F157" s="285"/>
      <c r="G157" s="285"/>
      <c r="H157" s="285"/>
      <c r="I157" s="285"/>
      <c r="J157" s="285"/>
      <c r="K157" s="285"/>
      <c r="L157" s="285"/>
    </row>
    <row r="158" spans="2:12">
      <c r="B158" s="285"/>
      <c r="C158" s="285"/>
      <c r="D158" s="285"/>
      <c r="E158" s="285"/>
      <c r="F158" s="285"/>
      <c r="G158" s="285"/>
      <c r="H158" s="285"/>
      <c r="I158" s="285"/>
      <c r="J158" s="285"/>
      <c r="K158" s="285"/>
      <c r="L158" s="285"/>
    </row>
    <row r="159" spans="2:12">
      <c r="B159" s="285"/>
      <c r="C159" s="285"/>
      <c r="D159" s="285"/>
      <c r="E159" s="285"/>
      <c r="F159" s="285"/>
      <c r="G159" s="285"/>
      <c r="H159" s="285"/>
      <c r="I159" s="285"/>
      <c r="J159" s="285"/>
      <c r="K159" s="285"/>
      <c r="L159" s="285"/>
    </row>
    <row r="160" spans="2:12">
      <c r="B160" s="285"/>
      <c r="C160" s="285"/>
      <c r="D160" s="285"/>
      <c r="E160" s="285"/>
      <c r="F160" s="285"/>
      <c r="G160" s="285"/>
      <c r="H160" s="285"/>
      <c r="I160" s="285"/>
      <c r="J160" s="285"/>
      <c r="K160" s="285"/>
      <c r="L160" s="285"/>
    </row>
    <row r="161" spans="2:12">
      <c r="B161" s="285"/>
      <c r="C161" s="285"/>
      <c r="D161" s="285"/>
      <c r="E161" s="285"/>
      <c r="F161" s="285"/>
      <c r="G161" s="285"/>
      <c r="H161" s="285"/>
      <c r="I161" s="285"/>
      <c r="J161" s="285"/>
      <c r="K161" s="285"/>
      <c r="L161" s="285"/>
    </row>
    <row r="162" spans="2:12">
      <c r="B162" s="285"/>
      <c r="C162" s="285"/>
      <c r="D162" s="285"/>
      <c r="E162" s="285"/>
      <c r="F162" s="285"/>
      <c r="G162" s="285"/>
      <c r="H162" s="285"/>
      <c r="I162" s="285"/>
      <c r="J162" s="285"/>
      <c r="K162" s="285"/>
      <c r="L162" s="285"/>
    </row>
    <row r="163" spans="2:12">
      <c r="B163" s="285"/>
      <c r="C163" s="285"/>
      <c r="D163" s="285"/>
      <c r="E163" s="285"/>
      <c r="F163" s="285"/>
      <c r="G163" s="285"/>
      <c r="H163" s="285"/>
      <c r="I163" s="285"/>
      <c r="J163" s="285"/>
      <c r="K163" s="285"/>
      <c r="L163" s="285"/>
    </row>
    <row r="164" spans="2:12">
      <c r="B164" s="285"/>
      <c r="C164" s="285"/>
      <c r="D164" s="285"/>
      <c r="E164" s="285"/>
      <c r="F164" s="285"/>
      <c r="G164" s="285"/>
      <c r="H164" s="285"/>
      <c r="I164" s="285"/>
      <c r="J164" s="285"/>
      <c r="K164" s="285"/>
      <c r="L164" s="285"/>
    </row>
    <row r="165" spans="2:12">
      <c r="B165" s="285"/>
      <c r="C165" s="285"/>
      <c r="D165" s="285"/>
      <c r="E165" s="285"/>
      <c r="F165" s="285"/>
      <c r="G165" s="285"/>
      <c r="H165" s="285"/>
      <c r="I165" s="285"/>
      <c r="J165" s="285"/>
      <c r="K165" s="285"/>
      <c r="L165" s="285"/>
    </row>
    <row r="166" spans="2:12">
      <c r="B166" s="285"/>
      <c r="C166" s="285"/>
      <c r="D166" s="285"/>
      <c r="E166" s="285"/>
      <c r="F166" s="285"/>
      <c r="G166" s="285"/>
      <c r="H166" s="285"/>
      <c r="I166" s="285"/>
      <c r="J166" s="285"/>
      <c r="K166" s="285"/>
      <c r="L166" s="285"/>
    </row>
    <row r="167" spans="2:12">
      <c r="B167" s="285"/>
      <c r="C167" s="285"/>
      <c r="D167" s="285"/>
      <c r="E167" s="285"/>
      <c r="F167" s="285"/>
      <c r="G167" s="285"/>
      <c r="H167" s="285"/>
      <c r="I167" s="285"/>
      <c r="J167" s="285"/>
      <c r="K167" s="285"/>
      <c r="L167" s="285"/>
    </row>
    <row r="168" spans="2:12">
      <c r="B168" s="285"/>
      <c r="C168" s="285"/>
      <c r="D168" s="285"/>
      <c r="E168" s="285"/>
      <c r="F168" s="285"/>
      <c r="G168" s="285"/>
      <c r="H168" s="285"/>
      <c r="I168" s="285"/>
      <c r="J168" s="285"/>
      <c r="K168" s="285"/>
      <c r="L168" s="285"/>
    </row>
    <row r="169" spans="2:12">
      <c r="B169" s="285"/>
      <c r="C169" s="285"/>
      <c r="D169" s="285"/>
      <c r="E169" s="285"/>
      <c r="F169" s="285"/>
      <c r="G169" s="285"/>
      <c r="H169" s="285"/>
      <c r="I169" s="285"/>
      <c r="J169" s="285"/>
      <c r="K169" s="285"/>
      <c r="L169" s="285"/>
    </row>
    <row r="170" spans="2:12">
      <c r="B170" s="285"/>
      <c r="C170" s="285"/>
      <c r="D170" s="285"/>
      <c r="E170" s="285"/>
      <c r="F170" s="285"/>
      <c r="G170" s="285"/>
      <c r="H170" s="285"/>
      <c r="I170" s="285"/>
      <c r="J170" s="285"/>
      <c r="K170" s="285"/>
      <c r="L170" s="285"/>
    </row>
    <row r="171" spans="2:12">
      <c r="B171" s="285"/>
      <c r="C171" s="285"/>
      <c r="D171" s="285"/>
      <c r="E171" s="285"/>
      <c r="F171" s="285"/>
      <c r="G171" s="285"/>
      <c r="H171" s="285"/>
      <c r="I171" s="285"/>
      <c r="J171" s="285"/>
      <c r="K171" s="285"/>
      <c r="L171" s="285"/>
    </row>
    <row r="172" spans="2:12">
      <c r="B172" s="285"/>
      <c r="C172" s="285"/>
      <c r="D172" s="285"/>
      <c r="E172" s="285"/>
      <c r="F172" s="285"/>
      <c r="G172" s="285"/>
      <c r="H172" s="285"/>
      <c r="I172" s="285"/>
      <c r="J172" s="285"/>
      <c r="K172" s="285"/>
      <c r="L172" s="285"/>
    </row>
    <row r="173" spans="2:12">
      <c r="B173" s="285"/>
      <c r="C173" s="285"/>
      <c r="D173" s="285"/>
      <c r="E173" s="285"/>
      <c r="F173" s="285"/>
      <c r="G173" s="285"/>
      <c r="H173" s="285"/>
      <c r="I173" s="285"/>
      <c r="J173" s="285"/>
      <c r="K173" s="285"/>
      <c r="L173" s="285"/>
    </row>
    <row r="174" spans="2:12">
      <c r="B174" s="285"/>
      <c r="C174" s="285"/>
      <c r="D174" s="285"/>
      <c r="E174" s="285"/>
      <c r="F174" s="285"/>
      <c r="G174" s="285"/>
      <c r="H174" s="285"/>
      <c r="I174" s="285"/>
      <c r="J174" s="285"/>
      <c r="K174" s="285"/>
      <c r="L174" s="285"/>
    </row>
    <row r="175" spans="2:12">
      <c r="B175" s="285"/>
      <c r="C175" s="285"/>
      <c r="D175" s="285"/>
      <c r="E175" s="285"/>
      <c r="F175" s="285"/>
      <c r="G175" s="285"/>
      <c r="H175" s="285"/>
      <c r="I175" s="285"/>
      <c r="J175" s="285"/>
      <c r="K175" s="285"/>
      <c r="L175" s="285"/>
    </row>
    <row r="176" spans="2:12">
      <c r="B176" s="285"/>
      <c r="C176" s="285"/>
      <c r="D176" s="285"/>
      <c r="E176" s="285"/>
      <c r="F176" s="285"/>
      <c r="G176" s="285"/>
      <c r="H176" s="285"/>
      <c r="I176" s="285"/>
      <c r="J176" s="285"/>
      <c r="K176" s="285"/>
      <c r="L176" s="285"/>
    </row>
    <row r="177" spans="2:12">
      <c r="B177" s="285"/>
      <c r="C177" s="285"/>
      <c r="D177" s="285"/>
      <c r="E177" s="285"/>
      <c r="F177" s="285"/>
      <c r="G177" s="285"/>
      <c r="H177" s="285"/>
      <c r="I177" s="285"/>
      <c r="J177" s="285"/>
      <c r="K177" s="285"/>
      <c r="L177" s="285"/>
    </row>
    <row r="178" spans="2:12">
      <c r="B178" s="285"/>
      <c r="C178" s="285"/>
      <c r="D178" s="285"/>
      <c r="E178" s="285"/>
      <c r="F178" s="285"/>
      <c r="G178" s="285"/>
      <c r="H178" s="285"/>
      <c r="I178" s="285"/>
      <c r="J178" s="285"/>
      <c r="K178" s="285"/>
      <c r="L178" s="285"/>
    </row>
    <row r="179" spans="2:12">
      <c r="B179" s="285"/>
      <c r="C179" s="285"/>
      <c r="D179" s="285"/>
      <c r="E179" s="285"/>
      <c r="F179" s="285"/>
      <c r="G179" s="285"/>
      <c r="H179" s="285"/>
      <c r="I179" s="285"/>
      <c r="J179" s="285"/>
      <c r="K179" s="285"/>
      <c r="L179" s="285"/>
    </row>
    <row r="180" spans="2:12">
      <c r="B180" s="285"/>
      <c r="C180" s="285"/>
      <c r="D180" s="285"/>
      <c r="E180" s="285"/>
      <c r="F180" s="285"/>
      <c r="G180" s="285"/>
      <c r="H180" s="285"/>
      <c r="I180" s="285"/>
      <c r="J180" s="285"/>
      <c r="K180" s="285"/>
      <c r="L180" s="285"/>
    </row>
    <row r="181" spans="2:12">
      <c r="B181" s="285"/>
      <c r="C181" s="285"/>
      <c r="D181" s="285"/>
      <c r="E181" s="285"/>
      <c r="F181" s="285"/>
      <c r="G181" s="285"/>
      <c r="H181" s="285"/>
      <c r="I181" s="285"/>
      <c r="J181" s="285"/>
      <c r="K181" s="285"/>
      <c r="L181" s="285"/>
    </row>
    <row r="182" spans="2:12">
      <c r="B182" s="285"/>
      <c r="C182" s="285"/>
      <c r="D182" s="285"/>
      <c r="E182" s="285"/>
      <c r="F182" s="285"/>
      <c r="G182" s="285"/>
      <c r="H182" s="285"/>
      <c r="I182" s="285"/>
      <c r="J182" s="285"/>
      <c r="K182" s="285"/>
      <c r="L182" s="285"/>
    </row>
    <row r="183" spans="2:12">
      <c r="B183" s="285"/>
      <c r="C183" s="285"/>
      <c r="D183" s="285"/>
      <c r="E183" s="285"/>
      <c r="F183" s="285"/>
      <c r="G183" s="285"/>
      <c r="H183" s="285"/>
      <c r="I183" s="285"/>
      <c r="J183" s="285"/>
      <c r="K183" s="285"/>
      <c r="L183" s="285"/>
    </row>
    <row r="184" spans="2:12">
      <c r="B184" s="285"/>
      <c r="C184" s="285"/>
      <c r="D184" s="285"/>
      <c r="E184" s="285"/>
      <c r="F184" s="285"/>
      <c r="G184" s="285"/>
      <c r="H184" s="285"/>
      <c r="I184" s="285"/>
      <c r="J184" s="285"/>
      <c r="K184" s="285"/>
      <c r="L184" s="285"/>
    </row>
    <row r="185" spans="2:12">
      <c r="B185" s="285"/>
      <c r="C185" s="285"/>
      <c r="D185" s="285"/>
      <c r="E185" s="285"/>
      <c r="F185" s="285"/>
      <c r="G185" s="285"/>
      <c r="H185" s="285"/>
      <c r="I185" s="285"/>
      <c r="J185" s="285"/>
      <c r="K185" s="285"/>
      <c r="L185" s="285"/>
    </row>
    <row r="186" spans="2:12">
      <c r="B186" s="285"/>
      <c r="C186" s="285"/>
      <c r="D186" s="285"/>
      <c r="E186" s="285"/>
      <c r="F186" s="285"/>
      <c r="G186" s="285"/>
      <c r="H186" s="285"/>
      <c r="I186" s="285"/>
      <c r="J186" s="285"/>
      <c r="K186" s="285"/>
      <c r="L186" s="285"/>
    </row>
    <row r="187" spans="2:12">
      <c r="B187" s="285"/>
      <c r="C187" s="285"/>
      <c r="D187" s="285"/>
      <c r="E187" s="285"/>
      <c r="F187" s="285"/>
      <c r="G187" s="285"/>
      <c r="H187" s="285"/>
      <c r="I187" s="285"/>
      <c r="J187" s="285"/>
      <c r="K187" s="285"/>
      <c r="L187" s="285"/>
    </row>
    <row r="188" spans="2:12">
      <c r="B188" s="285"/>
      <c r="C188" s="285"/>
      <c r="D188" s="285"/>
      <c r="E188" s="285"/>
      <c r="F188" s="285"/>
      <c r="G188" s="285"/>
      <c r="H188" s="285"/>
      <c r="I188" s="285"/>
      <c r="J188" s="285"/>
      <c r="K188" s="285"/>
      <c r="L188" s="285"/>
    </row>
    <row r="189" spans="2:12">
      <c r="B189" s="285"/>
      <c r="C189" s="285"/>
      <c r="D189" s="285"/>
      <c r="E189" s="285"/>
      <c r="F189" s="285"/>
      <c r="G189" s="285"/>
      <c r="H189" s="285"/>
      <c r="I189" s="285"/>
      <c r="J189" s="285"/>
      <c r="K189" s="285"/>
      <c r="L189" s="285"/>
    </row>
    <row r="190" spans="2:12">
      <c r="B190" s="285"/>
      <c r="C190" s="285"/>
      <c r="D190" s="285"/>
      <c r="E190" s="285"/>
      <c r="F190" s="285"/>
      <c r="G190" s="285"/>
      <c r="H190" s="285"/>
      <c r="I190" s="285"/>
      <c r="J190" s="285"/>
      <c r="K190" s="285"/>
      <c r="L190" s="285"/>
    </row>
    <row r="191" spans="2:12">
      <c r="B191" s="285"/>
      <c r="C191" s="285"/>
      <c r="D191" s="285"/>
      <c r="E191" s="285"/>
      <c r="F191" s="285"/>
      <c r="G191" s="285"/>
      <c r="H191" s="285"/>
      <c r="I191" s="285"/>
      <c r="J191" s="285"/>
      <c r="K191" s="285"/>
      <c r="L191" s="285"/>
    </row>
    <row r="192" spans="2:12">
      <c r="B192" s="285"/>
      <c r="C192" s="285"/>
      <c r="D192" s="285"/>
      <c r="E192" s="285"/>
      <c r="F192" s="285"/>
      <c r="G192" s="285"/>
      <c r="H192" s="285"/>
      <c r="I192" s="285"/>
      <c r="J192" s="285"/>
      <c r="K192" s="285"/>
      <c r="L192" s="285"/>
    </row>
    <row r="193" spans="2:12">
      <c r="B193" s="285"/>
      <c r="C193" s="285"/>
      <c r="D193" s="285"/>
      <c r="E193" s="285"/>
      <c r="F193" s="285"/>
      <c r="G193" s="285"/>
      <c r="H193" s="285"/>
      <c r="I193" s="285"/>
      <c r="J193" s="285"/>
      <c r="K193" s="285"/>
      <c r="L193" s="285"/>
    </row>
    <row r="194" spans="2:12">
      <c r="B194" s="285"/>
      <c r="C194" s="285"/>
      <c r="D194" s="285"/>
      <c r="E194" s="285"/>
      <c r="F194" s="285"/>
      <c r="G194" s="285"/>
      <c r="H194" s="285"/>
      <c r="I194" s="285"/>
      <c r="J194" s="285"/>
      <c r="K194" s="285"/>
      <c r="L194" s="285"/>
    </row>
    <row r="195" spans="2:12">
      <c r="B195" s="285"/>
      <c r="C195" s="285"/>
      <c r="D195" s="285"/>
      <c r="E195" s="285"/>
      <c r="F195" s="285"/>
      <c r="G195" s="285"/>
      <c r="H195" s="285"/>
      <c r="I195" s="285"/>
      <c r="J195" s="285"/>
      <c r="K195" s="285"/>
      <c r="L195" s="285"/>
    </row>
    <row r="196" spans="2:12">
      <c r="B196" s="285"/>
      <c r="C196" s="285"/>
      <c r="D196" s="285"/>
      <c r="E196" s="285"/>
      <c r="F196" s="285"/>
      <c r="G196" s="285"/>
      <c r="H196" s="285"/>
      <c r="I196" s="285"/>
      <c r="J196" s="285"/>
      <c r="K196" s="285"/>
      <c r="L196" s="285"/>
    </row>
    <row r="197" spans="2:12">
      <c r="B197" s="285"/>
      <c r="C197" s="285"/>
      <c r="D197" s="285"/>
      <c r="E197" s="285"/>
      <c r="F197" s="285"/>
      <c r="G197" s="285"/>
      <c r="H197" s="285"/>
      <c r="I197" s="285"/>
      <c r="J197" s="285"/>
      <c r="K197" s="285"/>
      <c r="L197" s="285"/>
    </row>
    <row r="198" spans="2:12">
      <c r="B198" s="285"/>
      <c r="C198" s="285"/>
      <c r="D198" s="285"/>
      <c r="E198" s="285"/>
      <c r="F198" s="285"/>
      <c r="G198" s="285"/>
      <c r="H198" s="285"/>
      <c r="I198" s="285"/>
      <c r="J198" s="285"/>
      <c r="K198" s="285"/>
      <c r="L198" s="285"/>
    </row>
    <row r="199" spans="2:12">
      <c r="B199" s="285"/>
      <c r="C199" s="285"/>
      <c r="D199" s="285"/>
      <c r="E199" s="285"/>
      <c r="F199" s="285"/>
      <c r="G199" s="285"/>
      <c r="H199" s="285"/>
      <c r="I199" s="285"/>
      <c r="J199" s="285"/>
      <c r="K199" s="285"/>
      <c r="L199" s="285"/>
    </row>
    <row r="200" spans="2:12">
      <c r="B200" s="285"/>
      <c r="C200" s="285"/>
      <c r="D200" s="285"/>
      <c r="E200" s="285"/>
      <c r="F200" s="285"/>
      <c r="G200" s="285"/>
      <c r="H200" s="285"/>
      <c r="I200" s="285"/>
      <c r="J200" s="285"/>
      <c r="K200" s="285"/>
      <c r="L200" s="285"/>
    </row>
    <row r="201" spans="2:12">
      <c r="B201" s="285"/>
      <c r="C201" s="285"/>
      <c r="D201" s="285"/>
      <c r="E201" s="285"/>
      <c r="F201" s="285"/>
      <c r="G201" s="285"/>
      <c r="H201" s="285"/>
      <c r="I201" s="285"/>
      <c r="J201" s="285"/>
      <c r="K201" s="285"/>
      <c r="L201" s="285"/>
    </row>
    <row r="202" spans="2:12">
      <c r="B202" s="285"/>
      <c r="C202" s="285"/>
      <c r="D202" s="285"/>
      <c r="E202" s="285"/>
      <c r="F202" s="285"/>
      <c r="G202" s="285"/>
      <c r="H202" s="285"/>
      <c r="I202" s="285"/>
      <c r="J202" s="285"/>
      <c r="K202" s="285"/>
      <c r="L202" s="285"/>
    </row>
    <row r="203" spans="2:12">
      <c r="B203" s="285"/>
      <c r="C203" s="285"/>
      <c r="D203" s="285"/>
      <c r="E203" s="285"/>
      <c r="F203" s="285"/>
      <c r="G203" s="285"/>
      <c r="H203" s="285"/>
      <c r="I203" s="285"/>
      <c r="J203" s="285"/>
      <c r="K203" s="285"/>
      <c r="L203" s="285"/>
    </row>
    <row r="204" spans="2:12">
      <c r="B204" s="285"/>
      <c r="C204" s="285"/>
      <c r="D204" s="285"/>
      <c r="E204" s="285"/>
      <c r="F204" s="285"/>
      <c r="G204" s="285"/>
      <c r="H204" s="285"/>
      <c r="I204" s="285"/>
      <c r="J204" s="285"/>
      <c r="K204" s="285"/>
      <c r="L204" s="285"/>
    </row>
    <row r="205" spans="2:12">
      <c r="B205" s="285"/>
      <c r="C205" s="285"/>
      <c r="D205" s="285"/>
      <c r="E205" s="285"/>
      <c r="F205" s="285"/>
      <c r="G205" s="285"/>
      <c r="H205" s="285"/>
      <c r="I205" s="285"/>
      <c r="J205" s="285"/>
      <c r="K205" s="285"/>
      <c r="L205" s="285"/>
    </row>
    <row r="206" spans="2:12">
      <c r="B206" s="285"/>
      <c r="C206" s="285"/>
      <c r="D206" s="285"/>
      <c r="E206" s="285"/>
      <c r="F206" s="285"/>
      <c r="G206" s="285"/>
      <c r="H206" s="285"/>
      <c r="I206" s="285"/>
      <c r="J206" s="285"/>
      <c r="K206" s="285"/>
      <c r="L206" s="285"/>
    </row>
    <row r="207" spans="2:12">
      <c r="B207" s="285"/>
      <c r="C207" s="285"/>
      <c r="D207" s="285"/>
      <c r="E207" s="285"/>
      <c r="F207" s="285"/>
      <c r="G207" s="285"/>
      <c r="H207" s="285"/>
      <c r="I207" s="285"/>
      <c r="J207" s="285"/>
      <c r="K207" s="285"/>
      <c r="L207" s="285"/>
    </row>
    <row r="208" spans="2:12">
      <c r="B208" s="285"/>
      <c r="C208" s="285"/>
      <c r="D208" s="285"/>
      <c r="E208" s="285"/>
      <c r="F208" s="285"/>
      <c r="G208" s="285"/>
      <c r="H208" s="285"/>
      <c r="I208" s="285"/>
      <c r="J208" s="285"/>
      <c r="K208" s="285"/>
      <c r="L208" s="285"/>
    </row>
    <row r="209" spans="2:12">
      <c r="B209" s="285"/>
      <c r="C209" s="285"/>
      <c r="D209" s="285"/>
      <c r="E209" s="285"/>
      <c r="F209" s="285"/>
      <c r="G209" s="285"/>
      <c r="H209" s="285"/>
      <c r="I209" s="285"/>
      <c r="J209" s="285"/>
      <c r="K209" s="285"/>
      <c r="L209" s="285"/>
    </row>
    <row r="210" spans="2:12">
      <c r="B210" s="285"/>
      <c r="C210" s="285"/>
      <c r="D210" s="285"/>
      <c r="E210" s="285"/>
      <c r="F210" s="285"/>
      <c r="G210" s="285"/>
      <c r="H210" s="285"/>
      <c r="I210" s="285"/>
      <c r="J210" s="285"/>
      <c r="K210" s="285"/>
      <c r="L210" s="285"/>
    </row>
    <row r="211" spans="2:12">
      <c r="B211" s="285"/>
      <c r="C211" s="285"/>
      <c r="D211" s="285"/>
      <c r="E211" s="285"/>
      <c r="F211" s="285"/>
      <c r="G211" s="285"/>
      <c r="H211" s="285"/>
      <c r="I211" s="285"/>
      <c r="J211" s="285"/>
      <c r="K211" s="285"/>
      <c r="L211" s="285"/>
    </row>
    <row r="212" spans="2:12">
      <c r="B212" s="285"/>
      <c r="C212" s="285"/>
      <c r="D212" s="285"/>
      <c r="E212" s="285"/>
      <c r="F212" s="285"/>
      <c r="G212" s="285"/>
      <c r="H212" s="285"/>
      <c r="I212" s="285"/>
      <c r="J212" s="285"/>
      <c r="K212" s="285"/>
      <c r="L212" s="285"/>
    </row>
    <row r="213" spans="2:12">
      <c r="B213" s="285"/>
      <c r="C213" s="285"/>
      <c r="D213" s="285"/>
      <c r="E213" s="285"/>
      <c r="F213" s="285"/>
      <c r="G213" s="285"/>
      <c r="H213" s="285"/>
      <c r="I213" s="285"/>
      <c r="J213" s="285"/>
      <c r="K213" s="285"/>
      <c r="L213" s="285"/>
    </row>
    <row r="214" spans="2:12">
      <c r="B214" s="285"/>
      <c r="C214" s="285"/>
      <c r="D214" s="285"/>
      <c r="E214" s="285"/>
      <c r="F214" s="285"/>
      <c r="G214" s="285"/>
      <c r="H214" s="285"/>
      <c r="I214" s="285"/>
      <c r="J214" s="285"/>
      <c r="K214" s="285"/>
      <c r="L214" s="285"/>
    </row>
    <row r="215" spans="2:12">
      <c r="B215" s="285"/>
      <c r="C215" s="285"/>
      <c r="D215" s="285"/>
      <c r="E215" s="285"/>
      <c r="F215" s="285"/>
      <c r="G215" s="285"/>
      <c r="H215" s="285"/>
      <c r="I215" s="285"/>
      <c r="J215" s="285"/>
      <c r="K215" s="285"/>
      <c r="L215" s="285"/>
    </row>
    <row r="216" spans="2:12">
      <c r="B216" s="285"/>
      <c r="C216" s="285"/>
      <c r="D216" s="285"/>
      <c r="E216" s="285"/>
      <c r="F216" s="285"/>
      <c r="G216" s="285"/>
      <c r="H216" s="285"/>
      <c r="I216" s="285"/>
      <c r="J216" s="285"/>
      <c r="K216" s="285"/>
      <c r="L216" s="285"/>
    </row>
    <row r="217" spans="2:12">
      <c r="B217" s="285"/>
      <c r="C217" s="285"/>
      <c r="D217" s="285"/>
      <c r="E217" s="285"/>
      <c r="F217" s="285"/>
      <c r="G217" s="285"/>
      <c r="H217" s="285"/>
      <c r="I217" s="285"/>
      <c r="J217" s="285"/>
      <c r="K217" s="285"/>
      <c r="L217" s="285"/>
    </row>
    <row r="218" spans="2:12">
      <c r="B218" s="285"/>
      <c r="C218" s="285"/>
      <c r="D218" s="285"/>
      <c r="E218" s="285"/>
      <c r="F218" s="285"/>
      <c r="G218" s="285"/>
      <c r="H218" s="285"/>
      <c r="I218" s="285"/>
      <c r="J218" s="285"/>
      <c r="K218" s="285"/>
      <c r="L218" s="285"/>
    </row>
    <row r="219" spans="2:12">
      <c r="B219" s="285"/>
      <c r="C219" s="285"/>
      <c r="D219" s="285"/>
      <c r="E219" s="285"/>
      <c r="F219" s="285"/>
      <c r="G219" s="285"/>
      <c r="H219" s="285"/>
      <c r="I219" s="285"/>
      <c r="J219" s="285"/>
      <c r="K219" s="285"/>
      <c r="L219" s="285"/>
    </row>
    <row r="220" spans="2:12">
      <c r="B220" s="285"/>
      <c r="C220" s="285"/>
      <c r="D220" s="285"/>
      <c r="E220" s="285"/>
      <c r="F220" s="285"/>
      <c r="G220" s="285"/>
      <c r="H220" s="285"/>
      <c r="I220" s="285"/>
      <c r="J220" s="285"/>
      <c r="K220" s="285"/>
      <c r="L220" s="285"/>
    </row>
    <row r="221" spans="2:12">
      <c r="B221" s="285"/>
      <c r="C221" s="285"/>
      <c r="D221" s="285"/>
      <c r="E221" s="285"/>
      <c r="F221" s="285"/>
      <c r="G221" s="285"/>
      <c r="H221" s="285"/>
      <c r="I221" s="285"/>
      <c r="J221" s="285"/>
      <c r="K221" s="285"/>
      <c r="L221" s="285"/>
    </row>
    <row r="222" spans="2:12">
      <c r="B222" s="285"/>
      <c r="C222" s="285"/>
      <c r="D222" s="285"/>
      <c r="E222" s="285"/>
      <c r="F222" s="285"/>
      <c r="G222" s="285"/>
      <c r="H222" s="285"/>
      <c r="I222" s="285"/>
      <c r="J222" s="285"/>
      <c r="K222" s="285"/>
      <c r="L222" s="285"/>
    </row>
    <row r="223" spans="2:12">
      <c r="B223" s="285"/>
      <c r="C223" s="285"/>
      <c r="D223" s="285"/>
      <c r="E223" s="285"/>
      <c r="F223" s="285"/>
      <c r="G223" s="285"/>
      <c r="H223" s="285"/>
      <c r="I223" s="285"/>
      <c r="J223" s="285"/>
      <c r="K223" s="285"/>
      <c r="L223" s="285"/>
    </row>
    <row r="224" spans="2:12">
      <c r="B224" s="285"/>
      <c r="C224" s="285"/>
      <c r="D224" s="285"/>
      <c r="E224" s="285"/>
      <c r="F224" s="285"/>
      <c r="G224" s="285"/>
      <c r="H224" s="285"/>
      <c r="I224" s="285"/>
      <c r="J224" s="285"/>
      <c r="K224" s="285"/>
      <c r="L224" s="285"/>
    </row>
    <row r="225" spans="2:12">
      <c r="B225" s="285"/>
      <c r="C225" s="285"/>
      <c r="D225" s="285"/>
      <c r="E225" s="285"/>
      <c r="F225" s="285"/>
      <c r="G225" s="285"/>
      <c r="H225" s="285"/>
      <c r="I225" s="285"/>
      <c r="J225" s="285"/>
      <c r="K225" s="285"/>
      <c r="L225" s="285"/>
    </row>
    <row r="226" spans="2:12">
      <c r="B226" s="285"/>
      <c r="C226" s="285"/>
      <c r="D226" s="285"/>
      <c r="E226" s="285"/>
      <c r="F226" s="285"/>
      <c r="G226" s="285"/>
      <c r="H226" s="285"/>
      <c r="I226" s="285"/>
      <c r="J226" s="285"/>
      <c r="K226" s="285"/>
      <c r="L226" s="285"/>
    </row>
    <row r="227" spans="2:12">
      <c r="B227" s="285"/>
      <c r="C227" s="285"/>
      <c r="D227" s="285"/>
      <c r="E227" s="285"/>
      <c r="F227" s="285"/>
      <c r="G227" s="285"/>
      <c r="H227" s="285"/>
      <c r="I227" s="285"/>
      <c r="J227" s="285"/>
      <c r="K227" s="285"/>
      <c r="L227" s="285"/>
    </row>
    <row r="228" spans="2:12">
      <c r="B228" s="285"/>
      <c r="C228" s="285"/>
      <c r="D228" s="285"/>
      <c r="E228" s="285"/>
      <c r="F228" s="285"/>
      <c r="G228" s="285"/>
      <c r="H228" s="285"/>
      <c r="I228" s="285"/>
      <c r="J228" s="285"/>
      <c r="K228" s="285"/>
      <c r="L228" s="285"/>
    </row>
    <row r="229" spans="2:12">
      <c r="B229" s="285"/>
      <c r="C229" s="285"/>
      <c r="D229" s="285"/>
      <c r="E229" s="285"/>
      <c r="F229" s="285"/>
      <c r="G229" s="285"/>
      <c r="H229" s="285"/>
      <c r="I229" s="285"/>
      <c r="J229" s="285"/>
      <c r="K229" s="285"/>
      <c r="L229" s="285"/>
    </row>
    <row r="230" spans="2:12">
      <c r="B230" s="285"/>
      <c r="C230" s="285"/>
      <c r="D230" s="285"/>
      <c r="E230" s="285"/>
      <c r="F230" s="285"/>
      <c r="G230" s="285"/>
      <c r="H230" s="285"/>
      <c r="I230" s="285"/>
      <c r="J230" s="285"/>
      <c r="K230" s="285"/>
      <c r="L230" s="285"/>
    </row>
    <row r="231" spans="2:12">
      <c r="B231" s="285"/>
      <c r="C231" s="285"/>
      <c r="D231" s="285"/>
      <c r="E231" s="285"/>
      <c r="F231" s="285"/>
      <c r="G231" s="285"/>
      <c r="H231" s="285"/>
      <c r="I231" s="285"/>
      <c r="J231" s="285"/>
      <c r="K231" s="285"/>
      <c r="L231" s="285"/>
    </row>
    <row r="232" spans="2:12">
      <c r="B232" s="285"/>
      <c r="C232" s="285"/>
      <c r="D232" s="285"/>
      <c r="E232" s="285"/>
      <c r="F232" s="285"/>
      <c r="G232" s="285"/>
      <c r="H232" s="285"/>
      <c r="I232" s="285"/>
      <c r="J232" s="285"/>
      <c r="K232" s="285"/>
      <c r="L232" s="285"/>
    </row>
    <row r="233" spans="2:12">
      <c r="B233" s="285"/>
      <c r="C233" s="285"/>
      <c r="D233" s="285"/>
      <c r="E233" s="285"/>
      <c r="F233" s="285"/>
      <c r="G233" s="285"/>
      <c r="H233" s="285"/>
      <c r="I233" s="285"/>
      <c r="J233" s="285"/>
      <c r="K233" s="285"/>
      <c r="L233" s="285"/>
    </row>
    <row r="234" spans="2:12">
      <c r="B234" s="285"/>
      <c r="C234" s="285"/>
      <c r="D234" s="285"/>
      <c r="E234" s="285"/>
      <c r="F234" s="285"/>
      <c r="G234" s="285"/>
      <c r="H234" s="285"/>
      <c r="I234" s="285"/>
      <c r="J234" s="285"/>
      <c r="K234" s="285"/>
      <c r="L234" s="285"/>
    </row>
    <row r="235" spans="2:12">
      <c r="B235" s="285"/>
      <c r="C235" s="285"/>
      <c r="D235" s="285"/>
      <c r="E235" s="285"/>
      <c r="F235" s="285"/>
      <c r="G235" s="285"/>
      <c r="H235" s="285"/>
      <c r="I235" s="285"/>
      <c r="J235" s="285"/>
      <c r="K235" s="285"/>
      <c r="L235" s="285"/>
    </row>
    <row r="236" spans="2:12">
      <c r="B236" s="285"/>
      <c r="C236" s="285"/>
      <c r="D236" s="285"/>
      <c r="E236" s="285"/>
      <c r="F236" s="285"/>
      <c r="G236" s="285"/>
      <c r="H236" s="285"/>
      <c r="I236" s="285"/>
      <c r="J236" s="285"/>
      <c r="K236" s="285"/>
      <c r="L236" s="285"/>
    </row>
    <row r="237" spans="2:12">
      <c r="B237" s="285"/>
      <c r="C237" s="285"/>
      <c r="D237" s="285"/>
      <c r="E237" s="285"/>
      <c r="F237" s="285"/>
      <c r="G237" s="285"/>
      <c r="H237" s="285"/>
      <c r="I237" s="285"/>
      <c r="J237" s="285"/>
      <c r="K237" s="285"/>
      <c r="L237" s="285"/>
    </row>
    <row r="238" spans="2:12">
      <c r="B238" s="285"/>
      <c r="C238" s="285"/>
      <c r="D238" s="285"/>
      <c r="E238" s="285"/>
      <c r="F238" s="285"/>
      <c r="G238" s="285"/>
      <c r="H238" s="285"/>
      <c r="I238" s="285"/>
      <c r="J238" s="285"/>
      <c r="K238" s="285"/>
      <c r="L238" s="285"/>
    </row>
    <row r="239" spans="2:12">
      <c r="B239" s="285"/>
      <c r="C239" s="285"/>
      <c r="D239" s="285"/>
      <c r="E239" s="285"/>
      <c r="F239" s="285"/>
      <c r="G239" s="285"/>
      <c r="H239" s="285"/>
      <c r="I239" s="285"/>
      <c r="J239" s="285"/>
      <c r="K239" s="285"/>
      <c r="L239" s="285"/>
    </row>
    <row r="240" spans="2:12">
      <c r="B240" s="285"/>
      <c r="C240" s="285"/>
      <c r="D240" s="285"/>
      <c r="E240" s="285"/>
      <c r="F240" s="285"/>
      <c r="G240" s="285"/>
      <c r="H240" s="285"/>
      <c r="I240" s="285"/>
      <c r="J240" s="285"/>
      <c r="K240" s="285"/>
      <c r="L240" s="285"/>
    </row>
    <row r="241" spans="2:12">
      <c r="B241" s="285"/>
      <c r="C241" s="285"/>
      <c r="D241" s="285"/>
      <c r="E241" s="285"/>
      <c r="F241" s="285"/>
      <c r="G241" s="285"/>
      <c r="H241" s="285"/>
      <c r="I241" s="285"/>
      <c r="J241" s="285"/>
      <c r="K241" s="285"/>
      <c r="L241" s="285"/>
    </row>
    <row r="242" spans="2:12">
      <c r="B242" s="285"/>
      <c r="C242" s="285"/>
      <c r="D242" s="285"/>
      <c r="E242" s="285"/>
      <c r="F242" s="285"/>
      <c r="G242" s="285"/>
      <c r="H242" s="285"/>
      <c r="I242" s="285"/>
      <c r="J242" s="285"/>
      <c r="K242" s="285"/>
      <c r="L242" s="285"/>
    </row>
    <row r="243" spans="2:12">
      <c r="B243" s="285"/>
      <c r="C243" s="285"/>
      <c r="D243" s="285"/>
      <c r="E243" s="285"/>
      <c r="F243" s="285"/>
      <c r="G243" s="285"/>
      <c r="H243" s="285"/>
      <c r="I243" s="285"/>
      <c r="J243" s="285"/>
      <c r="K243" s="285"/>
      <c r="L243" s="285"/>
    </row>
    <row r="244" spans="2:12">
      <c r="B244" s="285"/>
      <c r="C244" s="285"/>
      <c r="D244" s="285"/>
      <c r="E244" s="285"/>
      <c r="F244" s="285"/>
      <c r="G244" s="285"/>
      <c r="H244" s="285"/>
      <c r="I244" s="285"/>
      <c r="J244" s="285"/>
      <c r="K244" s="285"/>
      <c r="L244" s="285"/>
    </row>
    <row r="245" spans="2:12">
      <c r="B245" s="285"/>
      <c r="C245" s="285"/>
      <c r="D245" s="285"/>
      <c r="E245" s="285"/>
      <c r="F245" s="285"/>
      <c r="G245" s="285"/>
      <c r="H245" s="285"/>
      <c r="I245" s="285"/>
      <c r="J245" s="285"/>
      <c r="K245" s="285"/>
      <c r="L245" s="285"/>
    </row>
    <row r="246" spans="2:12">
      <c r="B246" s="285"/>
      <c r="C246" s="285"/>
      <c r="D246" s="285"/>
      <c r="E246" s="285"/>
      <c r="F246" s="285"/>
      <c r="G246" s="285"/>
      <c r="H246" s="285"/>
      <c r="I246" s="285"/>
      <c r="J246" s="285"/>
      <c r="K246" s="285"/>
      <c r="L246" s="285"/>
    </row>
    <row r="247" spans="2:12">
      <c r="B247" s="285"/>
      <c r="C247" s="285"/>
      <c r="D247" s="285"/>
      <c r="E247" s="285"/>
      <c r="F247" s="285"/>
      <c r="G247" s="285"/>
      <c r="H247" s="285"/>
      <c r="I247" s="285"/>
      <c r="J247" s="285"/>
      <c r="K247" s="285"/>
      <c r="L247" s="285"/>
    </row>
    <row r="248" spans="2:12">
      <c r="B248" s="285"/>
      <c r="C248" s="285"/>
      <c r="D248" s="285"/>
      <c r="E248" s="285"/>
      <c r="F248" s="285"/>
      <c r="G248" s="285"/>
      <c r="H248" s="285"/>
      <c r="I248" s="285"/>
      <c r="J248" s="285"/>
      <c r="K248" s="285"/>
      <c r="L248" s="285"/>
    </row>
    <row r="249" spans="2:12">
      <c r="B249" s="285"/>
      <c r="C249" s="285"/>
      <c r="D249" s="285"/>
      <c r="E249" s="285"/>
      <c r="F249" s="285"/>
      <c r="G249" s="285"/>
      <c r="H249" s="285"/>
      <c r="I249" s="285"/>
      <c r="J249" s="285"/>
      <c r="K249" s="285"/>
      <c r="L249" s="285"/>
    </row>
    <row r="250" spans="2:12">
      <c r="B250" s="285"/>
      <c r="C250" s="285"/>
      <c r="D250" s="285"/>
      <c r="E250" s="285"/>
      <c r="F250" s="285"/>
      <c r="G250" s="285"/>
      <c r="H250" s="285"/>
      <c r="I250" s="285"/>
      <c r="J250" s="285"/>
      <c r="K250" s="285"/>
      <c r="L250" s="285"/>
    </row>
  </sheetData>
  <mergeCells count="12">
    <mergeCell ref="A5:A6"/>
    <mergeCell ref="A2:J2"/>
    <mergeCell ref="A4:J4"/>
    <mergeCell ref="A15:J15"/>
    <mergeCell ref="A13:J13"/>
    <mergeCell ref="A55:J55"/>
    <mergeCell ref="A56:J56"/>
    <mergeCell ref="A35:C35"/>
    <mergeCell ref="A17:D17"/>
    <mergeCell ref="E17:J17"/>
    <mergeCell ref="A38:J38"/>
    <mergeCell ref="E35:J35"/>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735F-B667-4EC8-A3BD-6AC278BC6178}">
  <sheetPr>
    <tabColor theme="4"/>
  </sheetPr>
  <dimension ref="A1:P56"/>
  <sheetViews>
    <sheetView showGridLines="0" view="pageBreakPreview" zoomScaleNormal="130" zoomScaleSheetLayoutView="100" zoomScalePageLayoutView="130" workbookViewId="0">
      <selection activeCell="Q15" sqref="Q15"/>
    </sheetView>
  </sheetViews>
  <sheetFormatPr defaultRowHeight="11.25"/>
  <cols>
    <col min="1" max="7" width="9.33203125" style="3"/>
    <col min="8" max="10" width="11.1640625" style="3" customWidth="1"/>
    <col min="11" max="11" width="12.5" style="3" customWidth="1"/>
    <col min="12" max="12" width="9.33203125" style="3" customWidth="1"/>
    <col min="13" max="16384" width="9.33203125" style="3"/>
  </cols>
  <sheetData>
    <row r="1" spans="1:16">
      <c r="A1" s="160"/>
      <c r="B1" s="160"/>
      <c r="C1" s="160"/>
      <c r="D1" s="160"/>
      <c r="E1" s="160"/>
      <c r="F1" s="160"/>
      <c r="G1" s="160"/>
      <c r="H1" s="160"/>
      <c r="I1" s="160"/>
      <c r="J1" s="160"/>
      <c r="K1" s="160"/>
      <c r="L1" s="160"/>
    </row>
    <row r="2" spans="1:16">
      <c r="A2" s="160"/>
      <c r="B2" s="160"/>
      <c r="C2" s="160"/>
      <c r="D2" s="160"/>
      <c r="E2" s="160"/>
      <c r="F2" s="160"/>
      <c r="G2" s="160"/>
      <c r="H2" s="160"/>
      <c r="I2" s="160"/>
      <c r="J2" s="160"/>
      <c r="K2" s="160"/>
      <c r="L2" s="160"/>
      <c r="M2" s="160"/>
      <c r="N2" s="160"/>
      <c r="O2" s="160"/>
      <c r="P2" s="160"/>
    </row>
    <row r="3" spans="1:16">
      <c r="A3" s="873" t="s">
        <v>0</v>
      </c>
      <c r="B3" s="873"/>
      <c r="C3" s="873"/>
      <c r="D3" s="873"/>
      <c r="E3" s="873"/>
      <c r="F3" s="873"/>
      <c r="G3" s="873"/>
      <c r="H3" s="873"/>
      <c r="I3" s="873"/>
      <c r="J3" s="873"/>
      <c r="K3" s="873"/>
      <c r="L3" s="873"/>
    </row>
    <row r="4" spans="1:16">
      <c r="A4" s="873"/>
      <c r="B4" s="873"/>
      <c r="C4" s="873"/>
      <c r="D4" s="873"/>
      <c r="E4" s="873"/>
      <c r="F4" s="873"/>
      <c r="G4" s="873"/>
      <c r="H4" s="873"/>
      <c r="I4" s="873"/>
      <c r="J4" s="873"/>
      <c r="K4" s="873"/>
      <c r="L4" s="873"/>
    </row>
    <row r="5" spans="1:16" ht="12">
      <c r="A5" s="46"/>
      <c r="B5" s="286"/>
      <c r="C5" s="4"/>
      <c r="D5" s="4"/>
      <c r="E5" s="47"/>
      <c r="F5" s="4"/>
      <c r="G5" s="4"/>
      <c r="H5" s="4"/>
      <c r="I5" s="4"/>
      <c r="J5" s="4"/>
      <c r="K5" s="4"/>
      <c r="L5" s="10" t="s">
        <v>1</v>
      </c>
    </row>
    <row r="6" spans="1:16" ht="12">
      <c r="A6" s="46"/>
      <c r="B6" s="286"/>
      <c r="C6" s="4"/>
      <c r="D6" s="4"/>
      <c r="E6" s="47"/>
      <c r="F6" s="4"/>
      <c r="G6" s="4"/>
      <c r="H6" s="4"/>
      <c r="I6" s="4"/>
      <c r="J6" s="4"/>
      <c r="K6" s="4"/>
      <c r="L6" s="7"/>
    </row>
    <row r="7" spans="1:16" ht="19.5" customHeight="1">
      <c r="A7" s="27" t="s">
        <v>510</v>
      </c>
      <c r="B7" s="287"/>
      <c r="C7" s="32"/>
      <c r="D7" s="32"/>
      <c r="E7" s="32"/>
      <c r="F7" s="32"/>
      <c r="G7" s="32"/>
      <c r="H7" s="32"/>
      <c r="I7" s="32"/>
      <c r="J7" s="32"/>
      <c r="K7" s="32"/>
      <c r="L7" s="32"/>
    </row>
    <row r="8" spans="1:16" ht="17.25" customHeight="1">
      <c r="A8" s="288"/>
      <c r="B8" s="32" t="s">
        <v>604</v>
      </c>
      <c r="C8" s="30"/>
      <c r="D8" s="30"/>
      <c r="E8" s="30"/>
      <c r="F8" s="30"/>
      <c r="G8" s="30"/>
      <c r="H8" s="30"/>
      <c r="I8" s="30"/>
      <c r="J8" s="28"/>
      <c r="K8" s="28"/>
      <c r="L8" s="31">
        <v>1</v>
      </c>
    </row>
    <row r="9" spans="1:16" ht="9.75" customHeight="1">
      <c r="A9" s="288"/>
      <c r="B9" s="32"/>
      <c r="C9" s="30"/>
      <c r="D9" s="30"/>
      <c r="E9" s="30"/>
      <c r="F9" s="30"/>
      <c r="G9" s="30"/>
      <c r="H9" s="30"/>
      <c r="I9" s="30"/>
      <c r="J9" s="30"/>
      <c r="K9" s="30"/>
      <c r="L9" s="31"/>
    </row>
    <row r="10" spans="1:16" ht="19.5" customHeight="1">
      <c r="A10" s="27" t="s">
        <v>473</v>
      </c>
      <c r="B10" s="289"/>
      <c r="C10" s="32"/>
      <c r="D10" s="32"/>
      <c r="E10" s="32"/>
      <c r="F10" s="32"/>
      <c r="G10" s="32"/>
      <c r="H10" s="32"/>
      <c r="I10" s="32"/>
      <c r="J10" s="32"/>
      <c r="K10" s="32"/>
      <c r="L10" s="34"/>
    </row>
    <row r="11" spans="1:16" ht="19.5" customHeight="1">
      <c r="A11" s="35"/>
      <c r="B11" s="32" t="s">
        <v>249</v>
      </c>
      <c r="C11" s="32"/>
      <c r="D11" s="32"/>
      <c r="E11" s="32"/>
      <c r="F11" s="28"/>
      <c r="G11" s="28"/>
      <c r="H11" s="28"/>
      <c r="I11" s="28"/>
      <c r="J11" s="28"/>
      <c r="K11" s="28"/>
      <c r="L11" s="29" t="s">
        <v>2</v>
      </c>
    </row>
    <row r="12" spans="1:16" ht="19.5" customHeight="1">
      <c r="A12" s="35"/>
      <c r="B12" s="37" t="s">
        <v>485</v>
      </c>
      <c r="C12" s="32"/>
      <c r="D12" s="32"/>
      <c r="E12" s="28"/>
      <c r="F12" s="28"/>
      <c r="G12" s="28"/>
      <c r="H12" s="28"/>
      <c r="I12" s="28"/>
      <c r="J12" s="28"/>
      <c r="K12" s="28"/>
      <c r="L12" s="29" t="s">
        <v>2</v>
      </c>
    </row>
    <row r="13" spans="1:16" ht="10.5" customHeight="1">
      <c r="A13" s="288"/>
      <c r="B13" s="30"/>
      <c r="C13" s="30"/>
      <c r="D13" s="30"/>
      <c r="E13" s="30"/>
      <c r="F13" s="30"/>
      <c r="G13" s="30"/>
      <c r="H13" s="30"/>
      <c r="I13" s="30"/>
      <c r="J13" s="30"/>
      <c r="K13" s="30"/>
      <c r="L13" s="31"/>
    </row>
    <row r="14" spans="1:16" ht="19.5" customHeight="1">
      <c r="A14" s="27" t="s">
        <v>500</v>
      </c>
      <c r="B14" s="37"/>
      <c r="C14" s="32"/>
      <c r="D14" s="32"/>
      <c r="E14" s="32"/>
      <c r="F14" s="32"/>
      <c r="G14" s="32"/>
      <c r="H14" s="32"/>
      <c r="I14" s="32"/>
      <c r="J14" s="32"/>
      <c r="K14" s="32"/>
      <c r="L14" s="34"/>
    </row>
    <row r="15" spans="1:16" ht="19.5" customHeight="1">
      <c r="A15" s="35"/>
      <c r="B15" s="32" t="s">
        <v>474</v>
      </c>
      <c r="C15" s="32"/>
      <c r="D15" s="32"/>
      <c r="E15" s="32"/>
      <c r="F15" s="28"/>
      <c r="G15" s="28"/>
      <c r="H15" s="28"/>
      <c r="I15" s="28"/>
      <c r="J15" s="28"/>
      <c r="K15" s="28"/>
      <c r="L15" s="29" t="s">
        <v>3</v>
      </c>
    </row>
    <row r="16" spans="1:16" ht="19.5" customHeight="1">
      <c r="A16" s="35"/>
      <c r="B16" s="37" t="s">
        <v>483</v>
      </c>
      <c r="C16" s="32"/>
      <c r="D16" s="32"/>
      <c r="E16" s="32"/>
      <c r="F16" s="32"/>
      <c r="G16" s="28"/>
      <c r="H16" s="28"/>
      <c r="I16" s="28"/>
      <c r="J16" s="28"/>
      <c r="K16" s="28"/>
      <c r="L16" s="29" t="s">
        <v>4</v>
      </c>
    </row>
    <row r="17" spans="1:12" ht="19.5" customHeight="1">
      <c r="A17" s="35"/>
      <c r="B17" s="37" t="s">
        <v>475</v>
      </c>
      <c r="C17" s="32"/>
      <c r="D17" s="32"/>
      <c r="E17" s="32"/>
      <c r="F17" s="32"/>
      <c r="G17" s="28"/>
      <c r="H17" s="28"/>
      <c r="I17" s="28"/>
      <c r="J17" s="28"/>
      <c r="K17" s="28"/>
      <c r="L17" s="29" t="s">
        <v>5</v>
      </c>
    </row>
    <row r="18" spans="1:12" ht="19.5" customHeight="1">
      <c r="A18" s="35"/>
      <c r="B18" s="37" t="s">
        <v>476</v>
      </c>
      <c r="C18" s="32"/>
      <c r="D18" s="32"/>
      <c r="E18" s="32"/>
      <c r="F18" s="28"/>
      <c r="G18" s="28"/>
      <c r="H18" s="28"/>
      <c r="I18" s="28"/>
      <c r="J18" s="28"/>
      <c r="K18" s="28"/>
      <c r="L18" s="29" t="s">
        <v>6</v>
      </c>
    </row>
    <row r="19" spans="1:12" ht="19.5" customHeight="1">
      <c r="A19" s="35"/>
      <c r="B19" s="290" t="s">
        <v>477</v>
      </c>
      <c r="C19" s="32"/>
      <c r="D19" s="32"/>
      <c r="E19" s="32"/>
      <c r="F19" s="32"/>
      <c r="G19" s="32"/>
      <c r="H19" s="28"/>
      <c r="I19" s="28"/>
      <c r="J19" s="28"/>
      <c r="K19" s="28"/>
      <c r="L19" s="29" t="s">
        <v>7</v>
      </c>
    </row>
    <row r="20" spans="1:12" ht="10.5" customHeight="1">
      <c r="A20" s="35"/>
      <c r="B20" s="37"/>
      <c r="C20" s="32"/>
      <c r="D20" s="32"/>
      <c r="E20" s="32"/>
      <c r="F20" s="32"/>
      <c r="G20" s="32"/>
      <c r="H20" s="32"/>
      <c r="I20" s="32"/>
      <c r="J20" s="32"/>
      <c r="K20" s="32"/>
      <c r="L20" s="29"/>
    </row>
    <row r="21" spans="1:12" ht="19.5" customHeight="1">
      <c r="A21" s="27" t="s">
        <v>499</v>
      </c>
      <c r="B21" s="288"/>
      <c r="C21" s="37"/>
      <c r="D21" s="32"/>
      <c r="E21" s="32"/>
      <c r="F21" s="32"/>
      <c r="G21" s="32"/>
      <c r="H21" s="32"/>
      <c r="I21" s="32"/>
      <c r="J21" s="32"/>
      <c r="K21" s="32"/>
      <c r="L21" s="39"/>
    </row>
    <row r="22" spans="1:12" ht="19.5" customHeight="1">
      <c r="A22" s="288"/>
      <c r="B22" s="32" t="s">
        <v>501</v>
      </c>
      <c r="C22" s="32"/>
      <c r="D22" s="32"/>
      <c r="E22" s="32"/>
      <c r="F22" s="32"/>
      <c r="G22" s="28"/>
      <c r="H22" s="28"/>
      <c r="I22" s="28"/>
      <c r="J22" s="28"/>
      <c r="K22" s="28"/>
      <c r="L22" s="29" t="s">
        <v>9</v>
      </c>
    </row>
    <row r="23" spans="1:12" ht="19.5" customHeight="1">
      <c r="A23" s="40"/>
      <c r="B23" s="32" t="s">
        <v>502</v>
      </c>
      <c r="C23" s="32"/>
      <c r="D23" s="32"/>
      <c r="E23" s="32"/>
      <c r="F23" s="32"/>
      <c r="G23" s="32"/>
      <c r="H23" s="32"/>
      <c r="I23" s="28"/>
      <c r="J23" s="28"/>
      <c r="K23" s="28"/>
      <c r="L23" s="29" t="s">
        <v>10</v>
      </c>
    </row>
    <row r="24" spans="1:12" ht="10.5" customHeight="1">
      <c r="A24" s="40"/>
      <c r="B24" s="33"/>
      <c r="C24" s="41"/>
      <c r="D24" s="33"/>
      <c r="E24" s="33"/>
      <c r="F24" s="33"/>
      <c r="G24" s="33"/>
      <c r="H24" s="33"/>
      <c r="I24" s="33"/>
      <c r="J24" s="33"/>
      <c r="K24" s="33"/>
      <c r="L24" s="29"/>
    </row>
    <row r="25" spans="1:12" ht="19.5" customHeight="1">
      <c r="A25" s="27" t="s">
        <v>287</v>
      </c>
      <c r="B25" s="288"/>
      <c r="C25" s="37"/>
      <c r="D25" s="32"/>
      <c r="E25" s="32"/>
      <c r="F25" s="32"/>
      <c r="G25" s="32"/>
      <c r="H25" s="32"/>
      <c r="I25" s="32"/>
      <c r="J25" s="32"/>
      <c r="K25" s="32"/>
      <c r="L25" s="39"/>
    </row>
    <row r="26" spans="1:12" ht="19.5" customHeight="1">
      <c r="A26" s="288"/>
      <c r="B26" s="32" t="s">
        <v>504</v>
      </c>
      <c r="C26" s="32"/>
      <c r="D26" s="32"/>
      <c r="E26" s="32"/>
      <c r="F26" s="28"/>
      <c r="G26" s="28"/>
      <c r="H26" s="28"/>
      <c r="I26" s="28"/>
      <c r="J26" s="28"/>
      <c r="K26" s="42"/>
      <c r="L26" s="29" t="s">
        <v>11</v>
      </c>
    </row>
    <row r="27" spans="1:12" ht="19.5" customHeight="1">
      <c r="A27" s="288"/>
      <c r="B27" s="32" t="s">
        <v>478</v>
      </c>
      <c r="C27" s="32"/>
      <c r="D27" s="32"/>
      <c r="E27" s="32"/>
      <c r="F27" s="32"/>
      <c r="G27" s="28"/>
      <c r="H27" s="28"/>
      <c r="I27" s="28"/>
      <c r="J27" s="28"/>
      <c r="K27" s="42"/>
      <c r="L27" s="29" t="s">
        <v>11</v>
      </c>
    </row>
    <row r="28" spans="1:12" ht="19.5" customHeight="1">
      <c r="A28" s="40"/>
      <c r="B28" s="32" t="s">
        <v>503</v>
      </c>
      <c r="C28" s="32"/>
      <c r="D28" s="32"/>
      <c r="E28" s="32"/>
      <c r="F28" s="28"/>
      <c r="G28" s="28"/>
      <c r="H28" s="42"/>
      <c r="I28" s="42"/>
      <c r="J28" s="42"/>
      <c r="K28" s="42"/>
      <c r="L28" s="29" t="s">
        <v>12</v>
      </c>
    </row>
    <row r="29" spans="1:12" ht="19.5" customHeight="1">
      <c r="A29" s="40"/>
      <c r="B29" s="32" t="s">
        <v>484</v>
      </c>
      <c r="C29" s="32"/>
      <c r="D29" s="32"/>
      <c r="E29" s="28"/>
      <c r="F29" s="42"/>
      <c r="G29" s="42"/>
      <c r="H29" s="42"/>
      <c r="I29" s="42"/>
      <c r="J29" s="42"/>
      <c r="K29" s="42"/>
      <c r="L29" s="29" t="s">
        <v>12</v>
      </c>
    </row>
    <row r="30" spans="1:12" ht="10.5" customHeight="1">
      <c r="A30" s="40"/>
      <c r="B30" s="32"/>
      <c r="C30" s="32"/>
      <c r="D30" s="32"/>
      <c r="E30" s="32"/>
      <c r="F30" s="32"/>
      <c r="G30" s="32"/>
      <c r="H30" s="32"/>
      <c r="I30" s="32"/>
      <c r="J30" s="32"/>
      <c r="K30" s="32"/>
      <c r="L30" s="29"/>
    </row>
    <row r="31" spans="1:12" ht="19.5" customHeight="1">
      <c r="A31" s="27" t="s">
        <v>491</v>
      </c>
      <c r="B31" s="32"/>
      <c r="C31" s="32"/>
      <c r="D31" s="32"/>
      <c r="E31" s="32"/>
      <c r="F31" s="32"/>
      <c r="G31" s="32"/>
      <c r="H31" s="32"/>
      <c r="I31" s="32"/>
      <c r="J31" s="32"/>
      <c r="K31" s="32"/>
      <c r="L31" s="29"/>
    </row>
    <row r="32" spans="1:12" ht="19.5" customHeight="1">
      <c r="A32" s="40"/>
      <c r="B32" s="32" t="s">
        <v>505</v>
      </c>
      <c r="C32" s="32"/>
      <c r="D32" s="32"/>
      <c r="E32" s="32"/>
      <c r="F32" s="32"/>
      <c r="G32" s="28"/>
      <c r="H32" s="28"/>
      <c r="I32" s="28"/>
      <c r="J32" s="28"/>
      <c r="K32" s="28"/>
      <c r="L32" s="29" t="s">
        <v>13</v>
      </c>
    </row>
    <row r="33" spans="1:12" ht="19.5" customHeight="1">
      <c r="A33" s="40"/>
      <c r="B33" s="32" t="s">
        <v>479</v>
      </c>
      <c r="C33" s="32"/>
      <c r="D33" s="32"/>
      <c r="E33" s="32"/>
      <c r="F33" s="32"/>
      <c r="G33" s="32"/>
      <c r="H33" s="28"/>
      <c r="I33" s="28"/>
      <c r="J33" s="28"/>
      <c r="K33" s="28"/>
      <c r="L33" s="29" t="s">
        <v>14</v>
      </c>
    </row>
    <row r="34" spans="1:12" ht="10.5" customHeight="1">
      <c r="A34" s="40"/>
      <c r="B34" s="32"/>
      <c r="C34" s="32"/>
      <c r="D34" s="32"/>
      <c r="E34" s="32"/>
      <c r="F34" s="32"/>
      <c r="G34" s="32"/>
      <c r="H34" s="32"/>
      <c r="I34" s="32"/>
      <c r="J34" s="32"/>
      <c r="K34" s="32"/>
      <c r="L34" s="29"/>
    </row>
    <row r="35" spans="1:12" ht="19.5" customHeight="1">
      <c r="A35" s="27" t="s">
        <v>480</v>
      </c>
      <c r="B35" s="33"/>
      <c r="C35" s="41"/>
      <c r="D35" s="33"/>
      <c r="E35" s="33"/>
      <c r="F35" s="33"/>
      <c r="G35" s="33"/>
      <c r="H35" s="33"/>
      <c r="I35" s="33"/>
      <c r="J35" s="33"/>
      <c r="K35" s="33"/>
      <c r="L35" s="29"/>
    </row>
    <row r="36" spans="1:12" ht="19.5" customHeight="1">
      <c r="A36" s="35"/>
      <c r="B36" s="32" t="s">
        <v>506</v>
      </c>
      <c r="C36" s="32"/>
      <c r="D36" s="32"/>
      <c r="E36" s="32"/>
      <c r="F36" s="28"/>
      <c r="G36" s="28"/>
      <c r="H36" s="28"/>
      <c r="I36" s="28"/>
      <c r="J36" s="28"/>
      <c r="K36" s="28"/>
      <c r="L36" s="29" t="s">
        <v>15</v>
      </c>
    </row>
    <row r="37" spans="1:12" ht="10.5" customHeight="1">
      <c r="A37" s="35"/>
      <c r="B37" s="32"/>
      <c r="C37" s="32"/>
      <c r="D37" s="32"/>
      <c r="E37" s="32"/>
      <c r="F37" s="32"/>
      <c r="G37" s="32"/>
      <c r="H37" s="32"/>
      <c r="I37" s="32"/>
      <c r="J37" s="32"/>
      <c r="K37" s="32"/>
      <c r="L37" s="29"/>
    </row>
    <row r="38" spans="1:12" ht="19.5" customHeight="1">
      <c r="A38" s="27" t="s">
        <v>481</v>
      </c>
      <c r="B38" s="44"/>
      <c r="C38" s="32"/>
      <c r="D38" s="32"/>
      <c r="E38" s="32"/>
      <c r="F38" s="32"/>
      <c r="G38" s="32"/>
      <c r="H38" s="32"/>
      <c r="I38" s="32"/>
      <c r="J38" s="32"/>
      <c r="K38" s="32"/>
      <c r="L38" s="48"/>
    </row>
    <row r="39" spans="1:12" ht="19.5" customHeight="1">
      <c r="A39" s="35"/>
      <c r="B39" s="32" t="s">
        <v>482</v>
      </c>
      <c r="C39" s="32"/>
      <c r="D39" s="32"/>
      <c r="E39" s="32"/>
      <c r="F39" s="32"/>
      <c r="G39" s="32"/>
      <c r="H39" s="28"/>
      <c r="I39" s="28"/>
      <c r="J39" s="28"/>
      <c r="K39" s="28"/>
      <c r="L39" s="29" t="s">
        <v>16</v>
      </c>
    </row>
    <row r="40" spans="1:12" ht="10.5" customHeight="1">
      <c r="A40" s="288"/>
      <c r="B40" s="32"/>
      <c r="C40" s="32"/>
      <c r="D40" s="32"/>
      <c r="E40" s="32"/>
      <c r="F40" s="32"/>
      <c r="G40" s="32"/>
      <c r="H40" s="32"/>
      <c r="I40" s="32"/>
      <c r="J40" s="32"/>
      <c r="K40" s="32"/>
      <c r="L40" s="29"/>
    </row>
    <row r="41" spans="1:12" ht="19.5" customHeight="1">
      <c r="A41" s="27" t="s">
        <v>225</v>
      </c>
      <c r="B41" s="32"/>
      <c r="C41" s="32"/>
      <c r="D41" s="32"/>
      <c r="E41" s="32"/>
      <c r="F41" s="32"/>
      <c r="G41" s="32"/>
      <c r="H41" s="32"/>
      <c r="I41" s="32"/>
      <c r="J41" s="32"/>
      <c r="K41" s="32"/>
      <c r="L41" s="29"/>
    </row>
    <row r="42" spans="1:12" ht="19.5" customHeight="1">
      <c r="A42" s="27" t="s">
        <v>17</v>
      </c>
      <c r="B42" s="32"/>
      <c r="C42" s="32"/>
      <c r="D42" s="32"/>
      <c r="E42" s="32"/>
      <c r="F42" s="32"/>
      <c r="G42" s="32"/>
      <c r="H42" s="32"/>
      <c r="I42" s="36"/>
      <c r="J42" s="36"/>
      <c r="K42" s="36"/>
      <c r="L42" s="29" t="s">
        <v>18</v>
      </c>
    </row>
    <row r="43" spans="1:12" ht="19.5" customHeight="1">
      <c r="A43" s="27" t="s">
        <v>507</v>
      </c>
      <c r="B43" s="32"/>
      <c r="C43" s="32"/>
      <c r="D43" s="32"/>
      <c r="E43" s="32"/>
      <c r="F43" s="28"/>
      <c r="G43" s="28"/>
      <c r="H43" s="28"/>
      <c r="I43" s="28"/>
      <c r="J43" s="28"/>
      <c r="K43" s="28"/>
      <c r="L43" s="29" t="s">
        <v>19</v>
      </c>
    </row>
    <row r="44" spans="1:12" ht="19.5" customHeight="1">
      <c r="A44" s="27" t="s">
        <v>20</v>
      </c>
      <c r="B44" s="32"/>
      <c r="C44" s="32"/>
      <c r="D44" s="32"/>
      <c r="E44" s="28"/>
      <c r="F44" s="28"/>
      <c r="G44" s="28"/>
      <c r="H44" s="28"/>
      <c r="I44" s="28"/>
      <c r="J44" s="28"/>
      <c r="K44" s="28"/>
      <c r="L44" s="29" t="s">
        <v>21</v>
      </c>
    </row>
    <row r="45" spans="1:12">
      <c r="A45" s="160"/>
      <c r="B45" s="160"/>
      <c r="C45" s="160"/>
      <c r="D45" s="160"/>
      <c r="E45" s="160"/>
      <c r="F45" s="160"/>
      <c r="G45" s="160"/>
      <c r="H45" s="160"/>
      <c r="I45" s="160"/>
      <c r="J45" s="160"/>
      <c r="K45" s="160"/>
      <c r="L45" s="160"/>
    </row>
    <row r="47" spans="1:12" ht="12">
      <c r="A47" s="14"/>
      <c r="B47" s="14"/>
      <c r="C47" s="14"/>
      <c r="D47" s="14"/>
      <c r="E47" s="14"/>
      <c r="F47" s="14"/>
      <c r="G47" s="14"/>
      <c r="H47" s="14"/>
      <c r="I47" s="14"/>
      <c r="J47" s="14"/>
      <c r="K47" s="14"/>
      <c r="L47" s="14"/>
    </row>
    <row r="48" spans="1:12" ht="12">
      <c r="A48" s="14"/>
      <c r="B48" s="14"/>
      <c r="C48" s="14"/>
      <c r="D48" s="14"/>
      <c r="E48" s="14"/>
      <c r="F48" s="14"/>
      <c r="G48" s="14"/>
      <c r="H48" s="14"/>
      <c r="I48" s="14"/>
      <c r="J48" s="14"/>
      <c r="K48" s="14"/>
      <c r="L48" s="14"/>
    </row>
    <row r="49" spans="1:12" ht="12">
      <c r="A49" s="14"/>
      <c r="B49" s="14"/>
      <c r="C49" s="14"/>
      <c r="D49" s="14"/>
      <c r="E49" s="14"/>
      <c r="F49" s="14"/>
      <c r="G49" s="14"/>
      <c r="H49" s="14"/>
      <c r="I49" s="14"/>
      <c r="J49" s="14"/>
      <c r="K49" s="14"/>
      <c r="L49" s="14"/>
    </row>
    <row r="50" spans="1:12" ht="12">
      <c r="A50" s="14"/>
      <c r="B50" s="14"/>
      <c r="C50" s="14"/>
      <c r="D50" s="14"/>
      <c r="E50" s="14"/>
      <c r="F50" s="14"/>
      <c r="G50" s="14"/>
      <c r="H50" s="14"/>
      <c r="I50" s="14"/>
      <c r="J50" s="14"/>
      <c r="K50" s="14"/>
      <c r="L50" s="14"/>
    </row>
    <row r="51" spans="1:12" ht="12">
      <c r="A51" s="14"/>
      <c r="B51" s="14"/>
      <c r="C51" s="14"/>
      <c r="D51" s="14"/>
      <c r="E51" s="14"/>
      <c r="F51" s="14"/>
      <c r="G51" s="14"/>
      <c r="H51" s="14"/>
      <c r="I51" s="14"/>
      <c r="J51" s="14"/>
      <c r="K51" s="14"/>
      <c r="L51" s="14"/>
    </row>
    <row r="52" spans="1:12" ht="12">
      <c r="A52" s="14"/>
      <c r="B52" s="14"/>
      <c r="C52" s="14"/>
      <c r="D52" s="14"/>
      <c r="E52" s="14"/>
      <c r="F52" s="14"/>
      <c r="G52" s="14"/>
      <c r="H52" s="14"/>
      <c r="I52" s="14"/>
      <c r="J52" s="14"/>
      <c r="K52" s="14"/>
      <c r="L52" s="14"/>
    </row>
    <row r="53" spans="1:12" ht="12">
      <c r="A53" s="14"/>
      <c r="B53" s="14"/>
      <c r="C53" s="14"/>
      <c r="D53" s="14"/>
      <c r="E53" s="14"/>
      <c r="F53" s="14"/>
      <c r="G53" s="14"/>
      <c r="H53" s="14"/>
      <c r="I53" s="14"/>
      <c r="J53" s="14"/>
      <c r="K53" s="14"/>
      <c r="L53" s="14"/>
    </row>
    <row r="54" spans="1:12" ht="12">
      <c r="A54" s="14"/>
      <c r="B54" s="14"/>
      <c r="C54" s="14"/>
      <c r="D54" s="14"/>
      <c r="E54" s="14"/>
      <c r="F54" s="14"/>
      <c r="G54" s="14"/>
      <c r="H54" s="14"/>
      <c r="I54" s="14"/>
      <c r="J54" s="14"/>
      <c r="K54" s="14"/>
      <c r="L54" s="14"/>
    </row>
    <row r="55" spans="1:12" ht="12">
      <c r="A55" s="14"/>
      <c r="B55" s="14"/>
      <c r="C55" s="14"/>
      <c r="D55" s="14"/>
      <c r="E55" s="14"/>
      <c r="F55" s="14"/>
      <c r="G55" s="14"/>
      <c r="H55" s="14"/>
      <c r="I55" s="14"/>
      <c r="J55" s="14"/>
      <c r="K55" s="14"/>
      <c r="L55" s="14"/>
    </row>
    <row r="56" spans="1:12" ht="12">
      <c r="A56" s="14"/>
      <c r="B56" s="14"/>
      <c r="C56" s="14"/>
      <c r="D56" s="14"/>
      <c r="E56" s="14"/>
      <c r="F56" s="14"/>
      <c r="G56" s="14"/>
      <c r="H56" s="14"/>
      <c r="I56" s="14"/>
      <c r="J56" s="14"/>
      <c r="K56" s="14"/>
      <c r="L56" s="14"/>
    </row>
  </sheetData>
  <mergeCells count="1">
    <mergeCell ref="A3:L4"/>
  </mergeCells>
  <hyperlinks>
    <hyperlink ref="L15" location="Table1!A1" display="Table1!A1" xr:uid="{EF7A307D-331A-4A98-B391-D9F2CB5EDE46}"/>
    <hyperlink ref="L16" location="Table2!A1" display="Table2!A1" xr:uid="{E6404FB7-85D2-44E2-83F2-EB5669C2CE33}"/>
    <hyperlink ref="L17" location="Table3!A1" display="Table3!A1" xr:uid="{1055BEB9-DD65-4A9F-A258-94C852444247}"/>
    <hyperlink ref="L19" location="Table4!A1" display="Table4!A1" xr:uid="{31C7E96D-1FAA-4F57-B83B-2F9F2D3CB828}"/>
    <hyperlink ref="L22" location="Table5!A1" display="Table5!A1" xr:uid="{35469B94-C409-44E7-A2E1-28A0A6F74E7D}"/>
    <hyperlink ref="L36" location="Table6!A1" display="Table6!A1" xr:uid="{77E25608-FFD3-4595-90A5-D9F3FC8CA19B}"/>
    <hyperlink ref="L23" location="Table5!A1" display="Table5!A1" xr:uid="{E03211D1-9663-4A00-A814-4753AF68170E}"/>
    <hyperlink ref="L26" location="Table5!A1" display="Table5!A1" xr:uid="{A333BB67-48E0-4C19-A204-535D64526A98}"/>
    <hyperlink ref="L28" location="Table5!A1" display="Table5!A1" xr:uid="{5D321501-6A96-4765-9594-5B1A16DA2887}"/>
    <hyperlink ref="L32" location="Table5!A1" display="Table5!A1" xr:uid="{069EA9F3-8D1E-4C06-B121-F310E280745B}"/>
    <hyperlink ref="L11" location="Table1!A1" display="Table1!A1" xr:uid="{C9FD1813-F1F4-4CDD-BF1D-7C6D0CB34064}"/>
    <hyperlink ref="L42" location="'Principles and Definitions'!A1" display="ii" xr:uid="{DC72B0F8-7BED-4535-A37F-C990FED4BF9D}"/>
    <hyperlink ref="L43" location="'Principles and Definitions'!A1" display="ii" xr:uid="{5A0D0925-BBB5-4C94-BADF-B95E1BEC5180}"/>
    <hyperlink ref="L44" location="'Principles and Definitions'!A1" display="ii" xr:uid="{BB884647-44F1-4A41-8415-1FE4771FBFE5}"/>
    <hyperlink ref="L29" location="Table5!A1" display="Table5!A1" xr:uid="{D85DFFEB-8369-4901-908E-1250AAE3ACA6}"/>
    <hyperlink ref="L33" location="Table5!A1" display="Table5!A1" xr:uid="{0DA2B7B7-5DAE-4265-9065-9297344895AE}"/>
  </hyperlinks>
  <pageMargins left="0.5803571428571429" right="0.38690476190476192" top="0.5803571428571429" bottom="0.52083333333333337" header="0.3" footer="0.3"/>
  <pageSetup orientation="portrait" r:id="rId1"/>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BED6-562D-4B0B-8226-D6E91D4875EB}">
  <sheetPr>
    <tabColor theme="4"/>
  </sheetPr>
  <dimension ref="A1:M170"/>
  <sheetViews>
    <sheetView showGridLines="0" view="pageBreakPreview" zoomScale="85" zoomScaleNormal="100" zoomScaleSheetLayoutView="85" zoomScalePageLayoutView="145" workbookViewId="0">
      <selection activeCell="Q15" sqref="Q15"/>
    </sheetView>
  </sheetViews>
  <sheetFormatPr defaultRowHeight="11.25"/>
  <cols>
    <col min="1" max="1" width="21.83203125" style="50" customWidth="1"/>
    <col min="2" max="2" width="20.83203125" style="50" customWidth="1"/>
    <col min="3" max="3" width="15.83203125" style="50" customWidth="1"/>
    <col min="4" max="4" width="17" style="50" customWidth="1"/>
    <col min="5" max="5" width="13.5" style="50" customWidth="1"/>
    <col min="6" max="6" width="13.83203125" style="50" customWidth="1"/>
    <col min="7" max="7" width="14.5" style="50" customWidth="1"/>
    <col min="8" max="9" width="9.33203125" style="50"/>
    <col min="10" max="11" width="9.33203125" style="50" customWidth="1"/>
    <col min="12" max="13" width="9.33203125" style="50"/>
    <col min="14" max="16384" width="9.33203125" style="3"/>
  </cols>
  <sheetData>
    <row r="1" spans="1:12" ht="11.25" customHeight="1">
      <c r="A1" s="392" t="s">
        <v>313</v>
      </c>
      <c r="B1" s="391"/>
      <c r="C1" s="391"/>
      <c r="D1" s="391"/>
      <c r="E1" s="391"/>
      <c r="F1" s="391"/>
      <c r="G1" s="391"/>
    </row>
    <row r="2" spans="1:12" ht="14.25" customHeight="1">
      <c r="A2" s="972" t="s">
        <v>284</v>
      </c>
      <c r="B2" s="975" t="s">
        <v>57</v>
      </c>
      <c r="C2" s="978" t="str">
        <f>"ENERGÍA PRODUCIDA "&amp;UPPER('1. Resumen'!Q4)&amp;" "&amp;'1. Resumen'!Q5</f>
        <v>ENERGÍA PRODUCIDA AGOSTO 2018</v>
      </c>
      <c r="D2" s="978"/>
      <c r="E2" s="978"/>
      <c r="F2" s="978"/>
      <c r="G2" s="823" t="s">
        <v>314</v>
      </c>
      <c r="H2" s="264"/>
      <c r="I2" s="264"/>
      <c r="J2" s="264"/>
      <c r="K2" s="264"/>
    </row>
    <row r="3" spans="1:12" ht="11.25" customHeight="1">
      <c r="A3" s="973"/>
      <c r="B3" s="976"/>
      <c r="C3" s="979" t="s">
        <v>315</v>
      </c>
      <c r="D3" s="979"/>
      <c r="E3" s="979"/>
      <c r="F3" s="980" t="str">
        <f>"TOTAL 
"&amp;UPPER('1. Resumen'!Q4)</f>
        <v>TOTAL 
AGOSTO</v>
      </c>
      <c r="G3" s="824" t="s">
        <v>316</v>
      </c>
      <c r="H3" s="253"/>
      <c r="I3" s="253"/>
      <c r="J3" s="253"/>
      <c r="K3" s="253"/>
      <c r="L3" s="254"/>
    </row>
    <row r="4" spans="1:12" ht="12.75" customHeight="1">
      <c r="A4" s="973"/>
      <c r="B4" s="976"/>
      <c r="C4" s="825" t="s">
        <v>238</v>
      </c>
      <c r="D4" s="825" t="s">
        <v>239</v>
      </c>
      <c r="E4" s="825" t="s">
        <v>317</v>
      </c>
      <c r="F4" s="981"/>
      <c r="G4" s="824">
        <v>2018</v>
      </c>
      <c r="H4" s="256"/>
      <c r="I4" s="255"/>
      <c r="J4" s="255"/>
      <c r="K4" s="255"/>
      <c r="L4" s="254"/>
    </row>
    <row r="5" spans="1:12" ht="11.25" customHeight="1">
      <c r="A5" s="974"/>
      <c r="B5" s="977"/>
      <c r="C5" s="826" t="s">
        <v>318</v>
      </c>
      <c r="D5" s="826" t="s">
        <v>318</v>
      </c>
      <c r="E5" s="826" t="s">
        <v>318</v>
      </c>
      <c r="F5" s="826" t="s">
        <v>318</v>
      </c>
      <c r="G5" s="827" t="s">
        <v>222</v>
      </c>
      <c r="H5" s="256"/>
      <c r="I5" s="256"/>
      <c r="J5" s="256"/>
      <c r="K5" s="256"/>
      <c r="L5" s="12"/>
    </row>
    <row r="6" spans="1:12" ht="9.75" customHeight="1">
      <c r="A6" s="694" t="s">
        <v>127</v>
      </c>
      <c r="B6" s="695" t="s">
        <v>91</v>
      </c>
      <c r="C6" s="696"/>
      <c r="D6" s="696"/>
      <c r="E6" s="696">
        <v>0</v>
      </c>
      <c r="F6" s="697">
        <v>0</v>
      </c>
      <c r="G6" s="698">
        <v>0</v>
      </c>
      <c r="H6" s="256"/>
      <c r="I6" s="256"/>
      <c r="J6" s="256"/>
      <c r="K6" s="256"/>
      <c r="L6" s="7"/>
    </row>
    <row r="7" spans="1:12" ht="9.75" customHeight="1">
      <c r="A7" s="862" t="s">
        <v>319</v>
      </c>
      <c r="B7" s="863"/>
      <c r="C7" s="864"/>
      <c r="D7" s="864"/>
      <c r="E7" s="864">
        <v>0</v>
      </c>
      <c r="F7" s="865">
        <v>0</v>
      </c>
      <c r="G7" s="866">
        <v>0</v>
      </c>
      <c r="H7" s="256"/>
      <c r="I7" s="256"/>
      <c r="J7" s="256"/>
      <c r="K7" s="256"/>
      <c r="L7" s="20"/>
    </row>
    <row r="8" spans="1:12" ht="9.75" customHeight="1">
      <c r="A8" s="699" t="s">
        <v>126</v>
      </c>
      <c r="B8" s="700" t="s">
        <v>66</v>
      </c>
      <c r="C8" s="701"/>
      <c r="D8" s="701"/>
      <c r="E8" s="701">
        <v>1287.9379775</v>
      </c>
      <c r="F8" s="702">
        <v>1287.9379775</v>
      </c>
      <c r="G8" s="703">
        <v>68566.778385000012</v>
      </c>
      <c r="H8" s="256"/>
      <c r="I8" s="256"/>
      <c r="J8" s="256"/>
      <c r="K8" s="256"/>
      <c r="L8" s="16"/>
    </row>
    <row r="9" spans="1:12" ht="9.75" customHeight="1">
      <c r="A9" s="862" t="s">
        <v>320</v>
      </c>
      <c r="B9" s="863"/>
      <c r="C9" s="864"/>
      <c r="D9" s="864"/>
      <c r="E9" s="864">
        <v>1287.9379775</v>
      </c>
      <c r="F9" s="865">
        <v>1287.9379775</v>
      </c>
      <c r="G9" s="866">
        <v>68566.778385000012</v>
      </c>
      <c r="H9" s="256"/>
      <c r="I9" s="256"/>
      <c r="J9" s="256"/>
      <c r="K9" s="257"/>
      <c r="L9" s="29"/>
    </row>
    <row r="10" spans="1:12" ht="9.75" customHeight="1">
      <c r="A10" s="699" t="s">
        <v>111</v>
      </c>
      <c r="B10" s="700" t="s">
        <v>88</v>
      </c>
      <c r="C10" s="701"/>
      <c r="D10" s="701"/>
      <c r="E10" s="701">
        <v>7437.8331324999999</v>
      </c>
      <c r="F10" s="702">
        <v>7437.8331324999999</v>
      </c>
      <c r="G10" s="703">
        <v>57940.617664999998</v>
      </c>
      <c r="H10" s="256"/>
      <c r="I10" s="256"/>
      <c r="J10" s="256"/>
      <c r="K10" s="257"/>
      <c r="L10" s="29"/>
    </row>
    <row r="11" spans="1:12" ht="9.75" customHeight="1">
      <c r="A11" s="862" t="s">
        <v>321</v>
      </c>
      <c r="B11" s="863"/>
      <c r="C11" s="864"/>
      <c r="D11" s="864"/>
      <c r="E11" s="864">
        <v>7437.8331324999999</v>
      </c>
      <c r="F11" s="865">
        <v>7437.8331324999999</v>
      </c>
      <c r="G11" s="866">
        <v>57940.617664999998</v>
      </c>
      <c r="H11" s="256"/>
      <c r="I11" s="256"/>
      <c r="J11" s="256"/>
      <c r="K11" s="257"/>
      <c r="L11" s="29"/>
    </row>
    <row r="12" spans="1:12" ht="9.75" customHeight="1">
      <c r="A12" s="699" t="s">
        <v>99</v>
      </c>
      <c r="B12" s="700" t="s">
        <v>322</v>
      </c>
      <c r="C12" s="701">
        <v>68064.380529999995</v>
      </c>
      <c r="D12" s="701"/>
      <c r="E12" s="701"/>
      <c r="F12" s="702">
        <v>68064.380529999995</v>
      </c>
      <c r="G12" s="703">
        <v>908479.53215999994</v>
      </c>
      <c r="H12" s="256"/>
      <c r="I12" s="256"/>
      <c r="J12" s="256"/>
      <c r="K12" s="257"/>
      <c r="L12" s="29"/>
    </row>
    <row r="13" spans="1:12" ht="9.75" customHeight="1">
      <c r="A13" s="862" t="s">
        <v>323</v>
      </c>
      <c r="B13" s="863"/>
      <c r="C13" s="864">
        <v>68064.380529999995</v>
      </c>
      <c r="D13" s="864"/>
      <c r="E13" s="864"/>
      <c r="F13" s="865">
        <v>68064.380529999995</v>
      </c>
      <c r="G13" s="866">
        <v>908479.53215999994</v>
      </c>
      <c r="H13" s="256"/>
      <c r="I13" s="256"/>
      <c r="J13" s="256"/>
      <c r="K13" s="257"/>
      <c r="L13" s="31"/>
    </row>
    <row r="14" spans="1:12" ht="9.75" customHeight="1">
      <c r="A14" s="704" t="s">
        <v>267</v>
      </c>
      <c r="B14" s="700" t="s">
        <v>324</v>
      </c>
      <c r="C14" s="701"/>
      <c r="D14" s="701">
        <v>3784.8177850000002</v>
      </c>
      <c r="E14" s="701"/>
      <c r="F14" s="702">
        <v>3784.8177850000002</v>
      </c>
      <c r="G14" s="703">
        <v>4209.4030475</v>
      </c>
      <c r="H14" s="256"/>
      <c r="I14" s="256"/>
      <c r="J14" s="256"/>
      <c r="K14" s="257"/>
      <c r="L14" s="29"/>
    </row>
    <row r="15" spans="1:12" ht="9.75" customHeight="1">
      <c r="A15" s="862" t="s">
        <v>325</v>
      </c>
      <c r="B15" s="863"/>
      <c r="C15" s="864"/>
      <c r="D15" s="864">
        <v>3784.8177850000002</v>
      </c>
      <c r="E15" s="864"/>
      <c r="F15" s="865">
        <v>3784.8177850000002</v>
      </c>
      <c r="G15" s="866">
        <v>4209.4030475</v>
      </c>
      <c r="H15" s="256"/>
      <c r="I15" s="256"/>
      <c r="J15" s="256"/>
      <c r="K15" s="257"/>
      <c r="L15" s="29"/>
    </row>
    <row r="16" spans="1:12" ht="9.75" customHeight="1">
      <c r="A16" s="704" t="s">
        <v>98</v>
      </c>
      <c r="B16" s="700" t="s">
        <v>326</v>
      </c>
      <c r="C16" s="701">
        <v>66939.501545000006</v>
      </c>
      <c r="D16" s="701"/>
      <c r="E16" s="701"/>
      <c r="F16" s="702">
        <v>66939.501545000006</v>
      </c>
      <c r="G16" s="703">
        <v>673445.08941750007</v>
      </c>
      <c r="H16" s="256"/>
      <c r="I16" s="256"/>
      <c r="J16" s="256"/>
      <c r="K16" s="257"/>
      <c r="L16" s="29"/>
    </row>
    <row r="17" spans="1:12" ht="9.75" customHeight="1">
      <c r="A17" s="704"/>
      <c r="B17" s="700" t="s">
        <v>327</v>
      </c>
      <c r="C17" s="701">
        <v>15703.8110175</v>
      </c>
      <c r="D17" s="701"/>
      <c r="E17" s="701"/>
      <c r="F17" s="702">
        <v>15703.8110175</v>
      </c>
      <c r="G17" s="703">
        <v>191715.05447499998</v>
      </c>
      <c r="H17" s="256"/>
      <c r="I17" s="256"/>
      <c r="J17" s="256"/>
      <c r="K17" s="257"/>
      <c r="L17" s="39"/>
    </row>
    <row r="18" spans="1:12" ht="9.75" customHeight="1">
      <c r="A18" s="862" t="s">
        <v>328</v>
      </c>
      <c r="B18" s="863"/>
      <c r="C18" s="864">
        <v>82643.31256250001</v>
      </c>
      <c r="D18" s="864"/>
      <c r="E18" s="864"/>
      <c r="F18" s="865">
        <v>82643.31256250001</v>
      </c>
      <c r="G18" s="866">
        <v>865160.14389250008</v>
      </c>
      <c r="H18" s="256"/>
      <c r="I18" s="256"/>
      <c r="J18" s="256"/>
      <c r="K18" s="257"/>
      <c r="L18" s="29"/>
    </row>
    <row r="19" spans="1:12" ht="9.75" customHeight="1">
      <c r="A19" s="704" t="s">
        <v>96</v>
      </c>
      <c r="B19" s="700" t="s">
        <v>329</v>
      </c>
      <c r="C19" s="701">
        <v>1234.0962525</v>
      </c>
      <c r="D19" s="701"/>
      <c r="E19" s="701"/>
      <c r="F19" s="702">
        <v>1234.0962525</v>
      </c>
      <c r="G19" s="703">
        <v>9156.6754574999995</v>
      </c>
      <c r="H19" s="256"/>
      <c r="I19" s="256"/>
      <c r="J19" s="256"/>
      <c r="K19" s="256"/>
      <c r="L19" s="22"/>
    </row>
    <row r="20" spans="1:12" ht="9.75" customHeight="1">
      <c r="A20" s="704"/>
      <c r="B20" s="700" t="s">
        <v>330</v>
      </c>
      <c r="C20" s="701">
        <v>423.09481499999998</v>
      </c>
      <c r="D20" s="701"/>
      <c r="E20" s="701"/>
      <c r="F20" s="702">
        <v>423.09481499999998</v>
      </c>
      <c r="G20" s="703">
        <v>3293.583255</v>
      </c>
      <c r="H20" s="256"/>
      <c r="I20" s="256"/>
      <c r="J20" s="256"/>
      <c r="K20" s="256"/>
      <c r="L20" s="20"/>
    </row>
    <row r="21" spans="1:12" ht="9.75" customHeight="1">
      <c r="A21" s="704"/>
      <c r="B21" s="700" t="s">
        <v>331</v>
      </c>
      <c r="C21" s="701">
        <v>3382.6349925</v>
      </c>
      <c r="D21" s="701"/>
      <c r="E21" s="701"/>
      <c r="F21" s="702">
        <v>3382.6349925</v>
      </c>
      <c r="G21" s="703">
        <v>26160.368745</v>
      </c>
      <c r="H21" s="256"/>
      <c r="I21" s="256"/>
      <c r="J21" s="256"/>
      <c r="K21" s="256"/>
      <c r="L21" s="20"/>
    </row>
    <row r="22" spans="1:12" ht="9.75" customHeight="1">
      <c r="A22" s="704"/>
      <c r="B22" s="700" t="s">
        <v>332</v>
      </c>
      <c r="C22" s="701">
        <v>8834.4485375000004</v>
      </c>
      <c r="D22" s="701"/>
      <c r="E22" s="701"/>
      <c r="F22" s="702">
        <v>8834.4485375000004</v>
      </c>
      <c r="G22" s="703">
        <v>72720.602159999995</v>
      </c>
      <c r="H22" s="256"/>
      <c r="I22" s="256"/>
      <c r="J22" s="256"/>
      <c r="K22" s="257"/>
      <c r="L22" s="29"/>
    </row>
    <row r="23" spans="1:12" ht="9.75" customHeight="1">
      <c r="A23" s="704"/>
      <c r="B23" s="700" t="s">
        <v>333</v>
      </c>
      <c r="C23" s="701">
        <v>54393.778947500003</v>
      </c>
      <c r="D23" s="701"/>
      <c r="E23" s="701"/>
      <c r="F23" s="702">
        <v>54393.778947500003</v>
      </c>
      <c r="G23" s="703">
        <v>498307.7297725</v>
      </c>
      <c r="H23" s="256"/>
      <c r="I23" s="256"/>
      <c r="J23" s="256"/>
      <c r="K23" s="257"/>
      <c r="L23" s="29"/>
    </row>
    <row r="24" spans="1:12" ht="9.75" customHeight="1">
      <c r="A24" s="704"/>
      <c r="B24" s="700" t="s">
        <v>334</v>
      </c>
      <c r="C24" s="701">
        <v>5460.5549774999999</v>
      </c>
      <c r="D24" s="701"/>
      <c r="E24" s="701"/>
      <c r="F24" s="702">
        <v>5460.5549774999999</v>
      </c>
      <c r="G24" s="703">
        <v>44239.431462499997</v>
      </c>
      <c r="H24" s="256"/>
      <c r="I24" s="256"/>
      <c r="J24" s="256"/>
      <c r="K24" s="257"/>
      <c r="L24" s="29"/>
    </row>
    <row r="25" spans="1:12" ht="9.75" customHeight="1">
      <c r="A25" s="704"/>
      <c r="B25" s="700" t="s">
        <v>335</v>
      </c>
      <c r="C25" s="701"/>
      <c r="D25" s="701">
        <v>92.250455000000002</v>
      </c>
      <c r="E25" s="701"/>
      <c r="F25" s="702">
        <v>92.250455000000002</v>
      </c>
      <c r="G25" s="703">
        <v>780.53747750000002</v>
      </c>
      <c r="H25" s="256"/>
      <c r="I25" s="256"/>
      <c r="J25" s="256"/>
      <c r="K25" s="258"/>
      <c r="L25" s="29"/>
    </row>
    <row r="26" spans="1:12" ht="9.75" customHeight="1">
      <c r="A26" s="704"/>
      <c r="B26" s="700" t="s">
        <v>336</v>
      </c>
      <c r="C26" s="701"/>
      <c r="D26" s="701">
        <v>120.91540499999999</v>
      </c>
      <c r="E26" s="701"/>
      <c r="F26" s="702">
        <v>120.91540499999999</v>
      </c>
      <c r="G26" s="703">
        <v>529.52973250000002</v>
      </c>
      <c r="H26" s="256"/>
      <c r="I26" s="256"/>
      <c r="J26" s="256"/>
      <c r="K26" s="258"/>
      <c r="L26" s="29"/>
    </row>
    <row r="27" spans="1:12" ht="9.75" customHeight="1">
      <c r="A27" s="704"/>
      <c r="B27" s="700" t="s">
        <v>337</v>
      </c>
      <c r="C27" s="701"/>
      <c r="D27" s="701">
        <v>1254.5912374999998</v>
      </c>
      <c r="E27" s="701"/>
      <c r="F27" s="702">
        <v>1254.5912374999998</v>
      </c>
      <c r="G27" s="703">
        <v>61420.086487499997</v>
      </c>
      <c r="H27" s="256"/>
      <c r="I27" s="256"/>
      <c r="J27" s="256"/>
      <c r="K27" s="258"/>
      <c r="L27" s="29"/>
    </row>
    <row r="28" spans="1:12" ht="9.75" customHeight="1">
      <c r="A28" s="862" t="s">
        <v>338</v>
      </c>
      <c r="B28" s="863"/>
      <c r="C28" s="864">
        <v>73728.608522499999</v>
      </c>
      <c r="D28" s="864">
        <v>1467.7570974999999</v>
      </c>
      <c r="E28" s="864"/>
      <c r="F28" s="865">
        <v>75196.365620000011</v>
      </c>
      <c r="G28" s="866">
        <v>716608.54454999999</v>
      </c>
      <c r="H28" s="256"/>
      <c r="I28" s="256"/>
      <c r="J28" s="256"/>
      <c r="K28" s="258"/>
      <c r="L28" s="29"/>
    </row>
    <row r="29" spans="1:12" ht="9.75" customHeight="1">
      <c r="A29" s="704" t="s">
        <v>119</v>
      </c>
      <c r="B29" s="700" t="s">
        <v>73</v>
      </c>
      <c r="C29" s="701"/>
      <c r="D29" s="701"/>
      <c r="E29" s="701">
        <v>2563.5129825000004</v>
      </c>
      <c r="F29" s="702">
        <v>2563.5129825000004</v>
      </c>
      <c r="G29" s="703">
        <v>23321.781232499998</v>
      </c>
      <c r="H29" s="256"/>
      <c r="I29" s="256"/>
      <c r="J29" s="256"/>
      <c r="K29" s="258"/>
      <c r="L29" s="29"/>
    </row>
    <row r="30" spans="1:12" ht="9.75" customHeight="1">
      <c r="A30" s="862" t="s">
        <v>339</v>
      </c>
      <c r="B30" s="863"/>
      <c r="C30" s="864"/>
      <c r="D30" s="864"/>
      <c r="E30" s="864">
        <v>2563.5129825000004</v>
      </c>
      <c r="F30" s="865">
        <v>2563.5129825000004</v>
      </c>
      <c r="G30" s="866">
        <v>23321.781232499998</v>
      </c>
      <c r="H30" s="256"/>
      <c r="I30" s="256"/>
      <c r="J30" s="256"/>
      <c r="K30" s="258"/>
      <c r="L30" s="29"/>
    </row>
    <row r="31" spans="1:12" ht="9.75" customHeight="1">
      <c r="A31" s="704" t="s">
        <v>97</v>
      </c>
      <c r="B31" s="700" t="s">
        <v>340</v>
      </c>
      <c r="C31" s="701">
        <v>85481.327607500003</v>
      </c>
      <c r="D31" s="701"/>
      <c r="E31" s="701"/>
      <c r="F31" s="702">
        <v>85481.327607500003</v>
      </c>
      <c r="G31" s="703">
        <v>875072.54031000007</v>
      </c>
      <c r="H31" s="256"/>
      <c r="I31" s="256"/>
      <c r="J31" s="256"/>
      <c r="K31" s="258"/>
      <c r="L31" s="29"/>
    </row>
    <row r="32" spans="1:12" ht="9.75" customHeight="1">
      <c r="A32" s="862" t="s">
        <v>341</v>
      </c>
      <c r="B32" s="863"/>
      <c r="C32" s="864">
        <v>85481.327607500003</v>
      </c>
      <c r="D32" s="864"/>
      <c r="E32" s="864"/>
      <c r="F32" s="865">
        <v>85481.327607500003</v>
      </c>
      <c r="G32" s="866">
        <v>875072.54031000007</v>
      </c>
      <c r="H32" s="256"/>
      <c r="I32" s="256"/>
      <c r="J32" s="256"/>
      <c r="K32" s="258"/>
      <c r="L32" s="259"/>
    </row>
    <row r="33" spans="1:12" ht="9.75" customHeight="1">
      <c r="A33" s="704" t="s">
        <v>106</v>
      </c>
      <c r="B33" s="700" t="s">
        <v>342</v>
      </c>
      <c r="C33" s="701">
        <v>5282.2649999999994</v>
      </c>
      <c r="D33" s="701"/>
      <c r="E33" s="701"/>
      <c r="F33" s="702">
        <v>5282.2649999999994</v>
      </c>
      <c r="G33" s="703">
        <v>44306.180999999997</v>
      </c>
      <c r="H33" s="256"/>
      <c r="I33" s="256"/>
      <c r="J33" s="256"/>
      <c r="K33" s="258"/>
      <c r="L33" s="29"/>
    </row>
    <row r="34" spans="1:12" ht="9.75" customHeight="1">
      <c r="A34" s="704"/>
      <c r="B34" s="700" t="s">
        <v>343</v>
      </c>
      <c r="C34" s="701">
        <v>3733.1415000000002</v>
      </c>
      <c r="D34" s="701"/>
      <c r="E34" s="701"/>
      <c r="F34" s="702">
        <v>3733.1415000000002</v>
      </c>
      <c r="G34" s="703">
        <v>30170.601812500001</v>
      </c>
      <c r="H34" s="256"/>
      <c r="I34" s="256"/>
      <c r="J34" s="256"/>
      <c r="K34" s="258"/>
      <c r="L34" s="29"/>
    </row>
    <row r="35" spans="1:12" ht="9.75" customHeight="1">
      <c r="A35" s="704"/>
      <c r="B35" s="700" t="s">
        <v>344</v>
      </c>
      <c r="C35" s="701"/>
      <c r="D35" s="701">
        <v>14427.0265</v>
      </c>
      <c r="E35" s="701"/>
      <c r="F35" s="702">
        <v>14427.0265</v>
      </c>
      <c r="G35" s="703">
        <v>93648.152962499997</v>
      </c>
      <c r="H35" s="256"/>
      <c r="I35" s="256"/>
      <c r="J35" s="256"/>
      <c r="K35" s="258"/>
      <c r="L35" s="29"/>
    </row>
    <row r="36" spans="1:12" ht="9.75" customHeight="1">
      <c r="A36" s="862" t="s">
        <v>345</v>
      </c>
      <c r="B36" s="863"/>
      <c r="C36" s="864">
        <v>9015.4064999999991</v>
      </c>
      <c r="D36" s="864">
        <v>14427.0265</v>
      </c>
      <c r="E36" s="864"/>
      <c r="F36" s="865">
        <v>23442.432999999997</v>
      </c>
      <c r="G36" s="866">
        <v>168124.93577499999</v>
      </c>
      <c r="H36" s="256"/>
      <c r="I36" s="256"/>
      <c r="J36" s="256"/>
      <c r="K36" s="258"/>
      <c r="L36" s="29"/>
    </row>
    <row r="37" spans="1:12" ht="9.75" customHeight="1">
      <c r="A37" s="704" t="s">
        <v>124</v>
      </c>
      <c r="B37" s="700" t="s">
        <v>78</v>
      </c>
      <c r="C37" s="701"/>
      <c r="D37" s="701"/>
      <c r="E37" s="701">
        <v>206.39307249999999</v>
      </c>
      <c r="F37" s="702">
        <v>206.39307249999999</v>
      </c>
      <c r="G37" s="703">
        <v>1748.6709774999999</v>
      </c>
      <c r="H37" s="256"/>
      <c r="I37" s="256"/>
      <c r="J37" s="256"/>
      <c r="K37" s="258"/>
      <c r="L37" s="29"/>
    </row>
    <row r="38" spans="1:12" ht="9.75" customHeight="1">
      <c r="A38" s="862" t="s">
        <v>346</v>
      </c>
      <c r="B38" s="863"/>
      <c r="C38" s="864"/>
      <c r="D38" s="864"/>
      <c r="E38" s="864">
        <v>206.39307249999999</v>
      </c>
      <c r="F38" s="865">
        <v>206.39307249999999</v>
      </c>
      <c r="G38" s="866">
        <v>1748.6709774999999</v>
      </c>
      <c r="H38" s="256"/>
      <c r="I38" s="256"/>
      <c r="J38" s="256"/>
      <c r="K38" s="258"/>
      <c r="L38" s="29"/>
    </row>
    <row r="39" spans="1:12" ht="9.75" customHeight="1">
      <c r="A39" s="704" t="s">
        <v>120</v>
      </c>
      <c r="B39" s="700" t="s">
        <v>76</v>
      </c>
      <c r="C39" s="701"/>
      <c r="D39" s="701"/>
      <c r="E39" s="701">
        <v>1838.5223449999999</v>
      </c>
      <c r="F39" s="702">
        <v>1838.5223449999999</v>
      </c>
      <c r="G39" s="703">
        <v>17572.119214999999</v>
      </c>
      <c r="H39" s="256"/>
      <c r="I39" s="256"/>
      <c r="J39" s="256"/>
      <c r="K39" s="260"/>
      <c r="L39" s="58"/>
    </row>
    <row r="40" spans="1:12" ht="9.75" customHeight="1">
      <c r="A40" s="862" t="s">
        <v>347</v>
      </c>
      <c r="B40" s="863"/>
      <c r="C40" s="864"/>
      <c r="D40" s="864"/>
      <c r="E40" s="864">
        <v>1838.5223449999999</v>
      </c>
      <c r="F40" s="865">
        <v>1838.5223449999999</v>
      </c>
      <c r="G40" s="866">
        <v>17572.119214999999</v>
      </c>
      <c r="H40" s="256"/>
      <c r="I40" s="256"/>
      <c r="J40" s="256"/>
      <c r="K40" s="260"/>
      <c r="L40" s="59"/>
    </row>
    <row r="41" spans="1:12" ht="9.75" customHeight="1">
      <c r="A41" s="704" t="s">
        <v>94</v>
      </c>
      <c r="B41" s="700" t="s">
        <v>348</v>
      </c>
      <c r="C41" s="701">
        <v>450120.71340000001</v>
      </c>
      <c r="D41" s="701"/>
      <c r="E41" s="701"/>
      <c r="F41" s="702">
        <v>450120.71340000001</v>
      </c>
      <c r="G41" s="703">
        <v>3489661.6691999999</v>
      </c>
      <c r="H41" s="256"/>
      <c r="I41" s="256"/>
      <c r="J41" s="256"/>
      <c r="K41" s="260"/>
      <c r="L41" s="59"/>
    </row>
    <row r="42" spans="1:12" ht="9.75" customHeight="1">
      <c r="A42" s="704"/>
      <c r="B42" s="700" t="s">
        <v>349</v>
      </c>
      <c r="C42" s="701">
        <v>146602.93104</v>
      </c>
      <c r="D42" s="701"/>
      <c r="E42" s="701"/>
      <c r="F42" s="702">
        <v>146602.93104</v>
      </c>
      <c r="G42" s="703">
        <v>1095770.0553599999</v>
      </c>
      <c r="H42" s="256"/>
      <c r="I42" s="256"/>
      <c r="J42" s="256"/>
      <c r="K42" s="258"/>
    </row>
    <row r="43" spans="1:12" ht="9.75" customHeight="1">
      <c r="A43" s="704"/>
      <c r="B43" s="700" t="s">
        <v>350</v>
      </c>
      <c r="C43" s="701"/>
      <c r="D43" s="701">
        <v>440.03538249999997</v>
      </c>
      <c r="E43" s="701"/>
      <c r="F43" s="702">
        <v>440.03538249999997</v>
      </c>
      <c r="G43" s="703">
        <v>2432.9590024999998</v>
      </c>
      <c r="H43" s="256"/>
      <c r="I43" s="256"/>
      <c r="J43" s="256"/>
      <c r="K43" s="258"/>
    </row>
    <row r="44" spans="1:12" ht="9.75" customHeight="1">
      <c r="A44" s="862" t="s">
        <v>351</v>
      </c>
      <c r="B44" s="863"/>
      <c r="C44" s="864">
        <v>596723.64443999995</v>
      </c>
      <c r="D44" s="864">
        <v>440.03538249999997</v>
      </c>
      <c r="E44" s="864"/>
      <c r="F44" s="865">
        <v>597163.67982249998</v>
      </c>
      <c r="G44" s="866">
        <v>4587864.6835625004</v>
      </c>
      <c r="H44" s="256"/>
      <c r="I44" s="256"/>
      <c r="J44" s="256"/>
      <c r="K44" s="258"/>
    </row>
    <row r="45" spans="1:12" ht="9.75" customHeight="1">
      <c r="A45" s="704" t="s">
        <v>268</v>
      </c>
      <c r="B45" s="700" t="s">
        <v>352</v>
      </c>
      <c r="C45" s="701">
        <v>78722.649195000005</v>
      </c>
      <c r="D45" s="701"/>
      <c r="E45" s="701"/>
      <c r="F45" s="702">
        <v>78722.649195000005</v>
      </c>
      <c r="G45" s="703">
        <v>1668295.8431424999</v>
      </c>
      <c r="H45" s="256"/>
      <c r="I45" s="256"/>
      <c r="J45" s="256"/>
      <c r="K45" s="258"/>
    </row>
    <row r="46" spans="1:12" ht="9.75" customHeight="1">
      <c r="A46" s="704"/>
      <c r="B46" s="700" t="s">
        <v>353</v>
      </c>
      <c r="C46" s="701">
        <v>3118.7609975</v>
      </c>
      <c r="D46" s="701"/>
      <c r="E46" s="701"/>
      <c r="F46" s="702">
        <v>3118.7609975</v>
      </c>
      <c r="G46" s="703">
        <v>29176.774360000003</v>
      </c>
      <c r="H46" s="256"/>
      <c r="I46" s="256"/>
      <c r="J46" s="256"/>
      <c r="K46" s="258"/>
    </row>
    <row r="47" spans="1:12" ht="9.75" customHeight="1">
      <c r="A47" s="862" t="s">
        <v>354</v>
      </c>
      <c r="B47" s="863"/>
      <c r="C47" s="864">
        <v>81841.4101925</v>
      </c>
      <c r="D47" s="864"/>
      <c r="E47" s="864"/>
      <c r="F47" s="865">
        <v>81841.4101925</v>
      </c>
      <c r="G47" s="866">
        <v>1697472.6175024998</v>
      </c>
      <c r="H47" s="256"/>
      <c r="I47" s="256"/>
      <c r="J47" s="256"/>
      <c r="K47" s="258"/>
    </row>
    <row r="48" spans="1:12" ht="9.75" customHeight="1">
      <c r="A48" s="704" t="s">
        <v>269</v>
      </c>
      <c r="B48" s="700" t="s">
        <v>355</v>
      </c>
      <c r="C48" s="701">
        <v>40792.124494999996</v>
      </c>
      <c r="D48" s="701"/>
      <c r="E48" s="701"/>
      <c r="F48" s="702">
        <v>40792.124494999996</v>
      </c>
      <c r="G48" s="703">
        <v>254760.41745000001</v>
      </c>
      <c r="H48" s="256"/>
      <c r="I48" s="256"/>
      <c r="J48" s="256"/>
      <c r="K48" s="258"/>
    </row>
    <row r="49" spans="1:11" ht="9.75" customHeight="1">
      <c r="A49" s="862" t="s">
        <v>356</v>
      </c>
      <c r="B49" s="863"/>
      <c r="C49" s="864">
        <v>40792.124494999996</v>
      </c>
      <c r="D49" s="864"/>
      <c r="E49" s="864"/>
      <c r="F49" s="865">
        <v>40792.124494999996</v>
      </c>
      <c r="G49" s="866">
        <v>254760.41745000001</v>
      </c>
      <c r="H49" s="132"/>
      <c r="I49" s="132"/>
      <c r="J49" s="132"/>
      <c r="K49" s="258"/>
    </row>
    <row r="50" spans="1:11" ht="9.75" customHeight="1">
      <c r="A50" s="704" t="s">
        <v>270</v>
      </c>
      <c r="B50" s="700" t="s">
        <v>63</v>
      </c>
      <c r="C50" s="701"/>
      <c r="D50" s="701"/>
      <c r="E50" s="701">
        <v>5405.1990724999996</v>
      </c>
      <c r="F50" s="702">
        <v>5405.1990724999996</v>
      </c>
      <c r="G50" s="703">
        <v>70374.392502500006</v>
      </c>
      <c r="H50" s="132"/>
      <c r="I50" s="132"/>
      <c r="J50" s="132"/>
      <c r="K50" s="258"/>
    </row>
    <row r="51" spans="1:11" ht="9.75" customHeight="1">
      <c r="A51" s="704"/>
      <c r="B51" s="700" t="s">
        <v>60</v>
      </c>
      <c r="C51" s="701"/>
      <c r="D51" s="701"/>
      <c r="E51" s="701">
        <v>7802.1295399999999</v>
      </c>
      <c r="F51" s="702">
        <v>7802.1295399999999</v>
      </c>
      <c r="G51" s="703">
        <v>89334.565170000002</v>
      </c>
      <c r="H51" s="132"/>
      <c r="I51" s="132"/>
      <c r="J51" s="132"/>
      <c r="K51" s="258"/>
    </row>
    <row r="52" spans="1:11" ht="9.75" customHeight="1">
      <c r="A52" s="862" t="s">
        <v>357</v>
      </c>
      <c r="B52" s="863"/>
      <c r="C52" s="864"/>
      <c r="D52" s="864"/>
      <c r="E52" s="864">
        <v>13207.3286125</v>
      </c>
      <c r="F52" s="865">
        <v>13207.3286125</v>
      </c>
      <c r="G52" s="866">
        <v>159708.95767249999</v>
      </c>
      <c r="H52" s="132"/>
      <c r="I52" s="132"/>
      <c r="J52" s="132"/>
      <c r="K52" s="258"/>
    </row>
    <row r="53" spans="1:11" ht="9.75" customHeight="1">
      <c r="A53" s="704" t="s">
        <v>93</v>
      </c>
      <c r="B53" s="700" t="s">
        <v>358</v>
      </c>
      <c r="C53" s="701">
        <v>19613.2389425</v>
      </c>
      <c r="D53" s="701"/>
      <c r="E53" s="701"/>
      <c r="F53" s="702">
        <v>19613.2389425</v>
      </c>
      <c r="G53" s="703">
        <v>147659.24242749999</v>
      </c>
      <c r="H53" s="132"/>
      <c r="I53" s="132"/>
      <c r="J53" s="256"/>
      <c r="K53" s="258"/>
    </row>
    <row r="54" spans="1:11" ht="9.75" customHeight="1">
      <c r="A54" s="704"/>
      <c r="B54" s="700" t="s">
        <v>359</v>
      </c>
      <c r="C54" s="701">
        <v>85064.689457500004</v>
      </c>
      <c r="D54" s="701"/>
      <c r="E54" s="701"/>
      <c r="F54" s="702">
        <v>85064.689457500004</v>
      </c>
      <c r="G54" s="703">
        <v>796763.71702500014</v>
      </c>
      <c r="H54" s="257"/>
      <c r="I54" s="257"/>
      <c r="J54" s="132"/>
      <c r="K54" s="258"/>
    </row>
    <row r="55" spans="1:11" ht="9.75" customHeight="1">
      <c r="A55" s="704"/>
      <c r="B55" s="700" t="s">
        <v>360</v>
      </c>
      <c r="C55" s="701">
        <v>64794.845410000002</v>
      </c>
      <c r="D55" s="701"/>
      <c r="E55" s="701"/>
      <c r="F55" s="702">
        <v>64794.845410000002</v>
      </c>
      <c r="G55" s="703">
        <v>622214.44409250002</v>
      </c>
      <c r="H55" s="257"/>
      <c r="I55" s="257"/>
      <c r="J55" s="132"/>
      <c r="K55" s="258"/>
    </row>
    <row r="56" spans="1:11" ht="9.75" customHeight="1">
      <c r="A56" s="704"/>
      <c r="B56" s="700" t="s">
        <v>361</v>
      </c>
      <c r="C56" s="701">
        <v>29575.162217500001</v>
      </c>
      <c r="D56" s="701"/>
      <c r="E56" s="701"/>
      <c r="F56" s="702">
        <v>29575.162217500001</v>
      </c>
      <c r="G56" s="703">
        <v>279846.9160275</v>
      </c>
      <c r="H56" s="257"/>
      <c r="I56" s="257"/>
      <c r="J56" s="132"/>
      <c r="K56" s="258"/>
    </row>
    <row r="57" spans="1:11" ht="9.75" customHeight="1">
      <c r="A57" s="704"/>
      <c r="B57" s="700" t="s">
        <v>362</v>
      </c>
      <c r="C57" s="701"/>
      <c r="D57" s="701">
        <v>1697.5097874999999</v>
      </c>
      <c r="E57" s="701"/>
      <c r="F57" s="702">
        <v>1697.5097874999999</v>
      </c>
      <c r="G57" s="703">
        <v>52107.2987975</v>
      </c>
      <c r="H57" s="257"/>
      <c r="I57" s="257"/>
      <c r="J57" s="132"/>
      <c r="K57" s="258"/>
    </row>
    <row r="58" spans="1:11" ht="9.75" customHeight="1">
      <c r="A58" s="704"/>
      <c r="B58" s="700" t="s">
        <v>363</v>
      </c>
      <c r="C58" s="701"/>
      <c r="D58" s="701">
        <v>30907.480792499999</v>
      </c>
      <c r="E58" s="701"/>
      <c r="F58" s="702">
        <v>30907.480792499999</v>
      </c>
      <c r="G58" s="703">
        <v>461500.52200249996</v>
      </c>
      <c r="H58" s="257"/>
      <c r="I58" s="257"/>
      <c r="J58" s="256"/>
      <c r="K58" s="258"/>
    </row>
    <row r="59" spans="1:11" ht="9.75" customHeight="1">
      <c r="A59" s="704"/>
      <c r="B59" s="700" t="s">
        <v>364</v>
      </c>
      <c r="C59" s="701"/>
      <c r="D59" s="701">
        <v>282647.34400749998</v>
      </c>
      <c r="E59" s="701"/>
      <c r="F59" s="702">
        <v>282647.34400749998</v>
      </c>
      <c r="G59" s="703">
        <v>1915753.305005</v>
      </c>
      <c r="H59" s="257"/>
      <c r="I59" s="257"/>
      <c r="J59" s="257"/>
      <c r="K59" s="257"/>
    </row>
    <row r="60" spans="1:11" ht="9.75" customHeight="1">
      <c r="A60" s="704"/>
      <c r="B60" s="700" t="s">
        <v>734</v>
      </c>
      <c r="C60" s="701"/>
      <c r="D60" s="701"/>
      <c r="E60" s="701">
        <v>378.3528925</v>
      </c>
      <c r="F60" s="702">
        <v>378.3528925</v>
      </c>
      <c r="G60" s="703">
        <v>580.46734750000007</v>
      </c>
    </row>
    <row r="61" spans="1:11" ht="9.75" customHeight="1">
      <c r="A61" s="862" t="s">
        <v>365</v>
      </c>
      <c r="B61" s="863"/>
      <c r="C61" s="864">
        <v>199047.93602750002</v>
      </c>
      <c r="D61" s="864">
        <v>315252.33458749996</v>
      </c>
      <c r="E61" s="864">
        <v>378.3528925</v>
      </c>
      <c r="F61" s="865">
        <v>514678.62350749999</v>
      </c>
      <c r="G61" s="866">
        <v>4276425.9127250006</v>
      </c>
    </row>
    <row r="62" spans="1:11" ht="9.75" customHeight="1">
      <c r="A62" s="694" t="s">
        <v>101</v>
      </c>
      <c r="B62" s="695" t="s">
        <v>366</v>
      </c>
      <c r="C62" s="696"/>
      <c r="D62" s="696">
        <v>437.61272000000002</v>
      </c>
      <c r="E62" s="696"/>
      <c r="F62" s="697">
        <v>437.61272000000002</v>
      </c>
      <c r="G62" s="698">
        <v>132401.88175499998</v>
      </c>
    </row>
    <row r="63" spans="1:11" ht="9.75" customHeight="1">
      <c r="A63" s="704"/>
      <c r="B63" s="700" t="s">
        <v>367</v>
      </c>
      <c r="C63" s="701"/>
      <c r="D63" s="701">
        <v>59369.4852875</v>
      </c>
      <c r="E63" s="701"/>
      <c r="F63" s="702">
        <v>59369.4852875</v>
      </c>
      <c r="G63" s="703">
        <v>108289.09214749999</v>
      </c>
    </row>
    <row r="64" spans="1:11" ht="9.75" customHeight="1">
      <c r="A64" s="710"/>
      <c r="B64" s="700" t="s">
        <v>368</v>
      </c>
      <c r="C64" s="701"/>
      <c r="D64" s="701">
        <v>9265.5287675</v>
      </c>
      <c r="E64" s="701"/>
      <c r="F64" s="702">
        <v>9265.5287675</v>
      </c>
      <c r="G64" s="703">
        <v>120673.74459500001</v>
      </c>
    </row>
    <row r="65" spans="1:7" ht="9.75" customHeight="1">
      <c r="A65" s="862" t="s">
        <v>369</v>
      </c>
      <c r="B65" s="863"/>
      <c r="C65" s="864"/>
      <c r="D65" s="864">
        <v>69072.626774999997</v>
      </c>
      <c r="E65" s="864"/>
      <c r="F65" s="865">
        <v>69072.626774999997</v>
      </c>
      <c r="G65" s="866">
        <v>361364.7184975</v>
      </c>
    </row>
    <row r="66" spans="1:7" ht="9.75" customHeight="1">
      <c r="A66" s="710" t="s">
        <v>103</v>
      </c>
      <c r="B66" s="707" t="s">
        <v>727</v>
      </c>
      <c r="C66" s="708"/>
      <c r="D66" s="708"/>
      <c r="E66" s="708">
        <v>35931.422802500005</v>
      </c>
      <c r="F66" s="707">
        <v>35931.422802500005</v>
      </c>
      <c r="G66" s="709">
        <v>255968.3277125</v>
      </c>
    </row>
    <row r="67" spans="1:7" ht="9.75" customHeight="1">
      <c r="A67" s="710"/>
      <c r="B67" s="707" t="s">
        <v>732</v>
      </c>
      <c r="C67" s="708"/>
      <c r="D67" s="708"/>
      <c r="E67" s="708">
        <v>50296.656275000001</v>
      </c>
      <c r="F67" s="707">
        <v>50296.656275000001</v>
      </c>
      <c r="G67" s="709">
        <v>266695.70772999997</v>
      </c>
    </row>
    <row r="68" spans="1:7" ht="9.75" customHeight="1">
      <c r="A68" s="862" t="s">
        <v>370</v>
      </c>
      <c r="B68" s="863"/>
      <c r="C68" s="864"/>
      <c r="D68" s="864"/>
      <c r="E68" s="864">
        <v>86228.079077500006</v>
      </c>
      <c r="F68" s="865">
        <v>86228.079077500006</v>
      </c>
      <c r="G68" s="866">
        <v>522664.03544249997</v>
      </c>
    </row>
    <row r="69" spans="1:7" ht="9.75" customHeight="1">
      <c r="A69" s="710" t="s">
        <v>102</v>
      </c>
      <c r="B69" s="707" t="s">
        <v>81</v>
      </c>
      <c r="C69" s="708"/>
      <c r="D69" s="708"/>
      <c r="E69" s="708">
        <v>18606.36708</v>
      </c>
      <c r="F69" s="707">
        <v>18606.36708</v>
      </c>
      <c r="G69" s="709">
        <v>177863.21177500003</v>
      </c>
    </row>
    <row r="70" spans="1:7" ht="9.75" customHeight="1">
      <c r="A70" s="710"/>
      <c r="B70" s="707" t="s">
        <v>83</v>
      </c>
      <c r="C70" s="708"/>
      <c r="D70" s="708"/>
      <c r="E70" s="708">
        <v>12056.8847625</v>
      </c>
      <c r="F70" s="707">
        <v>12056.8847625</v>
      </c>
      <c r="G70" s="709">
        <v>75348.174329999994</v>
      </c>
    </row>
    <row r="71" spans="1:7" ht="9.75" customHeight="1">
      <c r="A71" s="862" t="s">
        <v>371</v>
      </c>
      <c r="B71" s="863"/>
      <c r="C71" s="864"/>
      <c r="D71" s="864"/>
      <c r="E71" s="864">
        <v>30663.251842500002</v>
      </c>
      <c r="F71" s="865">
        <v>30663.251842500002</v>
      </c>
      <c r="G71" s="866">
        <v>253211.38610500004</v>
      </c>
    </row>
    <row r="72" spans="1:7" ht="9.75" customHeight="1">
      <c r="A72" s="705"/>
      <c r="B72" s="705"/>
      <c r="C72" s="706"/>
      <c r="D72" s="706"/>
      <c r="E72" s="706"/>
      <c r="F72" s="705"/>
      <c r="G72" s="705"/>
    </row>
    <row r="73" spans="1:7" ht="9.75" customHeight="1">
      <c r="A73" s="705"/>
      <c r="B73" s="705"/>
      <c r="C73" s="706"/>
      <c r="D73" s="706"/>
      <c r="E73" s="706"/>
      <c r="F73" s="705"/>
      <c r="G73" s="705"/>
    </row>
    <row r="74" spans="1:7" ht="9.75" customHeight="1">
      <c r="A74" s="705"/>
      <c r="B74" s="705"/>
      <c r="C74" s="706"/>
      <c r="D74" s="706"/>
      <c r="E74" s="706"/>
      <c r="F74" s="705"/>
      <c r="G74" s="705"/>
    </row>
    <row r="75" spans="1:7" ht="9.75" customHeight="1">
      <c r="A75" s="705"/>
      <c r="B75" s="705"/>
      <c r="C75" s="706"/>
      <c r="D75" s="706"/>
      <c r="E75" s="706"/>
      <c r="F75" s="705"/>
      <c r="G75" s="705"/>
    </row>
    <row r="76" spans="1:7" ht="9.75" customHeight="1">
      <c r="A76" s="705"/>
      <c r="B76" s="705"/>
      <c r="C76" s="706"/>
      <c r="D76" s="706"/>
      <c r="E76" s="706"/>
      <c r="F76" s="705"/>
      <c r="G76" s="705"/>
    </row>
    <row r="77" spans="1:7" ht="9.75" customHeight="1">
      <c r="A77" s="705"/>
      <c r="B77" s="705"/>
      <c r="C77" s="706"/>
      <c r="D77" s="706"/>
      <c r="E77" s="706"/>
      <c r="F77" s="705"/>
      <c r="G77" s="705"/>
    </row>
    <row r="78" spans="1:7" ht="9.75" customHeight="1">
      <c r="A78" s="705"/>
      <c r="B78" s="705"/>
      <c r="C78" s="706"/>
      <c r="D78" s="706"/>
      <c r="E78" s="706"/>
      <c r="F78" s="705"/>
      <c r="G78" s="705"/>
    </row>
    <row r="79" spans="1:7" ht="9.75" customHeight="1">
      <c r="A79" s="705"/>
      <c r="B79" s="705"/>
      <c r="C79" s="706"/>
      <c r="D79" s="706"/>
      <c r="E79" s="706"/>
      <c r="F79" s="705"/>
      <c r="G79" s="705"/>
    </row>
    <row r="80" spans="1:7" ht="9.75" customHeight="1">
      <c r="A80" s="705"/>
      <c r="B80" s="705"/>
      <c r="C80" s="706"/>
      <c r="D80" s="706"/>
      <c r="E80" s="706"/>
      <c r="F80" s="705"/>
      <c r="G80" s="705"/>
    </row>
    <row r="81" spans="1:7" ht="9.75" customHeight="1">
      <c r="A81" s="705"/>
      <c r="B81" s="705"/>
      <c r="C81" s="706"/>
      <c r="D81" s="706"/>
      <c r="E81" s="706"/>
      <c r="F81" s="705"/>
      <c r="G81" s="705"/>
    </row>
    <row r="82" spans="1:7" ht="9.75" customHeight="1">
      <c r="A82" s="705"/>
      <c r="B82" s="705"/>
      <c r="C82" s="706"/>
      <c r="D82" s="706"/>
      <c r="E82" s="706"/>
      <c r="F82" s="705"/>
      <c r="G82" s="705"/>
    </row>
    <row r="83" spans="1:7" ht="9.75" customHeight="1">
      <c r="A83" s="705"/>
      <c r="B83" s="705"/>
      <c r="C83" s="706"/>
      <c r="D83" s="706"/>
      <c r="E83" s="706"/>
      <c r="F83" s="705"/>
      <c r="G83" s="705"/>
    </row>
    <row r="84" spans="1:7" ht="9.75" customHeight="1">
      <c r="A84" s="705"/>
      <c r="B84" s="705"/>
      <c r="C84" s="706"/>
      <c r="D84" s="706"/>
      <c r="E84" s="706"/>
      <c r="F84" s="705"/>
      <c r="G84" s="705"/>
    </row>
    <row r="85" spans="1:7" ht="9.75" customHeight="1">
      <c r="A85" s="705"/>
      <c r="B85" s="705"/>
      <c r="C85" s="706"/>
      <c r="D85" s="706"/>
      <c r="E85" s="706"/>
      <c r="F85" s="705"/>
      <c r="G85" s="705"/>
    </row>
    <row r="86" spans="1:7" ht="9.75" customHeight="1">
      <c r="A86" s="705"/>
      <c r="B86" s="705"/>
      <c r="C86" s="706"/>
      <c r="D86" s="706"/>
      <c r="E86" s="706"/>
      <c r="F86" s="705"/>
      <c r="G86" s="705"/>
    </row>
    <row r="87" spans="1:7" ht="9.75" customHeight="1">
      <c r="A87" s="705"/>
      <c r="B87" s="705"/>
      <c r="C87" s="706"/>
      <c r="D87" s="706"/>
      <c r="E87" s="706"/>
      <c r="F87" s="705"/>
      <c r="G87" s="705"/>
    </row>
    <row r="88" spans="1:7" ht="9.75" customHeight="1">
      <c r="A88" s="705"/>
      <c r="B88" s="705"/>
      <c r="C88" s="706"/>
      <c r="D88" s="706"/>
      <c r="E88" s="706"/>
      <c r="F88" s="705"/>
      <c r="G88" s="705"/>
    </row>
    <row r="89" spans="1:7" ht="9.75" customHeight="1">
      <c r="A89" s="705"/>
      <c r="B89" s="705"/>
      <c r="C89" s="706"/>
      <c r="D89" s="706"/>
      <c r="E89" s="706"/>
      <c r="F89" s="705"/>
      <c r="G89" s="705"/>
    </row>
    <row r="90" spans="1:7" ht="9.75" customHeight="1">
      <c r="A90" s="705"/>
      <c r="B90" s="705"/>
      <c r="C90" s="706"/>
      <c r="D90" s="706"/>
      <c r="E90" s="706"/>
      <c r="F90" s="705"/>
      <c r="G90" s="705"/>
    </row>
    <row r="91" spans="1:7" ht="9.75" customHeight="1">
      <c r="A91" s="705"/>
      <c r="B91" s="705"/>
      <c r="C91" s="706"/>
      <c r="D91" s="706"/>
      <c r="E91" s="706"/>
      <c r="F91" s="705"/>
      <c r="G91" s="705"/>
    </row>
    <row r="92" spans="1:7" ht="9.75" customHeight="1">
      <c r="A92" s="705"/>
      <c r="B92" s="705"/>
      <c r="C92" s="706"/>
      <c r="D92" s="706"/>
      <c r="E92" s="706"/>
      <c r="F92" s="705"/>
      <c r="G92" s="705"/>
    </row>
    <row r="93" spans="1:7" ht="9.75" customHeight="1">
      <c r="A93" s="705"/>
      <c r="B93" s="705"/>
      <c r="C93" s="706"/>
      <c r="D93" s="706"/>
      <c r="E93" s="706"/>
      <c r="F93" s="705"/>
      <c r="G93" s="705"/>
    </row>
    <row r="94" spans="1:7" ht="9.75" customHeight="1">
      <c r="A94" s="705"/>
      <c r="B94" s="705"/>
      <c r="C94" s="706"/>
      <c r="D94" s="706"/>
      <c r="E94" s="706"/>
      <c r="F94" s="705"/>
      <c r="G94" s="705"/>
    </row>
    <row r="95" spans="1:7" ht="9.75" customHeight="1">
      <c r="A95" s="705"/>
      <c r="B95" s="705"/>
      <c r="C95" s="706"/>
      <c r="D95" s="706"/>
      <c r="E95" s="706"/>
      <c r="F95" s="705"/>
      <c r="G95" s="705"/>
    </row>
    <row r="96" spans="1:7" ht="9.75" customHeight="1">
      <c r="A96" s="705"/>
      <c r="B96" s="705"/>
      <c r="C96" s="706"/>
      <c r="D96" s="706"/>
      <c r="E96" s="706"/>
      <c r="F96" s="705"/>
      <c r="G96" s="705"/>
    </row>
    <row r="97" spans="1:7" ht="9.75" customHeight="1">
      <c r="A97" s="705"/>
      <c r="B97" s="705"/>
      <c r="C97" s="706"/>
      <c r="D97" s="706"/>
      <c r="E97" s="706"/>
      <c r="F97" s="705"/>
      <c r="G97" s="705"/>
    </row>
    <row r="98" spans="1:7" ht="9.75" customHeight="1">
      <c r="A98" s="705"/>
      <c r="B98" s="705"/>
      <c r="C98" s="706"/>
      <c r="D98" s="706"/>
      <c r="E98" s="706"/>
      <c r="F98" s="705"/>
      <c r="G98" s="705"/>
    </row>
    <row r="99" spans="1:7" ht="9.75" customHeight="1">
      <c r="A99" s="705"/>
      <c r="B99" s="705"/>
      <c r="C99" s="706"/>
      <c r="D99" s="706"/>
      <c r="E99" s="706"/>
      <c r="F99" s="705"/>
      <c r="G99" s="705"/>
    </row>
    <row r="100" spans="1:7" ht="9.75" customHeight="1">
      <c r="A100" s="705"/>
      <c r="B100" s="705"/>
      <c r="C100" s="706"/>
      <c r="D100" s="706"/>
      <c r="E100" s="706"/>
      <c r="F100" s="705"/>
      <c r="G100" s="705"/>
    </row>
    <row r="101" spans="1:7" ht="9.75" customHeight="1">
      <c r="A101" s="705"/>
      <c r="B101" s="705"/>
      <c r="C101" s="706"/>
      <c r="D101" s="706"/>
      <c r="E101" s="706"/>
      <c r="F101" s="705"/>
      <c r="G101" s="705"/>
    </row>
    <row r="102" spans="1:7" ht="9.75" customHeight="1">
      <c r="A102" s="705"/>
      <c r="B102" s="705"/>
      <c r="C102" s="706"/>
      <c r="D102" s="706"/>
      <c r="E102" s="706"/>
      <c r="F102" s="705"/>
      <c r="G102" s="705"/>
    </row>
    <row r="103" spans="1:7" ht="9.75" customHeight="1">
      <c r="A103" s="705"/>
      <c r="B103" s="705"/>
      <c r="C103" s="706"/>
      <c r="D103" s="706"/>
      <c r="E103" s="706"/>
      <c r="F103" s="705"/>
      <c r="G103" s="705"/>
    </row>
    <row r="104" spans="1:7" ht="9.75" customHeight="1">
      <c r="A104" s="705"/>
      <c r="B104" s="705"/>
      <c r="C104" s="706"/>
      <c r="D104" s="706"/>
      <c r="E104" s="706"/>
      <c r="F104" s="705"/>
      <c r="G104" s="705"/>
    </row>
    <row r="105" spans="1:7" ht="9.75" customHeight="1">
      <c r="A105" s="705"/>
      <c r="B105" s="705"/>
      <c r="C105" s="706"/>
      <c r="D105" s="706"/>
      <c r="E105" s="706"/>
      <c r="F105" s="705"/>
      <c r="G105" s="705"/>
    </row>
    <row r="106" spans="1:7" ht="9.75" customHeight="1">
      <c r="A106" s="705"/>
      <c r="B106" s="705"/>
      <c r="C106" s="706"/>
      <c r="D106" s="706"/>
      <c r="E106" s="706"/>
      <c r="F106" s="705"/>
      <c r="G106" s="705"/>
    </row>
    <row r="107" spans="1:7" ht="9.75" customHeight="1">
      <c r="A107" s="705"/>
      <c r="B107" s="705"/>
      <c r="C107" s="706"/>
      <c r="D107" s="706"/>
      <c r="E107" s="706"/>
      <c r="F107" s="705"/>
      <c r="G107" s="705"/>
    </row>
    <row r="108" spans="1:7" ht="9.75" customHeight="1">
      <c r="A108" s="705"/>
      <c r="B108" s="705"/>
      <c r="C108" s="706"/>
      <c r="D108" s="706"/>
      <c r="E108" s="706"/>
      <c r="F108" s="705"/>
      <c r="G108" s="705"/>
    </row>
    <row r="109" spans="1:7" ht="9.75" customHeight="1">
      <c r="A109" s="705"/>
      <c r="B109" s="705"/>
      <c r="C109" s="706"/>
      <c r="D109" s="706"/>
      <c r="E109" s="706"/>
      <c r="F109" s="705"/>
      <c r="G109" s="705"/>
    </row>
    <row r="110" spans="1:7" ht="9.75" customHeight="1">
      <c r="A110" s="705"/>
      <c r="B110" s="705"/>
      <c r="C110" s="706"/>
      <c r="D110" s="706"/>
      <c r="E110" s="706"/>
      <c r="F110" s="705"/>
      <c r="G110" s="705"/>
    </row>
    <row r="111" spans="1:7" ht="9.75" customHeight="1">
      <c r="A111" s="705"/>
      <c r="B111" s="705"/>
      <c r="C111" s="706"/>
      <c r="D111" s="706"/>
      <c r="E111" s="706"/>
      <c r="F111" s="705"/>
      <c r="G111" s="705"/>
    </row>
    <row r="112" spans="1:7" ht="9.75" customHeight="1">
      <c r="A112" s="705"/>
      <c r="B112" s="705"/>
      <c r="C112" s="706"/>
      <c r="D112" s="706"/>
      <c r="E112" s="706"/>
      <c r="F112" s="705"/>
      <c r="G112" s="705"/>
    </row>
    <row r="113" spans="1:7" ht="9.75" customHeight="1">
      <c r="A113" s="705"/>
      <c r="B113" s="705"/>
      <c r="C113" s="706"/>
      <c r="D113" s="706"/>
      <c r="E113" s="706"/>
      <c r="F113" s="705"/>
      <c r="G113" s="705"/>
    </row>
    <row r="114" spans="1:7" ht="9.75" customHeight="1">
      <c r="A114" s="705"/>
      <c r="B114" s="705"/>
      <c r="C114" s="706"/>
      <c r="D114" s="706"/>
      <c r="E114" s="706"/>
      <c r="F114" s="705"/>
      <c r="G114" s="705"/>
    </row>
    <row r="115" spans="1:7" ht="9.75" customHeight="1">
      <c r="A115" s="705"/>
      <c r="B115" s="705"/>
      <c r="C115" s="706"/>
      <c r="D115" s="706"/>
      <c r="E115" s="706"/>
      <c r="F115" s="705"/>
      <c r="G115" s="705"/>
    </row>
    <row r="116" spans="1:7" ht="9.75" customHeight="1">
      <c r="A116" s="705"/>
      <c r="B116" s="705"/>
      <c r="C116" s="706"/>
      <c r="D116" s="706"/>
      <c r="E116" s="706"/>
      <c r="F116" s="705"/>
      <c r="G116" s="705"/>
    </row>
    <row r="117" spans="1:7" ht="9.75" customHeight="1">
      <c r="A117" s="705"/>
      <c r="B117" s="705"/>
      <c r="C117" s="706"/>
      <c r="D117" s="706"/>
      <c r="E117" s="706"/>
      <c r="F117" s="705"/>
      <c r="G117" s="705"/>
    </row>
    <row r="118" spans="1:7" ht="9.75" customHeight="1">
      <c r="A118" s="705"/>
      <c r="B118" s="705"/>
      <c r="C118" s="706"/>
      <c r="D118" s="706"/>
      <c r="E118" s="706"/>
      <c r="F118" s="705"/>
      <c r="G118" s="705"/>
    </row>
    <row r="119" spans="1:7" ht="9.75" customHeight="1">
      <c r="A119" s="705"/>
      <c r="B119" s="705"/>
      <c r="C119" s="706"/>
      <c r="D119" s="706"/>
      <c r="E119" s="706"/>
      <c r="F119" s="705"/>
      <c r="G119" s="705"/>
    </row>
    <row r="120" spans="1:7" ht="9.75" customHeight="1">
      <c r="A120" s="705"/>
      <c r="B120" s="705"/>
      <c r="C120" s="706"/>
      <c r="D120" s="706"/>
      <c r="E120" s="706"/>
      <c r="F120" s="705"/>
      <c r="G120" s="705"/>
    </row>
    <row r="121" spans="1:7" ht="9.75" customHeight="1">
      <c r="A121" s="705"/>
      <c r="B121" s="705"/>
      <c r="C121" s="706"/>
      <c r="D121" s="706"/>
      <c r="E121" s="706"/>
      <c r="F121" s="705"/>
      <c r="G121" s="705"/>
    </row>
    <row r="122" spans="1:7" ht="9.75" customHeight="1">
      <c r="A122" s="705"/>
      <c r="B122" s="705"/>
      <c r="C122" s="706"/>
      <c r="D122" s="706"/>
      <c r="E122" s="706"/>
      <c r="F122" s="705"/>
      <c r="G122" s="705"/>
    </row>
    <row r="123" spans="1:7" ht="9.75" customHeight="1">
      <c r="A123" s="705"/>
      <c r="B123" s="705"/>
      <c r="C123" s="706"/>
      <c r="D123" s="706"/>
      <c r="E123" s="706"/>
      <c r="F123" s="705"/>
      <c r="G123" s="705"/>
    </row>
    <row r="124" spans="1:7" ht="9.75" customHeight="1">
      <c r="A124" s="705"/>
      <c r="B124" s="705"/>
      <c r="C124" s="706"/>
      <c r="D124" s="706"/>
      <c r="E124" s="706"/>
      <c r="F124" s="705"/>
      <c r="G124" s="705"/>
    </row>
    <row r="125" spans="1:7" ht="9.75" customHeight="1">
      <c r="A125" s="705"/>
      <c r="B125" s="705"/>
      <c r="C125" s="706"/>
      <c r="D125" s="706"/>
      <c r="E125" s="706"/>
      <c r="F125" s="705"/>
      <c r="G125" s="705"/>
    </row>
    <row r="126" spans="1:7" ht="9.75" customHeight="1">
      <c r="A126" s="705"/>
      <c r="B126" s="705"/>
      <c r="C126" s="706"/>
      <c r="D126" s="706"/>
      <c r="E126" s="706"/>
      <c r="F126" s="705"/>
      <c r="G126" s="705"/>
    </row>
    <row r="127" spans="1:7" ht="9.75" customHeight="1">
      <c r="A127" s="705"/>
      <c r="B127" s="705"/>
      <c r="C127" s="706"/>
      <c r="D127" s="706"/>
      <c r="E127" s="706"/>
      <c r="F127" s="705"/>
      <c r="G127" s="705"/>
    </row>
    <row r="128" spans="1:7" ht="9.75" customHeight="1">
      <c r="A128" s="705"/>
      <c r="B128" s="705"/>
      <c r="C128" s="706"/>
      <c r="D128" s="706"/>
      <c r="E128" s="706"/>
      <c r="F128" s="705"/>
      <c r="G128" s="705"/>
    </row>
    <row r="129" spans="1:7" ht="9.75" customHeight="1">
      <c r="A129" s="705"/>
      <c r="B129" s="705"/>
      <c r="C129" s="706"/>
      <c r="D129" s="706"/>
      <c r="E129" s="706"/>
      <c r="F129" s="705"/>
      <c r="G129" s="705"/>
    </row>
    <row r="130" spans="1:7" ht="9.75" customHeight="1">
      <c r="A130" s="705"/>
      <c r="B130" s="705"/>
      <c r="C130" s="706"/>
      <c r="D130" s="706"/>
      <c r="E130" s="706"/>
      <c r="F130" s="705"/>
      <c r="G130" s="705"/>
    </row>
    <row r="131" spans="1:7" ht="9.75" customHeight="1">
      <c r="A131" s="705"/>
      <c r="B131" s="705"/>
      <c r="C131" s="706"/>
      <c r="D131" s="706"/>
      <c r="E131" s="706"/>
      <c r="F131" s="705"/>
      <c r="G131" s="705"/>
    </row>
    <row r="132" spans="1:7" ht="9.75" customHeight="1">
      <c r="A132" s="705"/>
      <c r="B132" s="705"/>
      <c r="C132" s="706"/>
      <c r="D132" s="706"/>
      <c r="E132" s="706"/>
      <c r="F132" s="705"/>
      <c r="G132" s="705"/>
    </row>
    <row r="133" spans="1:7" ht="9.75" customHeight="1">
      <c r="A133" s="705"/>
      <c r="B133" s="705"/>
      <c r="C133" s="706"/>
      <c r="D133" s="706"/>
      <c r="E133" s="706"/>
      <c r="F133" s="705"/>
      <c r="G133" s="705"/>
    </row>
    <row r="134" spans="1:7" ht="9.75" customHeight="1">
      <c r="A134" s="705"/>
      <c r="B134" s="705"/>
      <c r="C134" s="706"/>
      <c r="D134" s="706"/>
      <c r="E134" s="706"/>
      <c r="F134" s="705"/>
      <c r="G134" s="705"/>
    </row>
    <row r="135" spans="1:7" ht="9.75" customHeight="1">
      <c r="A135" s="705"/>
      <c r="B135" s="705"/>
      <c r="C135" s="706"/>
      <c r="D135" s="706"/>
      <c r="E135" s="706"/>
      <c r="F135" s="705"/>
      <c r="G135" s="705"/>
    </row>
    <row r="136" spans="1:7" ht="9.75" customHeight="1">
      <c r="A136" s="705"/>
      <c r="B136" s="705"/>
      <c r="C136" s="706"/>
      <c r="D136" s="706"/>
      <c r="E136" s="706"/>
      <c r="F136" s="705"/>
      <c r="G136" s="705"/>
    </row>
    <row r="137" spans="1:7" ht="9.75" customHeight="1">
      <c r="A137" s="705"/>
      <c r="B137" s="705"/>
      <c r="C137" s="706"/>
      <c r="D137" s="706"/>
      <c r="E137" s="706"/>
      <c r="F137" s="705"/>
      <c r="G137" s="705"/>
    </row>
    <row r="138" spans="1:7" ht="9.75" customHeight="1">
      <c r="A138" s="705"/>
      <c r="B138" s="705"/>
      <c r="C138" s="706"/>
      <c r="D138" s="706"/>
      <c r="E138" s="706"/>
      <c r="F138" s="705"/>
      <c r="G138" s="705"/>
    </row>
    <row r="139" spans="1:7" ht="9.75" customHeight="1">
      <c r="A139" s="705"/>
      <c r="B139" s="705"/>
      <c r="C139" s="706"/>
      <c r="D139" s="706"/>
      <c r="E139" s="706"/>
      <c r="F139" s="705"/>
      <c r="G139" s="705"/>
    </row>
    <row r="140" spans="1:7" ht="9.75" customHeight="1">
      <c r="A140" s="705"/>
      <c r="B140" s="705"/>
      <c r="C140" s="706"/>
      <c r="D140" s="706"/>
      <c r="E140" s="706"/>
      <c r="F140" s="705"/>
      <c r="G140" s="705"/>
    </row>
    <row r="141" spans="1:7" ht="9.75" customHeight="1">
      <c r="A141" s="705"/>
      <c r="B141" s="705"/>
      <c r="C141" s="706"/>
      <c r="D141" s="706"/>
      <c r="E141" s="706"/>
      <c r="F141" s="705"/>
      <c r="G141" s="705"/>
    </row>
    <row r="142" spans="1:7" ht="9.75" customHeight="1">
      <c r="A142" s="705"/>
      <c r="B142" s="705"/>
      <c r="C142" s="706"/>
      <c r="D142" s="706"/>
      <c r="E142" s="706"/>
      <c r="F142" s="705"/>
      <c r="G142" s="705"/>
    </row>
    <row r="143" spans="1:7" ht="9.75" customHeight="1">
      <c r="A143" s="705"/>
      <c r="B143" s="705"/>
      <c r="C143" s="706"/>
      <c r="D143" s="706"/>
      <c r="E143" s="706"/>
      <c r="F143" s="705"/>
      <c r="G143" s="705"/>
    </row>
    <row r="144" spans="1:7" ht="9.75" customHeight="1">
      <c r="A144" s="705"/>
      <c r="B144" s="705"/>
      <c r="C144" s="706"/>
      <c r="D144" s="706"/>
      <c r="E144" s="706"/>
      <c r="F144" s="705"/>
      <c r="G144" s="705"/>
    </row>
    <row r="145" spans="1:7" ht="9.75" customHeight="1">
      <c r="A145" s="705"/>
      <c r="B145" s="705"/>
      <c r="C145" s="706"/>
      <c r="D145" s="706"/>
      <c r="E145" s="706"/>
      <c r="F145" s="705"/>
      <c r="G145" s="705"/>
    </row>
    <row r="146" spans="1:7" ht="9.75" customHeight="1">
      <c r="A146" s="705"/>
      <c r="B146" s="705"/>
      <c r="C146" s="706"/>
      <c r="D146" s="706"/>
      <c r="E146" s="706"/>
      <c r="F146" s="705"/>
      <c r="G146" s="705"/>
    </row>
    <row r="147" spans="1:7" ht="9.75" customHeight="1">
      <c r="A147" s="705"/>
      <c r="B147" s="705"/>
      <c r="C147" s="706"/>
      <c r="D147" s="706"/>
      <c r="E147" s="706"/>
      <c r="F147" s="705"/>
      <c r="G147" s="705"/>
    </row>
    <row r="148" spans="1:7" ht="9.75" customHeight="1">
      <c r="A148" s="705"/>
      <c r="B148" s="705"/>
      <c r="C148" s="706"/>
      <c r="D148" s="706"/>
      <c r="E148" s="706"/>
      <c r="F148" s="705"/>
      <c r="G148" s="705"/>
    </row>
    <row r="149" spans="1:7" ht="9.75" customHeight="1">
      <c r="A149" s="705"/>
      <c r="B149" s="705"/>
      <c r="C149" s="706"/>
      <c r="D149" s="706"/>
      <c r="E149" s="706"/>
      <c r="F149" s="705"/>
      <c r="G149" s="705"/>
    </row>
    <row r="150" spans="1:7" ht="9.75" customHeight="1">
      <c r="A150" s="705"/>
      <c r="B150" s="705"/>
      <c r="C150" s="706"/>
      <c r="D150" s="706"/>
      <c r="E150" s="706"/>
      <c r="F150" s="705"/>
      <c r="G150" s="705"/>
    </row>
    <row r="151" spans="1:7" ht="9.75" customHeight="1">
      <c r="A151" s="705"/>
      <c r="B151" s="705"/>
      <c r="C151" s="706"/>
      <c r="D151" s="706"/>
      <c r="E151" s="706"/>
      <c r="F151" s="705"/>
      <c r="G151" s="705"/>
    </row>
    <row r="152" spans="1:7" ht="9.75" customHeight="1">
      <c r="A152" s="705"/>
      <c r="B152" s="705"/>
      <c r="C152" s="706"/>
      <c r="D152" s="706"/>
      <c r="E152" s="706"/>
      <c r="F152" s="705"/>
      <c r="G152" s="705"/>
    </row>
    <row r="153" spans="1:7" ht="9.75" customHeight="1">
      <c r="A153" s="705"/>
      <c r="B153" s="705"/>
      <c r="C153" s="706"/>
      <c r="D153" s="706"/>
      <c r="E153" s="706"/>
      <c r="F153" s="705"/>
      <c r="G153" s="705"/>
    </row>
    <row r="154" spans="1:7" ht="9.75" customHeight="1">
      <c r="A154" s="705"/>
      <c r="B154" s="705"/>
      <c r="C154" s="706"/>
      <c r="D154" s="706"/>
      <c r="E154" s="706"/>
      <c r="F154" s="705"/>
      <c r="G154" s="705"/>
    </row>
    <row r="155" spans="1:7" ht="9.75" customHeight="1">
      <c r="A155" s="705"/>
      <c r="B155" s="705"/>
      <c r="C155" s="706"/>
      <c r="D155" s="706"/>
      <c r="E155" s="706"/>
      <c r="F155" s="705"/>
      <c r="G155" s="705"/>
    </row>
    <row r="156" spans="1:7" ht="9.75" customHeight="1">
      <c r="A156" s="705"/>
      <c r="B156" s="705"/>
      <c r="C156" s="706"/>
      <c r="D156" s="706"/>
      <c r="E156" s="706"/>
      <c r="F156" s="705"/>
      <c r="G156" s="705"/>
    </row>
    <row r="157" spans="1:7" ht="9.75" customHeight="1">
      <c r="A157" s="705"/>
      <c r="B157" s="705"/>
      <c r="C157" s="706"/>
      <c r="D157" s="706"/>
      <c r="E157" s="706"/>
      <c r="F157" s="705"/>
      <c r="G157" s="705"/>
    </row>
    <row r="158" spans="1:7" ht="9.75" customHeight="1">
      <c r="A158" s="705"/>
      <c r="B158" s="705"/>
      <c r="C158" s="706"/>
      <c r="D158" s="706"/>
      <c r="E158" s="706"/>
      <c r="F158" s="705"/>
      <c r="G158" s="705"/>
    </row>
    <row r="159" spans="1:7" ht="9.75" customHeight="1">
      <c r="A159" s="705"/>
      <c r="B159" s="705"/>
      <c r="C159" s="706"/>
      <c r="D159" s="706"/>
      <c r="E159" s="706"/>
      <c r="F159" s="705"/>
      <c r="G159" s="705"/>
    </row>
    <row r="160" spans="1:7" ht="9.75" customHeight="1">
      <c r="A160" s="705"/>
      <c r="B160" s="705"/>
      <c r="C160" s="706"/>
      <c r="D160" s="706"/>
      <c r="E160" s="706"/>
      <c r="F160" s="705"/>
      <c r="G160" s="705"/>
    </row>
    <row r="161" spans="1:7" ht="9.75" customHeight="1">
      <c r="A161" s="705"/>
      <c r="B161" s="705"/>
      <c r="C161" s="706"/>
      <c r="D161" s="706"/>
      <c r="E161" s="706"/>
      <c r="F161" s="705"/>
      <c r="G161" s="705"/>
    </row>
    <row r="162" spans="1:7" ht="9.75" customHeight="1">
      <c r="A162" s="705"/>
      <c r="B162" s="705"/>
      <c r="C162" s="705"/>
      <c r="D162" s="705"/>
      <c r="E162" s="705"/>
      <c r="F162" s="705"/>
      <c r="G162" s="705"/>
    </row>
    <row r="163" spans="1:7" ht="9.75" customHeight="1">
      <c r="A163" s="705"/>
      <c r="B163" s="705"/>
      <c r="C163" s="705"/>
      <c r="D163" s="705"/>
      <c r="E163" s="705"/>
      <c r="F163" s="705"/>
      <c r="G163" s="705"/>
    </row>
    <row r="164" spans="1:7" ht="9.75" customHeight="1">
      <c r="A164" s="705"/>
      <c r="B164" s="705"/>
      <c r="C164" s="705"/>
      <c r="D164" s="705"/>
      <c r="E164" s="705"/>
      <c r="F164" s="705"/>
      <c r="G164" s="705"/>
    </row>
    <row r="165" spans="1:7" ht="9.75" customHeight="1">
      <c r="A165" s="705"/>
      <c r="B165" s="705"/>
      <c r="C165" s="705"/>
      <c r="D165" s="705"/>
      <c r="E165" s="705"/>
      <c r="F165" s="705"/>
      <c r="G165" s="705"/>
    </row>
    <row r="166" spans="1:7" ht="9.75" customHeight="1">
      <c r="A166" s="705"/>
      <c r="B166" s="705"/>
      <c r="C166" s="705"/>
      <c r="D166" s="705"/>
      <c r="E166" s="705"/>
      <c r="F166" s="705"/>
      <c r="G166" s="705"/>
    </row>
    <row r="167" spans="1:7" ht="9.75" customHeight="1">
      <c r="A167" s="705"/>
      <c r="B167" s="705"/>
      <c r="C167" s="705"/>
      <c r="D167" s="705"/>
      <c r="E167" s="705"/>
      <c r="F167" s="705"/>
      <c r="G167" s="705"/>
    </row>
    <row r="168" spans="1:7" ht="9.75" customHeight="1">
      <c r="A168" s="705"/>
      <c r="B168" s="705"/>
      <c r="C168" s="705"/>
      <c r="D168" s="705"/>
      <c r="E168" s="705"/>
      <c r="F168" s="705"/>
      <c r="G168" s="705"/>
    </row>
    <row r="169" spans="1:7" ht="9.75" customHeight="1">
      <c r="A169" s="705"/>
      <c r="B169" s="705"/>
      <c r="C169" s="705"/>
      <c r="D169" s="705"/>
      <c r="E169" s="705"/>
      <c r="F169" s="705"/>
      <c r="G169" s="705"/>
    </row>
    <row r="170" spans="1:7" ht="9.75" customHeight="1">
      <c r="A170" s="705"/>
      <c r="B170" s="705"/>
      <c r="C170" s="705"/>
      <c r="D170" s="705"/>
      <c r="E170" s="705"/>
      <c r="F170" s="705"/>
      <c r="G170" s="705"/>
    </row>
  </sheetData>
  <mergeCells count="5">
    <mergeCell ref="A2:A5"/>
    <mergeCell ref="B2:B5"/>
    <mergeCell ref="C2:F2"/>
    <mergeCell ref="C3:E3"/>
    <mergeCell ref="F3:F4"/>
  </mergeCells>
  <pageMargins left="0.7" right="0.46474358974358976" top="0.86956521739130432" bottom="0.61458333333333337" header="0.3" footer="0.3"/>
  <pageSetup orientation="portrait" r:id="rId1"/>
  <headerFooter>
    <oddHeader>&amp;R&amp;7Informe de la Operación Mensual - Agosto 2018
INFSGI-MES-08-2018
10/09/2018
Versión: 01</oddHeader>
    <oddFooter>&amp;L&amp;7COES, 2018&amp;C18&amp;R&amp;7Dirección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8F8B-1C83-4883-828A-C7183A3F3068}">
  <sheetPr>
    <tabColor theme="4"/>
  </sheetPr>
  <dimension ref="A1:M103"/>
  <sheetViews>
    <sheetView showGridLines="0" view="pageBreakPreview" zoomScaleNormal="100" zoomScaleSheetLayoutView="100" zoomScalePageLayoutView="160" workbookViewId="0">
      <selection activeCell="Q15" sqref="Q15"/>
    </sheetView>
  </sheetViews>
  <sheetFormatPr defaultRowHeight="11.25"/>
  <cols>
    <col min="1" max="1" width="22.83203125" style="50" customWidth="1"/>
    <col min="2" max="2" width="21.3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8" width="13" style="50" bestFit="1" customWidth="1"/>
    <col min="9" max="9" width="9.33203125" style="50"/>
    <col min="10" max="11" width="9.33203125" style="50" customWidth="1"/>
    <col min="12" max="13" width="9.33203125" style="50"/>
    <col min="14" max="16384" width="9.33203125" style="3"/>
  </cols>
  <sheetData>
    <row r="1" spans="1:12" s="50" customFormat="1" ht="17.25" customHeight="1">
      <c r="A1" s="982" t="s">
        <v>284</v>
      </c>
      <c r="B1" s="976" t="s">
        <v>57</v>
      </c>
      <c r="C1" s="978" t="str">
        <f>+'18. ANEXOI-1'!C2:F2</f>
        <v>ENERGÍA PRODUCIDA AGOSTO 2018</v>
      </c>
      <c r="D1" s="978"/>
      <c r="E1" s="978"/>
      <c r="F1" s="978"/>
      <c r="G1" s="823" t="s">
        <v>314</v>
      </c>
      <c r="H1" s="264"/>
      <c r="I1" s="264"/>
      <c r="J1" s="264"/>
      <c r="K1" s="264"/>
    </row>
    <row r="2" spans="1:12" s="50" customFormat="1" ht="11.25" customHeight="1">
      <c r="A2" s="982"/>
      <c r="B2" s="976"/>
      <c r="C2" s="979" t="s">
        <v>315</v>
      </c>
      <c r="D2" s="979"/>
      <c r="E2" s="979"/>
      <c r="F2" s="980" t="str">
        <f>"TOTAL 
"&amp;UPPER('1. Resumen'!Q4)</f>
        <v>TOTAL 
AGOSTO</v>
      </c>
      <c r="G2" s="824" t="s">
        <v>316</v>
      </c>
      <c r="H2" s="253"/>
      <c r="I2" s="253"/>
      <c r="J2" s="253"/>
      <c r="K2" s="253"/>
      <c r="L2" s="254"/>
    </row>
    <row r="3" spans="1:12" s="50" customFormat="1" ht="11.25" customHeight="1">
      <c r="A3" s="982"/>
      <c r="B3" s="976"/>
      <c r="C3" s="825" t="s">
        <v>238</v>
      </c>
      <c r="D3" s="825" t="s">
        <v>239</v>
      </c>
      <c r="E3" s="825" t="s">
        <v>317</v>
      </c>
      <c r="F3" s="981"/>
      <c r="G3" s="824">
        <v>2018</v>
      </c>
      <c r="H3" s="256"/>
      <c r="I3" s="255"/>
      <c r="J3" s="255"/>
      <c r="K3" s="255"/>
      <c r="L3" s="254"/>
    </row>
    <row r="4" spans="1:12" s="50" customFormat="1" ht="11.25" customHeight="1">
      <c r="A4" s="983"/>
      <c r="B4" s="984"/>
      <c r="C4" s="826" t="s">
        <v>318</v>
      </c>
      <c r="D4" s="826" t="s">
        <v>318</v>
      </c>
      <c r="E4" s="826" t="s">
        <v>318</v>
      </c>
      <c r="F4" s="826" t="s">
        <v>318</v>
      </c>
      <c r="G4" s="827" t="s">
        <v>222</v>
      </c>
      <c r="H4" s="256"/>
      <c r="I4" s="256"/>
      <c r="J4" s="256"/>
      <c r="K4" s="256"/>
      <c r="L4" s="12"/>
    </row>
    <row r="5" spans="1:12" ht="10.5" customHeight="1">
      <c r="A5" s="704" t="s">
        <v>92</v>
      </c>
      <c r="B5" s="700" t="s">
        <v>372</v>
      </c>
      <c r="C5" s="702">
        <v>17621.056604999998</v>
      </c>
      <c r="D5" s="702"/>
      <c r="E5" s="702"/>
      <c r="F5" s="702">
        <v>17621.056604999998</v>
      </c>
      <c r="G5" s="703">
        <v>363242.48813499999</v>
      </c>
    </row>
    <row r="6" spans="1:12" ht="10.5" customHeight="1">
      <c r="A6" s="704"/>
      <c r="B6" s="700" t="s">
        <v>373</v>
      </c>
      <c r="C6" s="702">
        <v>58400.572017500002</v>
      </c>
      <c r="D6" s="702"/>
      <c r="E6" s="702"/>
      <c r="F6" s="702">
        <v>58400.572017500002</v>
      </c>
      <c r="G6" s="703">
        <v>615238.2121474999</v>
      </c>
    </row>
    <row r="7" spans="1:12" ht="10.5" customHeight="1">
      <c r="A7" s="704"/>
      <c r="B7" s="700" t="s">
        <v>374</v>
      </c>
      <c r="C7" s="702"/>
      <c r="D7" s="702">
        <v>511931.7780625</v>
      </c>
      <c r="E7" s="702"/>
      <c r="F7" s="702">
        <v>511931.7780625</v>
      </c>
      <c r="G7" s="703">
        <v>1666964.5424899999</v>
      </c>
    </row>
    <row r="8" spans="1:12" ht="10.5" customHeight="1">
      <c r="A8" s="704"/>
      <c r="B8" s="700" t="s">
        <v>375</v>
      </c>
      <c r="C8" s="702"/>
      <c r="D8" s="702">
        <v>64012.368150000002</v>
      </c>
      <c r="E8" s="702"/>
      <c r="F8" s="702">
        <v>64012.368150000002</v>
      </c>
      <c r="G8" s="703">
        <v>146859.95325999998</v>
      </c>
    </row>
    <row r="9" spans="1:12" ht="10.5" customHeight="1">
      <c r="A9" s="704"/>
      <c r="B9" s="700" t="s">
        <v>376</v>
      </c>
      <c r="C9" s="702"/>
      <c r="D9" s="702">
        <v>5441.2924199999998</v>
      </c>
      <c r="E9" s="702"/>
      <c r="F9" s="702">
        <v>5441.2924199999998</v>
      </c>
      <c r="G9" s="703">
        <v>43120.710160000002</v>
      </c>
    </row>
    <row r="10" spans="1:12" ht="10.5" customHeight="1">
      <c r="A10" s="704"/>
      <c r="B10" s="700" t="s">
        <v>377</v>
      </c>
      <c r="C10" s="702"/>
      <c r="D10" s="702">
        <v>2857.3580924999997</v>
      </c>
      <c r="E10" s="702"/>
      <c r="F10" s="702">
        <v>2857.3580924999997</v>
      </c>
      <c r="G10" s="703">
        <v>12211.1556925</v>
      </c>
    </row>
    <row r="11" spans="1:12" ht="10.5" customHeight="1">
      <c r="A11" s="704"/>
      <c r="B11" s="700" t="s">
        <v>378</v>
      </c>
      <c r="C11" s="702"/>
      <c r="D11" s="702">
        <v>714.11483999999996</v>
      </c>
      <c r="E11" s="702"/>
      <c r="F11" s="702">
        <v>714.11483999999996</v>
      </c>
      <c r="G11" s="703">
        <v>2513.4800075000003</v>
      </c>
    </row>
    <row r="12" spans="1:12" ht="10.5" customHeight="1">
      <c r="A12" s="710"/>
      <c r="B12" s="700" t="s">
        <v>731</v>
      </c>
      <c r="C12" s="702"/>
      <c r="D12" s="702"/>
      <c r="E12" s="702">
        <v>8904.87752</v>
      </c>
      <c r="F12" s="702">
        <v>8904.87752</v>
      </c>
      <c r="G12" s="703">
        <v>43946.336337499997</v>
      </c>
    </row>
    <row r="13" spans="1:12" ht="10.5" customHeight="1">
      <c r="A13" s="862" t="s">
        <v>379</v>
      </c>
      <c r="B13" s="863"/>
      <c r="C13" s="865">
        <v>76021.628622499993</v>
      </c>
      <c r="D13" s="865">
        <v>584956.91156500007</v>
      </c>
      <c r="E13" s="865">
        <v>8904.87752</v>
      </c>
      <c r="F13" s="865">
        <v>669883.41770750005</v>
      </c>
      <c r="G13" s="866">
        <v>2894096.8782299994</v>
      </c>
    </row>
    <row r="14" spans="1:12" ht="10.5" customHeight="1">
      <c r="A14" s="704" t="s">
        <v>271</v>
      </c>
      <c r="B14" s="700" t="s">
        <v>380</v>
      </c>
      <c r="C14" s="702"/>
      <c r="D14" s="702">
        <v>388934.39438249997</v>
      </c>
      <c r="E14" s="702"/>
      <c r="F14" s="702">
        <v>388934.39438249997</v>
      </c>
      <c r="G14" s="703">
        <v>2329801.5546799996</v>
      </c>
    </row>
    <row r="15" spans="1:12" ht="10.5" customHeight="1">
      <c r="A15" s="862" t="s">
        <v>381</v>
      </c>
      <c r="B15" s="863"/>
      <c r="C15" s="865"/>
      <c r="D15" s="865">
        <v>388934.39438249997</v>
      </c>
      <c r="E15" s="865"/>
      <c r="F15" s="865">
        <v>388934.39438249997</v>
      </c>
      <c r="G15" s="866">
        <v>2329801.5546799996</v>
      </c>
    </row>
    <row r="16" spans="1:12" ht="10.5" customHeight="1">
      <c r="A16" s="704" t="s">
        <v>113</v>
      </c>
      <c r="B16" s="700" t="s">
        <v>69</v>
      </c>
      <c r="C16" s="702"/>
      <c r="D16" s="702"/>
      <c r="E16" s="702">
        <v>4953.1025</v>
      </c>
      <c r="F16" s="702">
        <v>4953.1025</v>
      </c>
      <c r="G16" s="703">
        <v>35640.259097499998</v>
      </c>
    </row>
    <row r="17" spans="1:7" ht="10.5" customHeight="1">
      <c r="A17" s="704"/>
      <c r="B17" s="700" t="s">
        <v>735</v>
      </c>
      <c r="C17" s="702"/>
      <c r="D17" s="702"/>
      <c r="E17" s="702">
        <v>3243.7150000000001</v>
      </c>
      <c r="F17" s="702">
        <v>3243.7150000000001</v>
      </c>
      <c r="G17" s="703">
        <v>3243.7150000000001</v>
      </c>
    </row>
    <row r="18" spans="1:7" ht="10.5" customHeight="1">
      <c r="A18" s="704"/>
      <c r="B18" s="700" t="s">
        <v>736</v>
      </c>
      <c r="C18" s="702"/>
      <c r="D18" s="702"/>
      <c r="E18" s="702">
        <v>5534.3850000000002</v>
      </c>
      <c r="F18" s="702">
        <v>5534.3850000000002</v>
      </c>
      <c r="G18" s="703">
        <v>5534.3850000000002</v>
      </c>
    </row>
    <row r="19" spans="1:7" ht="10.5" customHeight="1">
      <c r="A19" s="704"/>
      <c r="B19" s="700" t="s">
        <v>737</v>
      </c>
      <c r="C19" s="702"/>
      <c r="D19" s="702"/>
      <c r="E19" s="702">
        <v>4454.8074999999999</v>
      </c>
      <c r="F19" s="702">
        <v>4454.8074999999999</v>
      </c>
      <c r="G19" s="703">
        <v>4454.8074999999999</v>
      </c>
    </row>
    <row r="20" spans="1:7" ht="10.5" customHeight="1">
      <c r="A20" s="862" t="s">
        <v>382</v>
      </c>
      <c r="B20" s="863"/>
      <c r="C20" s="865"/>
      <c r="D20" s="865"/>
      <c r="E20" s="865">
        <v>18186.010000000002</v>
      </c>
      <c r="F20" s="865">
        <v>18186.010000000002</v>
      </c>
      <c r="G20" s="866">
        <v>48873.166597500007</v>
      </c>
    </row>
    <row r="21" spans="1:7" ht="10.5" customHeight="1">
      <c r="A21" s="704" t="s">
        <v>116</v>
      </c>
      <c r="B21" s="700" t="s">
        <v>263</v>
      </c>
      <c r="C21" s="702"/>
      <c r="D21" s="702"/>
      <c r="E21" s="702">
        <v>3851.1682999999998</v>
      </c>
      <c r="F21" s="702">
        <v>3851.1682999999998</v>
      </c>
      <c r="G21" s="703">
        <v>28093.971679999999</v>
      </c>
    </row>
    <row r="22" spans="1:7" ht="10.5" customHeight="1">
      <c r="A22" s="862" t="s">
        <v>383</v>
      </c>
      <c r="B22" s="863"/>
      <c r="C22" s="865"/>
      <c r="D22" s="865"/>
      <c r="E22" s="865">
        <v>3851.1682999999998</v>
      </c>
      <c r="F22" s="865">
        <v>3851.1682999999998</v>
      </c>
      <c r="G22" s="866">
        <v>28093.971679999999</v>
      </c>
    </row>
    <row r="23" spans="1:7" ht="10.5" customHeight="1">
      <c r="A23" s="704" t="s">
        <v>117</v>
      </c>
      <c r="B23" s="700" t="s">
        <v>87</v>
      </c>
      <c r="C23" s="702"/>
      <c r="D23" s="702"/>
      <c r="E23" s="702">
        <v>3813.6305425</v>
      </c>
      <c r="F23" s="702">
        <v>3813.6305425</v>
      </c>
      <c r="G23" s="703">
        <v>25501.6351225</v>
      </c>
    </row>
    <row r="24" spans="1:7" ht="10.5" customHeight="1">
      <c r="A24" s="862" t="s">
        <v>384</v>
      </c>
      <c r="B24" s="863"/>
      <c r="C24" s="865"/>
      <c r="D24" s="865"/>
      <c r="E24" s="865">
        <v>3813.6305425</v>
      </c>
      <c r="F24" s="865">
        <v>3813.6305425</v>
      </c>
      <c r="G24" s="866">
        <v>25501.6351225</v>
      </c>
    </row>
    <row r="25" spans="1:7" ht="10.5" customHeight="1">
      <c r="A25" s="704" t="s">
        <v>121</v>
      </c>
      <c r="B25" s="700" t="s">
        <v>77</v>
      </c>
      <c r="C25" s="702"/>
      <c r="D25" s="702"/>
      <c r="E25" s="702">
        <v>2339</v>
      </c>
      <c r="F25" s="702">
        <v>2339</v>
      </c>
      <c r="G25" s="703">
        <v>16347.699999999999</v>
      </c>
    </row>
    <row r="26" spans="1:7" ht="10.5" customHeight="1">
      <c r="A26" s="862" t="s">
        <v>385</v>
      </c>
      <c r="B26" s="863"/>
      <c r="C26" s="865"/>
      <c r="D26" s="865"/>
      <c r="E26" s="865">
        <v>2339</v>
      </c>
      <c r="F26" s="865">
        <v>2339</v>
      </c>
      <c r="G26" s="866">
        <v>16347.699999999999</v>
      </c>
    </row>
    <row r="27" spans="1:7" ht="10.5" customHeight="1">
      <c r="A27" s="704" t="s">
        <v>108</v>
      </c>
      <c r="B27" s="700" t="s">
        <v>386</v>
      </c>
      <c r="C27" s="702">
        <v>12694.129000000001</v>
      </c>
      <c r="D27" s="702"/>
      <c r="E27" s="702"/>
      <c r="F27" s="702">
        <v>12694.129000000001</v>
      </c>
      <c r="G27" s="703">
        <v>99587.433999999994</v>
      </c>
    </row>
    <row r="28" spans="1:7" ht="10.5" customHeight="1">
      <c r="A28" s="862" t="s">
        <v>387</v>
      </c>
      <c r="B28" s="863"/>
      <c r="C28" s="865">
        <v>12694.129000000001</v>
      </c>
      <c r="D28" s="865"/>
      <c r="E28" s="865"/>
      <c r="F28" s="865">
        <v>12694.129000000001</v>
      </c>
      <c r="G28" s="866">
        <v>99587.433999999994</v>
      </c>
    </row>
    <row r="29" spans="1:7" ht="10.5" customHeight="1">
      <c r="A29" s="704" t="s">
        <v>272</v>
      </c>
      <c r="B29" s="700" t="s">
        <v>62</v>
      </c>
      <c r="C29" s="702"/>
      <c r="D29" s="702"/>
      <c r="E29" s="702">
        <v>10955.6863025</v>
      </c>
      <c r="F29" s="702">
        <v>10955.6863025</v>
      </c>
      <c r="G29" s="703">
        <v>87444.844767500006</v>
      </c>
    </row>
    <row r="30" spans="1:7" ht="10.5" customHeight="1">
      <c r="A30" s="862" t="s">
        <v>389</v>
      </c>
      <c r="B30" s="863"/>
      <c r="C30" s="865"/>
      <c r="D30" s="865"/>
      <c r="E30" s="865">
        <v>10955.6863025</v>
      </c>
      <c r="F30" s="865">
        <v>10955.6863025</v>
      </c>
      <c r="G30" s="866">
        <v>87444.844767500006</v>
      </c>
    </row>
    <row r="31" spans="1:7" ht="10.5" customHeight="1">
      <c r="A31" s="704" t="s">
        <v>123</v>
      </c>
      <c r="B31" s="700" t="s">
        <v>390</v>
      </c>
      <c r="C31" s="702"/>
      <c r="D31" s="702">
        <v>0</v>
      </c>
      <c r="E31" s="702"/>
      <c r="F31" s="702">
        <v>0</v>
      </c>
      <c r="G31" s="703">
        <v>526.95110499999998</v>
      </c>
    </row>
    <row r="32" spans="1:7" ht="10.5" customHeight="1">
      <c r="A32" s="704"/>
      <c r="B32" s="700" t="s">
        <v>391</v>
      </c>
      <c r="C32" s="702"/>
      <c r="D32" s="702">
        <v>458.13150999999999</v>
      </c>
      <c r="E32" s="702"/>
      <c r="F32" s="702">
        <v>458.13150999999999</v>
      </c>
      <c r="G32" s="703">
        <v>4087.5368599999997</v>
      </c>
    </row>
    <row r="33" spans="1:8" ht="10.5" customHeight="1">
      <c r="A33" s="862" t="s">
        <v>392</v>
      </c>
      <c r="B33" s="863"/>
      <c r="C33" s="865"/>
      <c r="D33" s="865">
        <v>458.13150999999999</v>
      </c>
      <c r="E33" s="865"/>
      <c r="F33" s="865">
        <v>458.13150999999999</v>
      </c>
      <c r="G33" s="866">
        <v>4614.4879649999993</v>
      </c>
    </row>
    <row r="34" spans="1:8" ht="10.5" customHeight="1">
      <c r="A34" s="704" t="s">
        <v>598</v>
      </c>
      <c r="B34" s="700" t="s">
        <v>394</v>
      </c>
      <c r="C34" s="702"/>
      <c r="D34" s="702">
        <v>413402.398025</v>
      </c>
      <c r="E34" s="702"/>
      <c r="F34" s="702">
        <v>413402.398025</v>
      </c>
      <c r="G34" s="703">
        <v>2921660.766475</v>
      </c>
    </row>
    <row r="35" spans="1:8" ht="10.5" customHeight="1">
      <c r="A35" s="704"/>
      <c r="B35" s="700" t="s">
        <v>395</v>
      </c>
      <c r="C35" s="702"/>
      <c r="D35" s="702">
        <v>1459.6209624999999</v>
      </c>
      <c r="E35" s="702"/>
      <c r="F35" s="702">
        <v>1459.6209624999999</v>
      </c>
      <c r="G35" s="703">
        <v>289747.21817750001</v>
      </c>
    </row>
    <row r="36" spans="1:8" ht="10.5" customHeight="1">
      <c r="A36" s="704"/>
      <c r="B36" s="700" t="s">
        <v>725</v>
      </c>
      <c r="C36" s="702">
        <v>240767.55575249996</v>
      </c>
      <c r="D36" s="702"/>
      <c r="E36" s="702"/>
      <c r="F36" s="702">
        <v>240767.55575249996</v>
      </c>
      <c r="G36" s="703">
        <v>2402978.4872725001</v>
      </c>
    </row>
    <row r="37" spans="1:8" ht="10.5" customHeight="1">
      <c r="A37" s="704"/>
      <c r="B37" s="700" t="s">
        <v>396</v>
      </c>
      <c r="C37" s="702">
        <v>2002.3859474999999</v>
      </c>
      <c r="D37" s="702"/>
      <c r="E37" s="702"/>
      <c r="F37" s="702">
        <v>2002.3859474999999</v>
      </c>
      <c r="G37" s="703">
        <v>41266.356627499998</v>
      </c>
    </row>
    <row r="38" spans="1:8" ht="10.5" customHeight="1">
      <c r="A38" s="862" t="s">
        <v>397</v>
      </c>
      <c r="B38" s="863"/>
      <c r="C38" s="865">
        <v>242769.94169999997</v>
      </c>
      <c r="D38" s="865">
        <v>414862.01898749999</v>
      </c>
      <c r="E38" s="865"/>
      <c r="F38" s="865">
        <v>657631.96068749996</v>
      </c>
      <c r="G38" s="866">
        <v>5655652.8285524994</v>
      </c>
    </row>
    <row r="39" spans="1:8" ht="10.5" customHeight="1">
      <c r="A39" s="704" t="s">
        <v>728</v>
      </c>
      <c r="B39" s="700" t="s">
        <v>719</v>
      </c>
      <c r="C39" s="702">
        <v>47673.655862500003</v>
      </c>
      <c r="D39" s="702"/>
      <c r="E39" s="702"/>
      <c r="F39" s="702">
        <v>47673.655862500003</v>
      </c>
      <c r="G39" s="703">
        <v>466046.715455</v>
      </c>
    </row>
    <row r="40" spans="1:8" ht="10.5" customHeight="1">
      <c r="A40" s="862" t="s">
        <v>517</v>
      </c>
      <c r="B40" s="863"/>
      <c r="C40" s="865">
        <v>47673.655862500003</v>
      </c>
      <c r="D40" s="865"/>
      <c r="E40" s="865"/>
      <c r="F40" s="865">
        <v>47673.655862500003</v>
      </c>
      <c r="G40" s="866">
        <v>466046.715455</v>
      </c>
    </row>
    <row r="41" spans="1:8" ht="10.5" customHeight="1">
      <c r="A41" s="704" t="s">
        <v>122</v>
      </c>
      <c r="B41" s="700" t="s">
        <v>75</v>
      </c>
      <c r="C41" s="702"/>
      <c r="D41" s="702"/>
      <c r="E41" s="702">
        <v>1457.5312825000001</v>
      </c>
      <c r="F41" s="702">
        <v>1457.5312825000001</v>
      </c>
      <c r="G41" s="703">
        <v>17301.083082500001</v>
      </c>
    </row>
    <row r="42" spans="1:8" ht="10.5" customHeight="1">
      <c r="A42" s="862" t="s">
        <v>398</v>
      </c>
      <c r="B42" s="863"/>
      <c r="C42" s="865"/>
      <c r="D42" s="865"/>
      <c r="E42" s="865">
        <v>1457.5312825000001</v>
      </c>
      <c r="F42" s="865">
        <v>1457.5312825000001</v>
      </c>
      <c r="G42" s="866">
        <v>17301.083082500001</v>
      </c>
    </row>
    <row r="43" spans="1:8" ht="10.5" customHeight="1">
      <c r="A43" s="704" t="s">
        <v>115</v>
      </c>
      <c r="B43" s="700" t="s">
        <v>85</v>
      </c>
      <c r="C43" s="702"/>
      <c r="D43" s="702"/>
      <c r="E43" s="702">
        <v>4211.4220475000002</v>
      </c>
      <c r="F43" s="702">
        <v>4211.4220475000002</v>
      </c>
      <c r="G43" s="703">
        <v>29490.7175575</v>
      </c>
    </row>
    <row r="44" spans="1:8" ht="10.5" customHeight="1">
      <c r="A44" s="862" t="s">
        <v>399</v>
      </c>
      <c r="B44" s="863"/>
      <c r="C44" s="865"/>
      <c r="D44" s="865"/>
      <c r="E44" s="865">
        <v>4211.4220475000002</v>
      </c>
      <c r="F44" s="865">
        <v>4211.4220475000002</v>
      </c>
      <c r="G44" s="866">
        <v>29490.7175575</v>
      </c>
    </row>
    <row r="45" spans="1:8" ht="10.5" customHeight="1">
      <c r="A45" s="704" t="s">
        <v>273</v>
      </c>
      <c r="B45" s="700" t="s">
        <v>74</v>
      </c>
      <c r="C45" s="702"/>
      <c r="D45" s="702"/>
      <c r="E45" s="702">
        <v>842.538545</v>
      </c>
      <c r="F45" s="702">
        <v>842.538545</v>
      </c>
      <c r="G45" s="703">
        <v>21213.5775675</v>
      </c>
    </row>
    <row r="46" spans="1:8" ht="10.5" customHeight="1">
      <c r="A46" s="704"/>
      <c r="B46" s="700" t="s">
        <v>400</v>
      </c>
      <c r="C46" s="702">
        <v>51371.949475000001</v>
      </c>
      <c r="D46" s="702"/>
      <c r="E46" s="702"/>
      <c r="F46" s="702">
        <v>51371.949475000001</v>
      </c>
      <c r="G46" s="703">
        <v>1022697.2096500001</v>
      </c>
      <c r="H46" s="550"/>
    </row>
    <row r="47" spans="1:8" ht="10.5" customHeight="1">
      <c r="A47" s="704"/>
      <c r="B47" s="700" t="s">
        <v>401</v>
      </c>
      <c r="C47" s="702">
        <v>10742.449527500001</v>
      </c>
      <c r="D47" s="702"/>
      <c r="E47" s="702"/>
      <c r="F47" s="702">
        <v>10742.449527500001</v>
      </c>
      <c r="G47" s="703">
        <v>372521.26313500002</v>
      </c>
    </row>
    <row r="48" spans="1:8" ht="10.5" customHeight="1">
      <c r="A48" s="704"/>
      <c r="B48" s="700" t="s">
        <v>65</v>
      </c>
      <c r="C48" s="702"/>
      <c r="D48" s="702"/>
      <c r="E48" s="702">
        <v>6058.5698425</v>
      </c>
      <c r="F48" s="702">
        <v>6058.5698425</v>
      </c>
      <c r="G48" s="703">
        <v>46466.155844999994</v>
      </c>
    </row>
    <row r="49" spans="1:7" ht="10.5" customHeight="1">
      <c r="A49" s="862" t="s">
        <v>402</v>
      </c>
      <c r="B49" s="863"/>
      <c r="C49" s="865">
        <v>62114.399002500002</v>
      </c>
      <c r="D49" s="865"/>
      <c r="E49" s="865">
        <v>6901.1083875000004</v>
      </c>
      <c r="F49" s="865">
        <v>69015.507389999999</v>
      </c>
      <c r="G49" s="866">
        <v>1462898.2061975</v>
      </c>
    </row>
    <row r="50" spans="1:7" ht="10.5" customHeight="1">
      <c r="A50" s="704" t="s">
        <v>274</v>
      </c>
      <c r="B50" s="700" t="s">
        <v>82</v>
      </c>
      <c r="C50" s="702"/>
      <c r="D50" s="702"/>
      <c r="E50" s="702">
        <v>12986.8471525</v>
      </c>
      <c r="F50" s="702">
        <v>12986.8471525</v>
      </c>
      <c r="G50" s="703">
        <v>97218.732392500009</v>
      </c>
    </row>
    <row r="51" spans="1:7" ht="10.5" customHeight="1">
      <c r="A51" s="862" t="s">
        <v>403</v>
      </c>
      <c r="B51" s="863"/>
      <c r="C51" s="865"/>
      <c r="D51" s="865"/>
      <c r="E51" s="865">
        <v>12986.8471525</v>
      </c>
      <c r="F51" s="865">
        <v>12986.8471525</v>
      </c>
      <c r="G51" s="866">
        <v>97218.732392500009</v>
      </c>
    </row>
    <row r="52" spans="1:7" ht="10.5" customHeight="1">
      <c r="A52" s="704" t="s">
        <v>104</v>
      </c>
      <c r="B52" s="700" t="s">
        <v>79</v>
      </c>
      <c r="C52" s="702"/>
      <c r="D52" s="702"/>
      <c r="E52" s="702">
        <v>40436.329412500003</v>
      </c>
      <c r="F52" s="702">
        <v>40436.329412500003</v>
      </c>
      <c r="G52" s="703">
        <v>306171.28642500006</v>
      </c>
    </row>
    <row r="53" spans="1:7" ht="10.5" customHeight="1">
      <c r="A53" s="862" t="s">
        <v>404</v>
      </c>
      <c r="B53" s="863"/>
      <c r="C53" s="865"/>
      <c r="D53" s="865"/>
      <c r="E53" s="865">
        <v>40436.329412500003</v>
      </c>
      <c r="F53" s="865">
        <v>40436.329412500003</v>
      </c>
      <c r="G53" s="866">
        <v>306171.28642500006</v>
      </c>
    </row>
    <row r="54" spans="1:7" ht="10.5" customHeight="1">
      <c r="A54" s="704" t="s">
        <v>112</v>
      </c>
      <c r="B54" s="700" t="s">
        <v>262</v>
      </c>
      <c r="C54" s="702"/>
      <c r="D54" s="702"/>
      <c r="E54" s="702">
        <v>4518.3410000000003</v>
      </c>
      <c r="F54" s="702">
        <v>4518.3410000000003</v>
      </c>
      <c r="G54" s="703">
        <v>32031.809715000003</v>
      </c>
    </row>
    <row r="55" spans="1:7" ht="10.5" customHeight="1">
      <c r="A55" s="862" t="s">
        <v>405</v>
      </c>
      <c r="B55" s="863"/>
      <c r="C55" s="865"/>
      <c r="D55" s="865"/>
      <c r="E55" s="865">
        <v>4518.3410000000003</v>
      </c>
      <c r="F55" s="865">
        <v>4518.3410000000003</v>
      </c>
      <c r="G55" s="866">
        <v>32031.809715000003</v>
      </c>
    </row>
    <row r="56" spans="1:7" ht="10.5" customHeight="1">
      <c r="A56" s="704" t="s">
        <v>599</v>
      </c>
      <c r="B56" s="700" t="s">
        <v>726</v>
      </c>
      <c r="C56" s="702"/>
      <c r="D56" s="702"/>
      <c r="E56" s="702">
        <v>553.70792499999993</v>
      </c>
      <c r="F56" s="702">
        <v>553.70792499999993</v>
      </c>
      <c r="G56" s="703">
        <v>6400.6935474999991</v>
      </c>
    </row>
    <row r="57" spans="1:7" ht="10.5" customHeight="1">
      <c r="A57" s="704"/>
      <c r="B57" s="700" t="s">
        <v>89</v>
      </c>
      <c r="C57" s="702"/>
      <c r="D57" s="702"/>
      <c r="E57" s="702">
        <v>1992.17815</v>
      </c>
      <c r="F57" s="702">
        <v>1992.17815</v>
      </c>
      <c r="G57" s="703">
        <v>21857.434832499999</v>
      </c>
    </row>
    <row r="58" spans="1:7" ht="10.5" customHeight="1">
      <c r="A58" s="704"/>
      <c r="B58" s="700" t="s">
        <v>733</v>
      </c>
      <c r="C58" s="702"/>
      <c r="D58" s="702"/>
      <c r="E58" s="702">
        <v>134.93382500000001</v>
      </c>
      <c r="F58" s="702">
        <v>134.93382500000001</v>
      </c>
      <c r="G58" s="703">
        <v>227.63477500000002</v>
      </c>
    </row>
    <row r="59" spans="1:7" ht="10.5" customHeight="1">
      <c r="A59" s="862" t="s">
        <v>406</v>
      </c>
      <c r="B59" s="863"/>
      <c r="C59" s="865"/>
      <c r="D59" s="865"/>
      <c r="E59" s="865">
        <v>2680.8199</v>
      </c>
      <c r="F59" s="865">
        <v>2680.8199</v>
      </c>
      <c r="G59" s="866">
        <v>28485.763154999997</v>
      </c>
    </row>
    <row r="60" spans="1:7" ht="10.5" customHeight="1">
      <c r="A60" s="704" t="s">
        <v>275</v>
      </c>
      <c r="B60" s="700" t="s">
        <v>407</v>
      </c>
      <c r="C60" s="702"/>
      <c r="D60" s="702">
        <v>0</v>
      </c>
      <c r="E60" s="702"/>
      <c r="F60" s="702">
        <v>0</v>
      </c>
      <c r="G60" s="703">
        <v>697.08994750000011</v>
      </c>
    </row>
    <row r="61" spans="1:7" ht="10.5" customHeight="1">
      <c r="A61" s="862" t="s">
        <v>408</v>
      </c>
      <c r="B61" s="863"/>
      <c r="C61" s="865"/>
      <c r="D61" s="865">
        <v>0</v>
      </c>
      <c r="E61" s="865"/>
      <c r="F61" s="865">
        <v>0</v>
      </c>
      <c r="G61" s="866">
        <v>697.08994750000011</v>
      </c>
    </row>
    <row r="62" spans="1:7" ht="10.5" customHeight="1">
      <c r="A62" s="704" t="s">
        <v>109</v>
      </c>
      <c r="B62" s="700" t="s">
        <v>64</v>
      </c>
      <c r="C62" s="702"/>
      <c r="D62" s="702"/>
      <c r="E62" s="702">
        <v>1844.092965</v>
      </c>
      <c r="F62" s="702">
        <v>1844.092965</v>
      </c>
      <c r="G62" s="703">
        <v>76507.34904500001</v>
      </c>
    </row>
    <row r="63" spans="1:7" ht="10.5" customHeight="1">
      <c r="A63" s="862" t="s">
        <v>409</v>
      </c>
      <c r="B63" s="863"/>
      <c r="C63" s="865"/>
      <c r="D63" s="865"/>
      <c r="E63" s="865">
        <v>1844.092965</v>
      </c>
      <c r="F63" s="865">
        <v>1844.092965</v>
      </c>
      <c r="G63" s="866">
        <v>76507.34904500001</v>
      </c>
    </row>
    <row r="64" spans="1:7" ht="10.5" customHeight="1">
      <c r="A64" s="704" t="s">
        <v>276</v>
      </c>
      <c r="B64" s="700" t="s">
        <v>410</v>
      </c>
      <c r="C64" s="702"/>
      <c r="D64" s="702">
        <v>9629.6871350000001</v>
      </c>
      <c r="E64" s="702"/>
      <c r="F64" s="702">
        <v>9629.6871350000001</v>
      </c>
      <c r="G64" s="703">
        <v>41401.194897499998</v>
      </c>
    </row>
    <row r="65" spans="1:7" ht="10.5" customHeight="1">
      <c r="A65" s="862" t="s">
        <v>411</v>
      </c>
      <c r="B65" s="863"/>
      <c r="C65" s="865"/>
      <c r="D65" s="865">
        <v>9629.6871350000001</v>
      </c>
      <c r="E65" s="865"/>
      <c r="F65" s="865">
        <v>9629.6871350000001</v>
      </c>
      <c r="G65" s="866">
        <v>41401.194897499998</v>
      </c>
    </row>
    <row r="66" spans="1:7" ht="10.5" customHeight="1">
      <c r="A66" s="704" t="s">
        <v>100</v>
      </c>
      <c r="B66" s="700" t="s">
        <v>412</v>
      </c>
      <c r="C66" s="702">
        <v>55090.652457499993</v>
      </c>
      <c r="D66" s="702"/>
      <c r="E66" s="702"/>
      <c r="F66" s="702">
        <v>55090.652457499993</v>
      </c>
      <c r="G66" s="703">
        <v>536869.15968749998</v>
      </c>
    </row>
    <row r="67" spans="1:7" ht="10.5" customHeight="1">
      <c r="A67" s="862" t="s">
        <v>413</v>
      </c>
      <c r="B67" s="863"/>
      <c r="C67" s="865">
        <v>55090.652457499993</v>
      </c>
      <c r="D67" s="865"/>
      <c r="E67" s="865"/>
      <c r="F67" s="865">
        <v>55090.652457499993</v>
      </c>
      <c r="G67" s="866">
        <v>536869.15968749998</v>
      </c>
    </row>
    <row r="68" spans="1:7" ht="10.5" customHeight="1">
      <c r="A68" s="705"/>
      <c r="B68" s="705"/>
      <c r="C68" s="705"/>
      <c r="D68" s="705"/>
      <c r="E68" s="705"/>
      <c r="F68" s="705"/>
      <c r="G68" s="705"/>
    </row>
    <row r="69" spans="1:7" ht="10.5" customHeight="1">
      <c r="A69" s="705"/>
      <c r="B69" s="705"/>
      <c r="C69" s="705"/>
      <c r="D69" s="705"/>
      <c r="E69" s="705"/>
      <c r="F69" s="705"/>
      <c r="G69" s="705"/>
    </row>
    <row r="70" spans="1:7" ht="10.5" customHeight="1">
      <c r="A70" s="705"/>
      <c r="B70" s="705"/>
      <c r="C70" s="705"/>
      <c r="D70" s="705"/>
      <c r="E70" s="705"/>
      <c r="F70" s="705"/>
      <c r="G70" s="705"/>
    </row>
    <row r="71" spans="1:7" ht="10.5" customHeight="1">
      <c r="A71" s="705"/>
      <c r="B71" s="705"/>
      <c r="C71" s="705"/>
      <c r="D71" s="705"/>
      <c r="E71" s="705"/>
      <c r="F71" s="705"/>
      <c r="G71" s="705"/>
    </row>
    <row r="72" spans="1:7" ht="10.5" customHeight="1">
      <c r="A72" s="705"/>
      <c r="B72" s="705"/>
      <c r="C72" s="705"/>
      <c r="D72" s="705"/>
      <c r="E72" s="705"/>
      <c r="F72" s="705"/>
      <c r="G72" s="705"/>
    </row>
    <row r="73" spans="1:7" ht="10.5" customHeight="1">
      <c r="A73" s="705"/>
      <c r="B73" s="705"/>
      <c r="C73" s="705"/>
      <c r="D73" s="705"/>
      <c r="E73" s="705"/>
      <c r="F73" s="705"/>
      <c r="G73" s="705"/>
    </row>
    <row r="74" spans="1:7" ht="10.5" customHeight="1">
      <c r="A74" s="705"/>
      <c r="B74" s="705"/>
      <c r="C74" s="705"/>
      <c r="D74" s="705"/>
      <c r="E74" s="705"/>
      <c r="F74" s="705"/>
      <c r="G74" s="705"/>
    </row>
    <row r="75" spans="1:7" ht="10.5" customHeight="1">
      <c r="A75" s="705"/>
      <c r="B75" s="705"/>
      <c r="C75" s="705"/>
      <c r="D75" s="705"/>
      <c r="E75" s="705"/>
      <c r="F75" s="705"/>
      <c r="G75" s="705"/>
    </row>
    <row r="76" spans="1:7" ht="10.5" customHeight="1">
      <c r="A76" s="705"/>
      <c r="B76" s="705"/>
      <c r="C76" s="705"/>
      <c r="D76" s="705"/>
      <c r="E76" s="705"/>
      <c r="F76" s="705"/>
      <c r="G76" s="705"/>
    </row>
    <row r="77" spans="1:7" ht="10.5" customHeight="1">
      <c r="A77" s="705"/>
      <c r="B77" s="705"/>
      <c r="C77" s="705"/>
      <c r="D77" s="705"/>
      <c r="E77" s="705"/>
      <c r="F77" s="705"/>
      <c r="G77" s="705"/>
    </row>
    <row r="78" spans="1:7" ht="10.5" customHeight="1">
      <c r="A78" s="705"/>
      <c r="B78" s="705"/>
      <c r="C78" s="705"/>
      <c r="D78" s="705"/>
      <c r="E78" s="705"/>
      <c r="F78" s="705"/>
      <c r="G78" s="705"/>
    </row>
    <row r="79" spans="1:7" ht="10.5" customHeight="1">
      <c r="A79" s="705"/>
      <c r="B79" s="705"/>
      <c r="C79" s="705"/>
      <c r="D79" s="705"/>
      <c r="E79" s="705"/>
      <c r="F79" s="705"/>
      <c r="G79" s="705"/>
    </row>
    <row r="80" spans="1:7" ht="10.5" customHeight="1">
      <c r="A80" s="705"/>
      <c r="B80" s="705"/>
      <c r="C80" s="705"/>
      <c r="D80" s="705"/>
      <c r="E80" s="705"/>
      <c r="F80" s="705"/>
      <c r="G80" s="705"/>
    </row>
    <row r="81" spans="1:7" ht="10.5" customHeight="1">
      <c r="A81" s="705"/>
      <c r="B81" s="705"/>
      <c r="C81" s="705"/>
      <c r="D81" s="705"/>
      <c r="E81" s="705"/>
      <c r="F81" s="705"/>
      <c r="G81" s="705"/>
    </row>
    <row r="82" spans="1:7" ht="10.5" customHeight="1">
      <c r="A82" s="705"/>
      <c r="B82" s="705"/>
      <c r="C82" s="705"/>
      <c r="D82" s="705"/>
      <c r="E82" s="705"/>
      <c r="F82" s="705"/>
      <c r="G82" s="705"/>
    </row>
    <row r="83" spans="1:7" ht="10.5" customHeight="1">
      <c r="A83" s="705"/>
      <c r="B83" s="705"/>
      <c r="C83" s="705"/>
      <c r="D83" s="705"/>
      <c r="E83" s="705"/>
      <c r="F83" s="705"/>
      <c r="G83" s="705"/>
    </row>
    <row r="84" spans="1:7" ht="10.5" customHeight="1">
      <c r="A84" s="705"/>
      <c r="B84" s="705"/>
      <c r="C84" s="705"/>
      <c r="D84" s="705"/>
      <c r="E84" s="705"/>
      <c r="F84" s="705"/>
      <c r="G84" s="705"/>
    </row>
    <row r="85" spans="1:7" ht="10.5" customHeight="1">
      <c r="A85" s="705"/>
      <c r="B85" s="705"/>
      <c r="C85" s="705"/>
      <c r="D85" s="705"/>
      <c r="E85" s="705"/>
      <c r="F85" s="705"/>
      <c r="G85" s="705"/>
    </row>
    <row r="86" spans="1:7" ht="10.5" customHeight="1">
      <c r="A86" s="705"/>
      <c r="B86" s="705"/>
      <c r="C86" s="705"/>
      <c r="D86" s="705"/>
      <c r="E86" s="705"/>
      <c r="F86" s="705"/>
      <c r="G86" s="705"/>
    </row>
    <row r="87" spans="1:7" ht="10.5" customHeight="1">
      <c r="A87" s="705"/>
      <c r="B87" s="705"/>
      <c r="C87" s="705"/>
      <c r="D87" s="705"/>
      <c r="E87" s="705"/>
      <c r="F87" s="705"/>
      <c r="G87" s="705"/>
    </row>
    <row r="88" spans="1:7" ht="10.5" customHeight="1">
      <c r="A88" s="705"/>
      <c r="B88" s="705"/>
      <c r="C88" s="705"/>
      <c r="D88" s="705"/>
      <c r="E88" s="705"/>
      <c r="F88" s="705"/>
      <c r="G88" s="705"/>
    </row>
    <row r="89" spans="1:7" ht="10.5" customHeight="1">
      <c r="A89" s="705"/>
      <c r="B89" s="705"/>
      <c r="C89" s="705"/>
      <c r="D89" s="705"/>
      <c r="E89" s="705"/>
      <c r="F89" s="705"/>
      <c r="G89" s="705"/>
    </row>
    <row r="90" spans="1:7" ht="10.5" customHeight="1">
      <c r="A90" s="705"/>
      <c r="B90" s="705"/>
      <c r="C90" s="705"/>
      <c r="D90" s="705"/>
      <c r="E90" s="705"/>
      <c r="F90" s="705"/>
      <c r="G90" s="705"/>
    </row>
    <row r="91" spans="1:7" ht="10.5" customHeight="1">
      <c r="A91" s="705"/>
      <c r="B91" s="705"/>
      <c r="C91" s="705"/>
      <c r="D91" s="705"/>
      <c r="E91" s="705"/>
      <c r="F91" s="705"/>
      <c r="G91" s="705"/>
    </row>
    <row r="92" spans="1:7" ht="10.5" customHeight="1">
      <c r="A92" s="705"/>
      <c r="B92" s="705"/>
      <c r="C92" s="705"/>
      <c r="D92" s="705"/>
      <c r="E92" s="705"/>
      <c r="F92" s="705"/>
      <c r="G92" s="705"/>
    </row>
    <row r="93" spans="1:7" ht="10.5" customHeight="1">
      <c r="A93" s="705"/>
      <c r="B93" s="705"/>
      <c r="C93" s="705"/>
      <c r="D93" s="705"/>
      <c r="E93" s="705"/>
      <c r="F93" s="705"/>
      <c r="G93" s="705"/>
    </row>
    <row r="94" spans="1:7" ht="10.5" customHeight="1">
      <c r="A94" s="705"/>
      <c r="B94" s="705"/>
      <c r="C94" s="705"/>
      <c r="D94" s="705"/>
      <c r="E94" s="705"/>
      <c r="F94" s="705"/>
      <c r="G94" s="705"/>
    </row>
    <row r="95" spans="1:7" ht="10.5" customHeight="1">
      <c r="A95" s="705"/>
      <c r="B95" s="705"/>
      <c r="C95" s="705"/>
      <c r="D95" s="705"/>
      <c r="E95" s="705"/>
      <c r="F95" s="705"/>
      <c r="G95" s="705"/>
    </row>
    <row r="96" spans="1:7" ht="10.5" customHeight="1">
      <c r="A96" s="705"/>
      <c r="B96" s="705"/>
      <c r="C96" s="705"/>
      <c r="D96" s="705"/>
      <c r="E96" s="705"/>
      <c r="F96" s="705"/>
      <c r="G96" s="705"/>
    </row>
    <row r="97" spans="1:7" ht="10.5" customHeight="1">
      <c r="A97" s="705"/>
      <c r="B97" s="705"/>
      <c r="C97" s="705"/>
      <c r="D97" s="705"/>
      <c r="E97" s="705"/>
      <c r="F97" s="705"/>
      <c r="G97" s="705"/>
    </row>
    <row r="98" spans="1:7" ht="10.5" customHeight="1">
      <c r="A98" s="705"/>
      <c r="B98" s="705"/>
      <c r="C98" s="705"/>
      <c r="D98" s="705"/>
      <c r="E98" s="705"/>
      <c r="F98" s="705"/>
      <c r="G98" s="705"/>
    </row>
    <row r="99" spans="1:7" ht="10.5" customHeight="1">
      <c r="A99" s="705"/>
      <c r="B99" s="705"/>
      <c r="C99" s="705"/>
      <c r="D99" s="705"/>
      <c r="E99" s="705"/>
      <c r="F99" s="705"/>
      <c r="G99" s="705"/>
    </row>
    <row r="100" spans="1:7" ht="10.5" customHeight="1">
      <c r="A100" s="705"/>
      <c r="B100" s="705"/>
      <c r="C100" s="705"/>
      <c r="D100" s="705"/>
      <c r="E100" s="705"/>
      <c r="F100" s="705"/>
      <c r="G100" s="705"/>
    </row>
    <row r="101" spans="1:7" ht="10.5" customHeight="1">
      <c r="A101" s="705"/>
      <c r="B101" s="705"/>
      <c r="C101" s="705"/>
      <c r="D101" s="705"/>
      <c r="E101" s="705"/>
      <c r="F101" s="705"/>
      <c r="G101" s="705"/>
    </row>
    <row r="102" spans="1:7" ht="10.5" customHeight="1">
      <c r="A102" s="705"/>
      <c r="B102" s="705"/>
      <c r="C102" s="705"/>
      <c r="D102" s="705"/>
      <c r="E102" s="705"/>
      <c r="F102" s="705"/>
      <c r="G102" s="705"/>
    </row>
    <row r="103" spans="1:7" ht="10.5" customHeight="1">
      <c r="A103" s="705"/>
      <c r="B103" s="705"/>
      <c r="C103" s="705"/>
      <c r="D103" s="705"/>
      <c r="E103" s="705"/>
      <c r="F103" s="705"/>
      <c r="G103" s="705"/>
    </row>
  </sheetData>
  <mergeCells count="5">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Agosto 2018
INFSGI-MES-08-2018
10/09/2018
Versión: 01</oddHeader>
    <oddFooter>&amp;L&amp;7COES, 2018&amp;C19&amp;R&amp;7Dirección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E906-A71A-4080-BB8F-C09AEC63F946}">
  <sheetPr>
    <tabColor theme="4"/>
  </sheetPr>
  <dimension ref="A1:M60"/>
  <sheetViews>
    <sheetView showGridLines="0" view="pageBreakPreview" topLeftCell="A11" zoomScale="160" zoomScaleNormal="100" zoomScaleSheetLayoutView="160" zoomScalePageLayoutView="160" workbookViewId="0">
      <selection activeCell="Q15" sqref="Q15"/>
    </sheetView>
  </sheetViews>
  <sheetFormatPr defaultRowHeight="11.25"/>
  <cols>
    <col min="1" max="1" width="22.6640625" style="50" customWidth="1"/>
    <col min="2" max="2" width="20.83203125" style="50" customWidth="1"/>
    <col min="3" max="3" width="16.5" style="50" customWidth="1"/>
    <col min="4" max="4" width="18.5" style="50" customWidth="1"/>
    <col min="5" max="5" width="10.33203125" style="50" customWidth="1"/>
    <col min="6" max="6" width="12.5" style="50" customWidth="1"/>
    <col min="7" max="7" width="16.1640625" style="50" bestFit="1" customWidth="1"/>
    <col min="8" max="9" width="9.33203125" style="50"/>
    <col min="10" max="11" width="9.33203125" style="50" customWidth="1"/>
    <col min="12" max="13" width="9.33203125" style="50"/>
    <col min="14" max="16384" width="9.33203125" style="3"/>
  </cols>
  <sheetData>
    <row r="1" spans="1:13" ht="15.75" customHeight="1">
      <c r="A1" s="982" t="s">
        <v>284</v>
      </c>
      <c r="B1" s="976" t="s">
        <v>57</v>
      </c>
      <c r="C1" s="978" t="str">
        <f>+'19. ANEXOI-2'!C1:F1</f>
        <v>ENERGÍA PRODUCIDA AGOSTO 2018</v>
      </c>
      <c r="D1" s="978"/>
      <c r="E1" s="978"/>
      <c r="F1" s="978"/>
      <c r="G1" s="823" t="s">
        <v>314</v>
      </c>
      <c r="H1" s="264"/>
      <c r="I1" s="264"/>
      <c r="J1" s="264"/>
      <c r="K1" s="264"/>
    </row>
    <row r="2" spans="1:13" ht="11.25" customHeight="1">
      <c r="A2" s="982"/>
      <c r="B2" s="976"/>
      <c r="C2" s="979" t="s">
        <v>315</v>
      </c>
      <c r="D2" s="979"/>
      <c r="E2" s="979"/>
      <c r="F2" s="980" t="str">
        <f>"TOTAL 
"&amp;UPPER('1. Resumen'!Q4)</f>
        <v>TOTAL 
AGOSTO</v>
      </c>
      <c r="G2" s="824" t="s">
        <v>316</v>
      </c>
      <c r="H2" s="253"/>
      <c r="I2" s="253"/>
      <c r="J2" s="253"/>
      <c r="K2" s="253"/>
      <c r="L2" s="254"/>
    </row>
    <row r="3" spans="1:13" ht="11.25" customHeight="1">
      <c r="A3" s="982"/>
      <c r="B3" s="976"/>
      <c r="C3" s="825" t="s">
        <v>238</v>
      </c>
      <c r="D3" s="825" t="s">
        <v>239</v>
      </c>
      <c r="E3" s="825" t="s">
        <v>317</v>
      </c>
      <c r="F3" s="981"/>
      <c r="G3" s="824">
        <v>2018</v>
      </c>
      <c r="H3" s="256"/>
      <c r="I3" s="255"/>
      <c r="J3" s="255"/>
      <c r="K3" s="255"/>
      <c r="L3" s="254"/>
    </row>
    <row r="4" spans="1:13" ht="11.25" customHeight="1">
      <c r="A4" s="983"/>
      <c r="B4" s="984"/>
      <c r="C4" s="826" t="s">
        <v>318</v>
      </c>
      <c r="D4" s="826" t="s">
        <v>318</v>
      </c>
      <c r="E4" s="826" t="s">
        <v>318</v>
      </c>
      <c r="F4" s="826" t="s">
        <v>318</v>
      </c>
      <c r="G4" s="827" t="s">
        <v>222</v>
      </c>
      <c r="H4" s="256"/>
      <c r="I4" s="256"/>
      <c r="J4" s="256"/>
      <c r="K4" s="256"/>
      <c r="L4" s="12"/>
    </row>
    <row r="5" spans="1:13" s="509" customFormat="1" ht="9" customHeight="1">
      <c r="A5" s="704" t="s">
        <v>277</v>
      </c>
      <c r="B5" s="700" t="s">
        <v>68</v>
      </c>
      <c r="C5" s="702"/>
      <c r="D5" s="702"/>
      <c r="E5" s="702">
        <v>2909.4972950000001</v>
      </c>
      <c r="F5" s="702">
        <v>2909.4972950000001</v>
      </c>
      <c r="G5" s="703">
        <v>39313.510699999992</v>
      </c>
      <c r="H5" s="705"/>
      <c r="I5" s="705"/>
      <c r="J5" s="705"/>
      <c r="K5" s="705"/>
      <c r="L5" s="705"/>
      <c r="M5" s="705"/>
    </row>
    <row r="6" spans="1:13" s="509" customFormat="1" ht="9" customHeight="1">
      <c r="A6" s="704"/>
      <c r="B6" s="700" t="s">
        <v>67</v>
      </c>
      <c r="C6" s="702"/>
      <c r="D6" s="702"/>
      <c r="E6" s="702">
        <v>3139.8369825</v>
      </c>
      <c r="F6" s="702">
        <v>3139.8369825</v>
      </c>
      <c r="G6" s="703">
        <v>41420.822237500004</v>
      </c>
      <c r="H6" s="705"/>
      <c r="I6" s="705"/>
      <c r="J6" s="705"/>
      <c r="K6" s="705"/>
      <c r="L6" s="705"/>
      <c r="M6" s="705"/>
    </row>
    <row r="7" spans="1:13" s="509" customFormat="1" ht="9" customHeight="1">
      <c r="A7" s="704"/>
      <c r="B7" s="700" t="s">
        <v>71</v>
      </c>
      <c r="C7" s="702"/>
      <c r="D7" s="702"/>
      <c r="E7" s="702">
        <v>960.47411499999998</v>
      </c>
      <c r="F7" s="702">
        <v>960.47411499999998</v>
      </c>
      <c r="G7" s="703">
        <v>22086.978212500002</v>
      </c>
      <c r="H7" s="705"/>
      <c r="I7" s="705"/>
      <c r="J7" s="705"/>
      <c r="K7" s="705"/>
      <c r="L7" s="705"/>
      <c r="M7" s="705"/>
    </row>
    <row r="8" spans="1:13" s="509" customFormat="1" ht="9" customHeight="1">
      <c r="A8" s="704"/>
      <c r="B8" s="700" t="s">
        <v>70</v>
      </c>
      <c r="C8" s="702"/>
      <c r="D8" s="702"/>
      <c r="E8" s="702">
        <v>1175.2434825</v>
      </c>
      <c r="F8" s="702">
        <v>1175.2434825</v>
      </c>
      <c r="G8" s="703">
        <v>24443.873837500003</v>
      </c>
      <c r="H8" s="705"/>
      <c r="I8" s="705"/>
      <c r="J8" s="705"/>
      <c r="K8" s="705"/>
      <c r="L8" s="705"/>
      <c r="M8" s="705"/>
    </row>
    <row r="9" spans="1:13" s="509" customFormat="1" ht="9" customHeight="1">
      <c r="A9" s="862" t="s">
        <v>414</v>
      </c>
      <c r="B9" s="863"/>
      <c r="C9" s="865"/>
      <c r="D9" s="865"/>
      <c r="E9" s="865">
        <v>8185.0518750000001</v>
      </c>
      <c r="F9" s="865">
        <v>8185.0518750000001</v>
      </c>
      <c r="G9" s="866">
        <v>127265.18498750002</v>
      </c>
      <c r="H9" s="705"/>
      <c r="I9" s="705"/>
      <c r="J9" s="705"/>
      <c r="K9" s="705"/>
      <c r="L9" s="705"/>
      <c r="M9" s="705"/>
    </row>
    <row r="10" spans="1:13" s="509" customFormat="1" ht="9" customHeight="1">
      <c r="A10" s="704" t="s">
        <v>107</v>
      </c>
      <c r="B10" s="700" t="s">
        <v>415</v>
      </c>
      <c r="C10" s="702"/>
      <c r="D10" s="702">
        <v>20498.6713375</v>
      </c>
      <c r="E10" s="702"/>
      <c r="F10" s="702">
        <v>20498.6713375</v>
      </c>
      <c r="G10" s="703">
        <v>158796.81810250002</v>
      </c>
      <c r="H10" s="705"/>
      <c r="I10" s="705"/>
      <c r="J10" s="705"/>
      <c r="K10" s="705"/>
      <c r="L10" s="705"/>
      <c r="M10" s="705"/>
    </row>
    <row r="11" spans="1:13" s="509" customFormat="1" ht="9" customHeight="1">
      <c r="A11" s="862" t="s">
        <v>416</v>
      </c>
      <c r="B11" s="863"/>
      <c r="C11" s="865"/>
      <c r="D11" s="865">
        <v>20498.6713375</v>
      </c>
      <c r="E11" s="865"/>
      <c r="F11" s="865">
        <v>20498.6713375</v>
      </c>
      <c r="G11" s="866">
        <v>158796.81810250002</v>
      </c>
      <c r="H11" s="705"/>
      <c r="I11" s="705"/>
      <c r="J11" s="705"/>
      <c r="K11" s="705"/>
      <c r="L11" s="705"/>
      <c r="M11" s="705"/>
    </row>
    <row r="12" spans="1:13" s="509" customFormat="1" ht="9" customHeight="1">
      <c r="A12" s="704" t="s">
        <v>125</v>
      </c>
      <c r="B12" s="700" t="s">
        <v>417</v>
      </c>
      <c r="C12" s="702"/>
      <c r="D12" s="702">
        <v>729.00189499999999</v>
      </c>
      <c r="E12" s="702"/>
      <c r="F12" s="702">
        <v>729.00189499999999</v>
      </c>
      <c r="G12" s="703">
        <v>4612.6479449999997</v>
      </c>
      <c r="H12" s="705"/>
      <c r="I12" s="705"/>
      <c r="J12" s="705"/>
      <c r="K12" s="705"/>
      <c r="L12" s="705"/>
      <c r="M12" s="705"/>
    </row>
    <row r="13" spans="1:13" s="509" customFormat="1" ht="9" customHeight="1">
      <c r="A13" s="862" t="s">
        <v>418</v>
      </c>
      <c r="B13" s="863"/>
      <c r="C13" s="865"/>
      <c r="D13" s="865">
        <v>729.00189499999999</v>
      </c>
      <c r="E13" s="865"/>
      <c r="F13" s="865">
        <v>729.00189499999999</v>
      </c>
      <c r="G13" s="866">
        <v>4612.6479449999997</v>
      </c>
      <c r="H13" s="705"/>
      <c r="I13" s="705"/>
      <c r="J13" s="705"/>
      <c r="K13" s="705"/>
      <c r="L13" s="705"/>
      <c r="M13" s="705"/>
    </row>
    <row r="14" spans="1:13" s="509" customFormat="1" ht="9" customHeight="1">
      <c r="A14" s="704" t="s">
        <v>118</v>
      </c>
      <c r="B14" s="700" t="s">
        <v>72</v>
      </c>
      <c r="C14" s="702"/>
      <c r="D14" s="702"/>
      <c r="E14" s="702">
        <v>3219.5525324999999</v>
      </c>
      <c r="F14" s="702">
        <v>3219.5525324999999</v>
      </c>
      <c r="G14" s="703">
        <v>37078.211515000003</v>
      </c>
      <c r="H14" s="705"/>
      <c r="I14" s="705"/>
      <c r="J14" s="705"/>
      <c r="K14" s="705"/>
      <c r="L14" s="705"/>
      <c r="M14" s="705"/>
    </row>
    <row r="15" spans="1:13" s="509" customFormat="1" ht="9" customHeight="1">
      <c r="A15" s="862" t="s">
        <v>419</v>
      </c>
      <c r="B15" s="863"/>
      <c r="C15" s="865"/>
      <c r="D15" s="865"/>
      <c r="E15" s="865">
        <v>3219.5525324999999</v>
      </c>
      <c r="F15" s="865">
        <v>3219.5525324999999</v>
      </c>
      <c r="G15" s="866">
        <v>37078.211515000003</v>
      </c>
      <c r="H15" s="705"/>
      <c r="I15" s="705"/>
      <c r="J15" s="705"/>
      <c r="K15" s="705"/>
      <c r="L15" s="705"/>
      <c r="M15" s="705"/>
    </row>
    <row r="16" spans="1:13" s="509" customFormat="1" ht="9" customHeight="1">
      <c r="A16" s="704" t="s">
        <v>95</v>
      </c>
      <c r="B16" s="700" t="s">
        <v>420</v>
      </c>
      <c r="C16" s="702">
        <v>20273.819884999997</v>
      </c>
      <c r="D16" s="702"/>
      <c r="E16" s="702"/>
      <c r="F16" s="702">
        <v>20273.819884999997</v>
      </c>
      <c r="G16" s="703">
        <v>204828.74768249999</v>
      </c>
      <c r="H16" s="705"/>
      <c r="I16" s="705"/>
      <c r="J16" s="705"/>
      <c r="K16" s="705"/>
      <c r="L16" s="705"/>
      <c r="M16" s="705"/>
    </row>
    <row r="17" spans="1:13" s="509" customFormat="1" ht="9" customHeight="1">
      <c r="A17" s="704"/>
      <c r="B17" s="700" t="s">
        <v>421</v>
      </c>
      <c r="C17" s="702">
        <v>16431.001647500001</v>
      </c>
      <c r="D17" s="702"/>
      <c r="E17" s="702"/>
      <c r="F17" s="702">
        <v>16431.001647500001</v>
      </c>
      <c r="G17" s="703">
        <v>598478.75431250001</v>
      </c>
      <c r="H17" s="705"/>
      <c r="I17" s="705"/>
      <c r="J17" s="705"/>
      <c r="K17" s="705"/>
      <c r="L17" s="705"/>
      <c r="M17" s="705"/>
    </row>
    <row r="18" spans="1:13" s="509" customFormat="1" ht="9" customHeight="1">
      <c r="A18" s="704"/>
      <c r="B18" s="700" t="s">
        <v>422</v>
      </c>
      <c r="C18" s="702">
        <v>6609.1817149999997</v>
      </c>
      <c r="D18" s="702"/>
      <c r="E18" s="702"/>
      <c r="F18" s="702">
        <v>6609.1817149999997</v>
      </c>
      <c r="G18" s="703">
        <v>79941.827495000005</v>
      </c>
      <c r="H18" s="705"/>
      <c r="I18" s="705"/>
      <c r="J18" s="705"/>
      <c r="K18" s="705"/>
      <c r="L18" s="705"/>
      <c r="M18" s="705"/>
    </row>
    <row r="19" spans="1:13" s="509" customFormat="1" ht="9" customHeight="1">
      <c r="A19" s="704"/>
      <c r="B19" s="700" t="s">
        <v>423</v>
      </c>
      <c r="C19" s="702">
        <v>146.05500000000001</v>
      </c>
      <c r="D19" s="702"/>
      <c r="E19" s="702"/>
      <c r="F19" s="702">
        <v>146.05500000000001</v>
      </c>
      <c r="G19" s="703">
        <v>331.66162000000003</v>
      </c>
      <c r="H19" s="705"/>
      <c r="I19" s="705"/>
      <c r="J19" s="705"/>
      <c r="K19" s="705"/>
      <c r="L19" s="705"/>
      <c r="M19" s="705"/>
    </row>
    <row r="20" spans="1:13" s="509" customFormat="1" ht="9" customHeight="1">
      <c r="A20" s="704"/>
      <c r="B20" s="700" t="s">
        <v>424</v>
      </c>
      <c r="C20" s="702">
        <v>20262.0112825</v>
      </c>
      <c r="D20" s="702"/>
      <c r="E20" s="702"/>
      <c r="F20" s="702">
        <v>20262.0112825</v>
      </c>
      <c r="G20" s="703">
        <v>160325.02514750001</v>
      </c>
      <c r="H20" s="705"/>
      <c r="I20" s="705"/>
      <c r="J20" s="705"/>
      <c r="K20" s="705"/>
      <c r="L20" s="705"/>
      <c r="M20" s="705"/>
    </row>
    <row r="21" spans="1:13" s="509" customFormat="1" ht="9" customHeight="1">
      <c r="A21" s="704"/>
      <c r="B21" s="700" t="s">
        <v>425</v>
      </c>
      <c r="C21" s="702">
        <v>2128.6339200000002</v>
      </c>
      <c r="D21" s="702"/>
      <c r="E21" s="702"/>
      <c r="F21" s="702">
        <v>2128.6339200000002</v>
      </c>
      <c r="G21" s="703">
        <v>16966.067039999998</v>
      </c>
      <c r="H21" s="705"/>
      <c r="I21" s="705"/>
      <c r="J21" s="705"/>
      <c r="K21" s="705"/>
      <c r="L21" s="705"/>
      <c r="M21" s="705"/>
    </row>
    <row r="22" spans="1:13" s="509" customFormat="1" ht="9" customHeight="1">
      <c r="A22" s="704"/>
      <c r="B22" s="700" t="s">
        <v>426</v>
      </c>
      <c r="C22" s="702">
        <v>5209.84836</v>
      </c>
      <c r="D22" s="702"/>
      <c r="E22" s="702"/>
      <c r="F22" s="702">
        <v>5209.84836</v>
      </c>
      <c r="G22" s="703">
        <v>39742.693124999998</v>
      </c>
      <c r="H22" s="705"/>
      <c r="I22" s="705"/>
      <c r="J22" s="705"/>
      <c r="K22" s="705"/>
      <c r="L22" s="705"/>
      <c r="M22" s="705"/>
    </row>
    <row r="23" spans="1:13" s="509" customFormat="1" ht="9" customHeight="1">
      <c r="A23" s="704"/>
      <c r="B23" s="700" t="s">
        <v>427</v>
      </c>
      <c r="C23" s="702">
        <v>2921.9146675000002</v>
      </c>
      <c r="D23" s="702"/>
      <c r="E23" s="702"/>
      <c r="F23" s="702">
        <v>2921.9146675000002</v>
      </c>
      <c r="G23" s="703">
        <v>22861.090347500001</v>
      </c>
      <c r="H23" s="705"/>
      <c r="I23" s="705"/>
      <c r="J23" s="705"/>
      <c r="K23" s="705"/>
      <c r="L23" s="705"/>
      <c r="M23" s="705"/>
    </row>
    <row r="24" spans="1:13" s="509" customFormat="1" ht="9" customHeight="1">
      <c r="A24" s="704"/>
      <c r="B24" s="700" t="s">
        <v>428</v>
      </c>
      <c r="C24" s="702">
        <v>956.21573499999988</v>
      </c>
      <c r="D24" s="702"/>
      <c r="E24" s="702"/>
      <c r="F24" s="702">
        <v>956.21573499999988</v>
      </c>
      <c r="G24" s="703">
        <v>14269.156337499999</v>
      </c>
      <c r="H24" s="705"/>
      <c r="I24" s="705"/>
      <c r="J24" s="705"/>
      <c r="K24" s="705"/>
      <c r="L24" s="705"/>
      <c r="M24" s="705"/>
    </row>
    <row r="25" spans="1:13" s="509" customFormat="1" ht="9" customHeight="1">
      <c r="A25" s="704"/>
      <c r="B25" s="700" t="s">
        <v>429</v>
      </c>
      <c r="C25" s="702">
        <v>302.56489249999998</v>
      </c>
      <c r="D25" s="702"/>
      <c r="E25" s="702"/>
      <c r="F25" s="702">
        <v>302.56489249999998</v>
      </c>
      <c r="G25" s="703">
        <v>1031.2647200000001</v>
      </c>
      <c r="H25" s="705"/>
      <c r="I25" s="705"/>
      <c r="J25" s="705"/>
      <c r="K25" s="705"/>
      <c r="L25" s="705"/>
      <c r="M25" s="705"/>
    </row>
    <row r="26" spans="1:13" s="509" customFormat="1" ht="9" customHeight="1">
      <c r="A26" s="704"/>
      <c r="B26" s="700" t="s">
        <v>430</v>
      </c>
      <c r="C26" s="702">
        <v>236.2100475</v>
      </c>
      <c r="D26" s="702"/>
      <c r="E26" s="702"/>
      <c r="F26" s="702">
        <v>236.2100475</v>
      </c>
      <c r="G26" s="703">
        <v>1045.7814700000001</v>
      </c>
      <c r="H26" s="705"/>
      <c r="I26" s="705"/>
      <c r="J26" s="705"/>
      <c r="K26" s="705"/>
      <c r="L26" s="705"/>
      <c r="M26" s="705"/>
    </row>
    <row r="27" spans="1:13" s="509" customFormat="1" ht="9" customHeight="1">
      <c r="A27" s="704"/>
      <c r="B27" s="700" t="s">
        <v>431</v>
      </c>
      <c r="C27" s="702">
        <v>67450.973292499999</v>
      </c>
      <c r="D27" s="702"/>
      <c r="E27" s="702"/>
      <c r="F27" s="702">
        <v>67450.973292499999</v>
      </c>
      <c r="G27" s="703">
        <v>546554.43477749999</v>
      </c>
      <c r="H27" s="705"/>
      <c r="I27" s="705"/>
      <c r="J27" s="705"/>
      <c r="K27" s="705"/>
      <c r="L27" s="705"/>
      <c r="M27" s="705"/>
    </row>
    <row r="28" spans="1:13" s="509" customFormat="1" ht="9" customHeight="1">
      <c r="A28" s="862" t="s">
        <v>432</v>
      </c>
      <c r="B28" s="863"/>
      <c r="C28" s="865">
        <v>142928.43044500001</v>
      </c>
      <c r="D28" s="865"/>
      <c r="E28" s="865"/>
      <c r="F28" s="865">
        <v>142928.43044500001</v>
      </c>
      <c r="G28" s="866">
        <v>1686376.5040750005</v>
      </c>
      <c r="H28" s="705"/>
      <c r="I28" s="705"/>
      <c r="J28" s="705"/>
      <c r="K28" s="705"/>
      <c r="L28" s="705"/>
      <c r="M28" s="705"/>
    </row>
    <row r="29" spans="1:13" s="509" customFormat="1" ht="9" customHeight="1">
      <c r="A29" s="704" t="s">
        <v>114</v>
      </c>
      <c r="B29" s="700" t="s">
        <v>261</v>
      </c>
      <c r="C29" s="702"/>
      <c r="D29" s="702"/>
      <c r="E29" s="702">
        <v>3819.9425925</v>
      </c>
      <c r="F29" s="702">
        <v>3819.9425925</v>
      </c>
      <c r="G29" s="703">
        <v>30177.6227125</v>
      </c>
      <c r="H29" s="705"/>
      <c r="I29" s="705"/>
      <c r="J29" s="705"/>
      <c r="K29" s="705"/>
      <c r="L29" s="705"/>
      <c r="M29" s="705"/>
    </row>
    <row r="30" spans="1:13" s="509" customFormat="1" ht="9" customHeight="1">
      <c r="A30" s="862" t="s">
        <v>433</v>
      </c>
      <c r="B30" s="863"/>
      <c r="C30" s="865"/>
      <c r="D30" s="865"/>
      <c r="E30" s="865">
        <v>3819.9425925</v>
      </c>
      <c r="F30" s="865">
        <v>3819.9425925</v>
      </c>
      <c r="G30" s="866">
        <v>30177.6227125</v>
      </c>
      <c r="H30" s="705"/>
      <c r="I30" s="705"/>
      <c r="J30" s="705"/>
      <c r="K30" s="705"/>
      <c r="L30" s="705"/>
      <c r="M30" s="705"/>
    </row>
    <row r="31" spans="1:13" s="509" customFormat="1" ht="9" customHeight="1">
      <c r="A31" s="704" t="s">
        <v>105</v>
      </c>
      <c r="B31" s="700" t="s">
        <v>730</v>
      </c>
      <c r="C31" s="702"/>
      <c r="D31" s="702">
        <v>148130.96417250001</v>
      </c>
      <c r="E31" s="702"/>
      <c r="F31" s="702">
        <v>148130.96417250001</v>
      </c>
      <c r="G31" s="703">
        <v>971059.08820749982</v>
      </c>
      <c r="H31" s="705"/>
      <c r="I31" s="705"/>
      <c r="J31" s="705"/>
      <c r="K31" s="705"/>
      <c r="L31" s="705"/>
      <c r="M31" s="705"/>
    </row>
    <row r="32" spans="1:13" s="509" customFormat="1" ht="9" customHeight="1">
      <c r="A32" s="862" t="s">
        <v>434</v>
      </c>
      <c r="B32" s="863"/>
      <c r="C32" s="865"/>
      <c r="D32" s="865">
        <v>148130.96417250001</v>
      </c>
      <c r="E32" s="865"/>
      <c r="F32" s="865">
        <v>148130.96417250001</v>
      </c>
      <c r="G32" s="866">
        <v>971059.08820749982</v>
      </c>
      <c r="H32" s="705"/>
      <c r="I32" s="705"/>
      <c r="J32" s="705"/>
      <c r="K32" s="705"/>
      <c r="L32" s="705"/>
      <c r="M32" s="705"/>
    </row>
    <row r="33" spans="1:13" s="509" customFormat="1" ht="9" customHeight="1">
      <c r="A33" s="704" t="s">
        <v>110</v>
      </c>
      <c r="B33" s="700" t="s">
        <v>435</v>
      </c>
      <c r="C33" s="702"/>
      <c r="D33" s="702">
        <v>65572.510985000001</v>
      </c>
      <c r="E33" s="702"/>
      <c r="F33" s="702">
        <v>65572.510985000001</v>
      </c>
      <c r="G33" s="703">
        <v>240610.71660500002</v>
      </c>
      <c r="H33" s="705"/>
      <c r="I33" s="705"/>
      <c r="J33" s="705"/>
      <c r="K33" s="705"/>
      <c r="L33" s="705"/>
      <c r="M33" s="705"/>
    </row>
    <row r="34" spans="1:13" s="509" customFormat="1" ht="9" customHeight="1">
      <c r="A34" s="862" t="s">
        <v>436</v>
      </c>
      <c r="B34" s="863"/>
      <c r="C34" s="865"/>
      <c r="D34" s="865">
        <v>65572.510985000001</v>
      </c>
      <c r="E34" s="865"/>
      <c r="F34" s="865">
        <v>65572.510985000001</v>
      </c>
      <c r="G34" s="866">
        <v>240610.71660500002</v>
      </c>
      <c r="H34" s="705"/>
      <c r="I34" s="705"/>
      <c r="J34" s="705"/>
      <c r="K34" s="705"/>
      <c r="L34" s="705"/>
      <c r="M34" s="705"/>
    </row>
    <row r="35" spans="1:13" s="509" customFormat="1" ht="9" customHeight="1">
      <c r="A35" s="704" t="s">
        <v>512</v>
      </c>
      <c r="B35" s="700" t="s">
        <v>729</v>
      </c>
      <c r="C35" s="702"/>
      <c r="D35" s="702"/>
      <c r="E35" s="702">
        <v>14744.536529999999</v>
      </c>
      <c r="F35" s="702">
        <v>14744.536529999999</v>
      </c>
      <c r="G35" s="703">
        <v>78594.077290000001</v>
      </c>
      <c r="H35" s="705"/>
      <c r="I35" s="705"/>
      <c r="J35" s="705"/>
      <c r="K35" s="705"/>
      <c r="L35" s="705"/>
      <c r="M35" s="705"/>
    </row>
    <row r="36" spans="1:13" s="509" customFormat="1" ht="9" customHeight="1">
      <c r="A36" s="862" t="s">
        <v>514</v>
      </c>
      <c r="B36" s="863"/>
      <c r="C36" s="865"/>
      <c r="D36" s="865"/>
      <c r="E36" s="865">
        <v>14744.536529999999</v>
      </c>
      <c r="F36" s="865">
        <v>14744.536529999999</v>
      </c>
      <c r="G36" s="866">
        <v>78594.077290000001</v>
      </c>
      <c r="H36" s="705"/>
      <c r="I36" s="705"/>
      <c r="J36" s="705"/>
      <c r="K36" s="705"/>
      <c r="L36" s="705"/>
      <c r="M36" s="705"/>
    </row>
    <row r="37" spans="1:13" s="509" customFormat="1" ht="9" customHeight="1">
      <c r="A37" s="704" t="s">
        <v>590</v>
      </c>
      <c r="B37" s="700" t="s">
        <v>388</v>
      </c>
      <c r="C37" s="702">
        <v>9893.5111474999994</v>
      </c>
      <c r="D37" s="702"/>
      <c r="E37" s="702"/>
      <c r="F37" s="702">
        <v>9893.5111474999994</v>
      </c>
      <c r="G37" s="703">
        <v>103095.479635</v>
      </c>
      <c r="H37" s="705"/>
      <c r="I37" s="705"/>
      <c r="J37" s="705"/>
      <c r="K37" s="705"/>
      <c r="L37" s="705"/>
      <c r="M37" s="705"/>
    </row>
    <row r="38" spans="1:13" s="509" customFormat="1" ht="9" customHeight="1">
      <c r="A38" s="862" t="s">
        <v>537</v>
      </c>
      <c r="B38" s="863"/>
      <c r="C38" s="865">
        <v>9893.5111474999994</v>
      </c>
      <c r="D38" s="865"/>
      <c r="E38" s="865"/>
      <c r="F38" s="865">
        <v>9893.5111474999994</v>
      </c>
      <c r="G38" s="866">
        <v>103095.479635</v>
      </c>
      <c r="H38" s="705"/>
      <c r="I38" s="705"/>
      <c r="J38" s="705"/>
      <c r="K38" s="705"/>
      <c r="L38" s="705"/>
      <c r="M38" s="705"/>
    </row>
    <row r="39" spans="1:13" s="509" customFormat="1" ht="9" customHeight="1">
      <c r="A39" s="704" t="s">
        <v>713</v>
      </c>
      <c r="B39" s="700" t="s">
        <v>720</v>
      </c>
      <c r="C39" s="702">
        <v>265.12574999999998</v>
      </c>
      <c r="D39" s="702"/>
      <c r="E39" s="702"/>
      <c r="F39" s="702">
        <v>265.12574999999998</v>
      </c>
      <c r="G39" s="703">
        <v>265.12574999999998</v>
      </c>
      <c r="H39" s="705"/>
      <c r="I39" s="705"/>
      <c r="J39" s="705"/>
      <c r="K39" s="705"/>
      <c r="L39" s="705"/>
      <c r="M39" s="705"/>
    </row>
    <row r="40" spans="1:13" s="509" customFormat="1" ht="9" customHeight="1">
      <c r="A40" s="862" t="s">
        <v>721</v>
      </c>
      <c r="B40" s="863"/>
      <c r="C40" s="865">
        <v>265.12574999999998</v>
      </c>
      <c r="D40" s="865"/>
      <c r="E40" s="865"/>
      <c r="F40" s="865">
        <v>265.12574999999998</v>
      </c>
      <c r="G40" s="866">
        <v>265.12574999999998</v>
      </c>
      <c r="H40" s="705"/>
      <c r="I40" s="705"/>
      <c r="J40" s="705"/>
      <c r="K40" s="705"/>
      <c r="L40" s="705"/>
      <c r="M40" s="705"/>
    </row>
    <row r="42" spans="1:13">
      <c r="A42" s="828" t="s">
        <v>437</v>
      </c>
      <c r="B42" s="829"/>
      <c r="C42" s="830">
        <v>1886789.6248649997</v>
      </c>
      <c r="D42" s="830">
        <v>2038216.8900975001</v>
      </c>
      <c r="E42" s="830">
        <v>296867.16027750005</v>
      </c>
      <c r="F42" s="830">
        <v>4221873.6752400007</v>
      </c>
      <c r="G42" s="830">
        <v>33543342.882144999</v>
      </c>
    </row>
    <row r="43" spans="1:13">
      <c r="A43" s="831" t="s">
        <v>438</v>
      </c>
      <c r="B43" s="832"/>
      <c r="C43" s="833"/>
      <c r="D43" s="833"/>
      <c r="E43" s="834"/>
      <c r="F43" s="835">
        <f>+'4. Tipo Recurso'!D21*1000</f>
        <v>6740.8331799999996</v>
      </c>
      <c r="G43" s="835">
        <f>+'4. Tipo Recurso'!G21*1000</f>
        <v>14283.79191</v>
      </c>
    </row>
    <row r="44" spans="1:13">
      <c r="A44" s="836" t="s">
        <v>439</v>
      </c>
      <c r="B44" s="837"/>
      <c r="C44" s="838"/>
      <c r="D44" s="838"/>
      <c r="E44" s="839"/>
      <c r="F44" s="835">
        <v>0</v>
      </c>
      <c r="G44" s="835">
        <v>0</v>
      </c>
    </row>
    <row r="45" spans="1:13" ht="6.75" customHeight="1"/>
    <row r="46" spans="1:13" ht="23.25" customHeight="1">
      <c r="A46" s="985" t="s">
        <v>440</v>
      </c>
      <c r="B46" s="985"/>
      <c r="C46" s="985"/>
      <c r="D46" s="985"/>
      <c r="E46" s="985"/>
      <c r="F46" s="985"/>
      <c r="G46" s="985"/>
    </row>
    <row r="47" spans="1:13" ht="8.25" customHeight="1"/>
    <row r="48" spans="1:13">
      <c r="A48" s="705" t="s">
        <v>553</v>
      </c>
      <c r="B48" s="393"/>
      <c r="C48" s="393"/>
      <c r="D48" s="393"/>
      <c r="E48" s="393"/>
      <c r="F48" s="393"/>
    </row>
    <row r="49" spans="1:13" s="640" customFormat="1">
      <c r="A49" s="705" t="s">
        <v>582</v>
      </c>
      <c r="B49" s="393"/>
      <c r="C49" s="393"/>
      <c r="D49" s="393"/>
      <c r="E49" s="393"/>
      <c r="F49" s="393"/>
      <c r="G49" s="50"/>
      <c r="H49" s="50"/>
      <c r="I49" s="50"/>
      <c r="J49" s="50"/>
      <c r="K49" s="50"/>
      <c r="L49" s="50"/>
      <c r="M49" s="50"/>
    </row>
    <row r="50" spans="1:13">
      <c r="A50" s="705" t="s">
        <v>583</v>
      </c>
      <c r="B50" s="393"/>
      <c r="C50" s="393"/>
      <c r="D50" s="393"/>
      <c r="E50" s="393"/>
      <c r="F50" s="393"/>
    </row>
    <row r="51" spans="1:13">
      <c r="A51" s="705" t="s">
        <v>584</v>
      </c>
      <c r="B51" s="393"/>
      <c r="C51" s="393"/>
      <c r="D51" s="393"/>
      <c r="E51" s="393"/>
      <c r="F51" s="393"/>
    </row>
    <row r="52" spans="1:13">
      <c r="A52" s="705" t="s">
        <v>585</v>
      </c>
      <c r="B52" s="393"/>
      <c r="C52" s="393"/>
      <c r="D52" s="393"/>
      <c r="E52" s="393"/>
      <c r="F52" s="393"/>
    </row>
    <row r="53" spans="1:13">
      <c r="A53" s="705" t="s">
        <v>586</v>
      </c>
      <c r="B53" s="393"/>
      <c r="C53" s="393"/>
      <c r="D53" s="393"/>
      <c r="E53" s="393"/>
      <c r="F53" s="393"/>
    </row>
    <row r="54" spans="1:13">
      <c r="A54" s="705" t="s">
        <v>587</v>
      </c>
      <c r="B54" s="393"/>
      <c r="C54" s="393"/>
      <c r="D54" s="393"/>
      <c r="E54" s="393"/>
      <c r="F54" s="393"/>
    </row>
    <row r="55" spans="1:13">
      <c r="A55" s="705" t="s">
        <v>588</v>
      </c>
      <c r="B55" s="393"/>
      <c r="C55" s="393"/>
      <c r="D55" s="393"/>
      <c r="E55" s="393"/>
      <c r="F55" s="393"/>
    </row>
    <row r="56" spans="1:13">
      <c r="A56" s="705" t="s">
        <v>589</v>
      </c>
      <c r="B56" s="393"/>
      <c r="C56" s="393"/>
      <c r="D56" s="393"/>
      <c r="E56" s="393"/>
      <c r="F56" s="393"/>
    </row>
    <row r="57" spans="1:13">
      <c r="A57" s="705" t="s">
        <v>722</v>
      </c>
      <c r="B57" s="393"/>
      <c r="C57" s="393"/>
      <c r="D57" s="393"/>
      <c r="E57" s="393"/>
      <c r="F57" s="393"/>
    </row>
    <row r="58" spans="1:13">
      <c r="A58" s="705" t="s">
        <v>723</v>
      </c>
      <c r="B58" s="393"/>
      <c r="C58" s="393"/>
      <c r="D58" s="393"/>
      <c r="E58" s="393"/>
      <c r="F58" s="393"/>
    </row>
    <row r="59" spans="1:13">
      <c r="A59" s="705" t="s">
        <v>724</v>
      </c>
      <c r="B59" s="393"/>
      <c r="C59" s="393"/>
      <c r="D59" s="393"/>
      <c r="E59" s="393"/>
      <c r="F59" s="393"/>
    </row>
    <row r="60" spans="1:13">
      <c r="A60" s="3"/>
    </row>
  </sheetData>
  <mergeCells count="6">
    <mergeCell ref="A46:G46"/>
    <mergeCell ref="A1:A4"/>
    <mergeCell ref="B1:B4"/>
    <mergeCell ref="C1:F1"/>
    <mergeCell ref="C2:E2"/>
    <mergeCell ref="F2:F3"/>
  </mergeCells>
  <pageMargins left="0.7" right="0.46474358974358976" top="0.86956521739130432" bottom="0.61458333333333337" header="0.3" footer="0.3"/>
  <pageSetup orientation="portrait" r:id="rId1"/>
  <headerFooter>
    <oddHeader>&amp;R&amp;7Informe de la Operación Mensual - Agosto 2018
INFSGI-MES-08-2018
10/09/2018
Versión: 01</oddHeader>
    <oddFooter>&amp;L&amp;7COES, 2018&amp;C20&amp;R&amp;7Dirección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9D01E-3BDA-4B07-BE02-840EF177556E}">
  <sheetPr>
    <tabColor theme="4"/>
  </sheetPr>
  <dimension ref="A1:M180"/>
  <sheetViews>
    <sheetView showGridLines="0" view="pageBreakPreview" topLeftCell="A22" zoomScaleNormal="100" zoomScaleSheetLayoutView="100" zoomScalePageLayoutView="160" workbookViewId="0">
      <selection activeCell="Q15" sqref="Q15"/>
    </sheetView>
  </sheetViews>
  <sheetFormatPr defaultRowHeight="9"/>
  <cols>
    <col min="1" max="1" width="28.6640625" style="393" customWidth="1"/>
    <col min="2" max="2" width="22.1640625" style="393" customWidth="1"/>
    <col min="3" max="4" width="17.6640625" style="393" customWidth="1"/>
    <col min="5" max="5" width="15.1640625" style="393" customWidth="1"/>
    <col min="6" max="6" width="13.33203125" style="393" customWidth="1"/>
    <col min="7" max="9" width="9.33203125" style="393"/>
    <col min="10" max="11" width="9.33203125" style="393" customWidth="1"/>
    <col min="12" max="13" width="9.33203125" style="393"/>
    <col min="14" max="16384" width="9.33203125" style="394"/>
  </cols>
  <sheetData>
    <row r="1" spans="1:13" ht="11.25" customHeight="1">
      <c r="A1" s="392" t="s">
        <v>451</v>
      </c>
    </row>
    <row r="2" spans="1:13" s="509" customFormat="1" ht="11.25" customHeight="1">
      <c r="A2" s="986" t="s">
        <v>284</v>
      </c>
      <c r="B2" s="989" t="s">
        <v>57</v>
      </c>
      <c r="C2" s="989" t="s">
        <v>452</v>
      </c>
      <c r="D2" s="989"/>
      <c r="E2" s="989"/>
      <c r="F2" s="992"/>
      <c r="G2" s="711"/>
      <c r="H2" s="711"/>
      <c r="I2" s="711"/>
      <c r="J2" s="711"/>
      <c r="K2" s="711"/>
      <c r="L2" s="705"/>
      <c r="M2" s="705"/>
    </row>
    <row r="3" spans="1:13" s="509" customFormat="1" ht="11.25" customHeight="1">
      <c r="A3" s="987"/>
      <c r="B3" s="990"/>
      <c r="C3" s="840" t="str">
        <f>UPPER('1. Resumen'!Q4)&amp;" "&amp;'1. Resumen'!Q5</f>
        <v>AGOSTO 2018</v>
      </c>
      <c r="D3" s="841" t="str">
        <f>UPPER('1. Resumen'!Q4)&amp;" "&amp;'1. Resumen'!Q5-1</f>
        <v>AGOSTO 2017</v>
      </c>
      <c r="E3" s="842">
        <v>2018</v>
      </c>
      <c r="F3" s="843" t="s">
        <v>450</v>
      </c>
      <c r="G3" s="712"/>
      <c r="H3" s="712"/>
      <c r="I3" s="712"/>
      <c r="J3" s="712"/>
      <c r="K3" s="712"/>
      <c r="L3" s="713"/>
      <c r="M3" s="705"/>
    </row>
    <row r="4" spans="1:13" s="509" customFormat="1" ht="11.25" customHeight="1">
      <c r="A4" s="987"/>
      <c r="B4" s="990"/>
      <c r="C4" s="844">
        <f>+'8. Max Potencia'!D8</f>
        <v>43340.833333333336</v>
      </c>
      <c r="D4" s="844">
        <f>+'8. Max Potencia'!E8</f>
        <v>42971.791666666664</v>
      </c>
      <c r="E4" s="844">
        <f>+'8. Max Potencia'!G8</f>
        <v>43214.78125</v>
      </c>
      <c r="F4" s="845" t="s">
        <v>441</v>
      </c>
      <c r="G4" s="714"/>
      <c r="H4" s="714"/>
      <c r="I4" s="715"/>
      <c r="J4" s="715"/>
      <c r="K4" s="715"/>
      <c r="L4" s="713"/>
      <c r="M4" s="705"/>
    </row>
    <row r="5" spans="1:13" s="509" customFormat="1" ht="11.25" customHeight="1">
      <c r="A5" s="988"/>
      <c r="B5" s="991"/>
      <c r="C5" s="846">
        <f>+'8. Max Potencia'!D9</f>
        <v>43340.833333333336</v>
      </c>
      <c r="D5" s="846">
        <f>+'8. Max Potencia'!E9</f>
        <v>42971.791666666664</v>
      </c>
      <c r="E5" s="846">
        <f>+'8. Max Potencia'!G9</f>
        <v>43214.78125</v>
      </c>
      <c r="F5" s="847" t="s">
        <v>442</v>
      </c>
      <c r="G5" s="714"/>
      <c r="H5" s="714"/>
      <c r="I5" s="714"/>
      <c r="J5" s="714"/>
      <c r="K5" s="714"/>
      <c r="L5" s="716"/>
      <c r="M5" s="705"/>
    </row>
    <row r="6" spans="1:13" s="509" customFormat="1" ht="10.5" customHeight="1">
      <c r="A6" s="694" t="s">
        <v>127</v>
      </c>
      <c r="B6" s="717" t="s">
        <v>91</v>
      </c>
      <c r="C6" s="718">
        <v>0</v>
      </c>
      <c r="D6" s="718">
        <v>0</v>
      </c>
      <c r="E6" s="718">
        <v>0</v>
      </c>
      <c r="F6" s="719" t="str">
        <f>+IF(D6=0,"",C6/D6-1)</f>
        <v/>
      </c>
      <c r="G6" s="714"/>
      <c r="H6" s="714"/>
      <c r="I6" s="714"/>
      <c r="J6" s="714"/>
      <c r="K6" s="714"/>
      <c r="L6" s="720"/>
      <c r="M6" s="705"/>
    </row>
    <row r="7" spans="1:13" s="509" customFormat="1" ht="10.5" customHeight="1">
      <c r="A7" s="862" t="s">
        <v>319</v>
      </c>
      <c r="B7" s="863"/>
      <c r="C7" s="867">
        <v>0</v>
      </c>
      <c r="D7" s="867">
        <v>0</v>
      </c>
      <c r="E7" s="867">
        <v>0</v>
      </c>
      <c r="F7" s="868" t="str">
        <f t="shared" ref="F7:F65" si="0">+IF(D7=0,"",C7/D7-1)</f>
        <v/>
      </c>
      <c r="G7" s="714"/>
      <c r="H7" s="714"/>
      <c r="I7" s="714"/>
      <c r="J7" s="714"/>
      <c r="K7" s="714"/>
      <c r="L7" s="721"/>
      <c r="M7" s="705"/>
    </row>
    <row r="8" spans="1:13" s="509" customFormat="1" ht="10.5" customHeight="1">
      <c r="A8" s="694" t="s">
        <v>126</v>
      </c>
      <c r="B8" s="717" t="s">
        <v>66</v>
      </c>
      <c r="C8" s="718">
        <v>0</v>
      </c>
      <c r="D8" s="718">
        <v>3.8237000000000001</v>
      </c>
      <c r="E8" s="718">
        <v>19.946739999999998</v>
      </c>
      <c r="F8" s="731">
        <f t="shared" si="0"/>
        <v>-1</v>
      </c>
      <c r="G8" s="714"/>
      <c r="H8" s="714"/>
      <c r="I8" s="714"/>
      <c r="J8" s="714"/>
      <c r="K8" s="714"/>
      <c r="L8" s="725"/>
      <c r="M8" s="705"/>
    </row>
    <row r="9" spans="1:13" s="509" customFormat="1" ht="10.5" customHeight="1">
      <c r="A9" s="862" t="s">
        <v>320</v>
      </c>
      <c r="B9" s="863"/>
      <c r="C9" s="867">
        <v>0</v>
      </c>
      <c r="D9" s="867">
        <v>3.8237000000000001</v>
      </c>
      <c r="E9" s="867">
        <v>19.946739999999998</v>
      </c>
      <c r="F9" s="868">
        <f t="shared" si="0"/>
        <v>-1</v>
      </c>
      <c r="G9" s="714"/>
      <c r="H9" s="714"/>
      <c r="I9" s="714"/>
      <c r="J9" s="714"/>
      <c r="K9" s="714"/>
      <c r="L9" s="721"/>
      <c r="M9" s="705"/>
    </row>
    <row r="10" spans="1:13" s="509" customFormat="1" ht="10.5" customHeight="1">
      <c r="A10" s="704" t="s">
        <v>111</v>
      </c>
      <c r="B10" s="722" t="s">
        <v>88</v>
      </c>
      <c r="C10" s="723">
        <v>11.519170000000001</v>
      </c>
      <c r="D10" s="723">
        <v>12.036759999999999</v>
      </c>
      <c r="E10" s="723">
        <v>14.774369999999999</v>
      </c>
      <c r="F10" s="724">
        <f t="shared" si="0"/>
        <v>-4.3000774294743693E-2</v>
      </c>
      <c r="G10" s="714"/>
      <c r="H10" s="714"/>
      <c r="I10" s="714"/>
      <c r="J10" s="714"/>
      <c r="K10" s="714"/>
      <c r="L10" s="721"/>
      <c r="M10" s="705"/>
    </row>
    <row r="11" spans="1:13" s="509" customFormat="1" ht="10.5" customHeight="1">
      <c r="A11" s="862" t="s">
        <v>321</v>
      </c>
      <c r="B11" s="863"/>
      <c r="C11" s="867">
        <v>11.519170000000001</v>
      </c>
      <c r="D11" s="867">
        <v>12.036759999999999</v>
      </c>
      <c r="E11" s="867">
        <v>14.774369999999999</v>
      </c>
      <c r="F11" s="868">
        <f t="shared" si="0"/>
        <v>-4.3000774294743693E-2</v>
      </c>
      <c r="G11" s="714"/>
      <c r="H11" s="714"/>
      <c r="I11" s="714"/>
      <c r="J11" s="714"/>
      <c r="K11" s="714"/>
      <c r="L11" s="721"/>
      <c r="M11" s="705"/>
    </row>
    <row r="12" spans="1:13" s="509" customFormat="1" ht="10.5" customHeight="1">
      <c r="A12" s="704" t="s">
        <v>99</v>
      </c>
      <c r="B12" s="722" t="s">
        <v>322</v>
      </c>
      <c r="C12" s="723">
        <v>212.16512</v>
      </c>
      <c r="D12" s="723">
        <v>204.56214</v>
      </c>
      <c r="E12" s="723">
        <v>211.36326</v>
      </c>
      <c r="F12" s="724">
        <f t="shared" si="0"/>
        <v>3.7167092600810747E-2</v>
      </c>
      <c r="G12" s="714"/>
      <c r="H12" s="714"/>
      <c r="I12" s="714"/>
      <c r="J12" s="714"/>
      <c r="K12" s="714"/>
      <c r="L12" s="721"/>
      <c r="M12" s="705"/>
    </row>
    <row r="13" spans="1:13" s="509" customFormat="1" ht="10.5" customHeight="1">
      <c r="A13" s="862" t="s">
        <v>323</v>
      </c>
      <c r="B13" s="863"/>
      <c r="C13" s="867">
        <v>212.16512</v>
      </c>
      <c r="D13" s="867">
        <v>204.56214</v>
      </c>
      <c r="E13" s="867">
        <v>211.36326</v>
      </c>
      <c r="F13" s="868">
        <f t="shared" si="0"/>
        <v>3.7167092600810747E-2</v>
      </c>
      <c r="G13" s="714"/>
      <c r="H13" s="714"/>
      <c r="I13" s="714"/>
      <c r="J13" s="714"/>
      <c r="K13" s="714"/>
      <c r="L13" s="725"/>
      <c r="M13" s="705"/>
    </row>
    <row r="14" spans="1:13" s="509" customFormat="1" ht="10.5" customHeight="1">
      <c r="A14" s="704" t="s">
        <v>129</v>
      </c>
      <c r="B14" s="722" t="s">
        <v>395</v>
      </c>
      <c r="C14" s="723"/>
      <c r="D14" s="723">
        <v>160.85149999999999</v>
      </c>
      <c r="E14" s="723"/>
      <c r="F14" s="724">
        <f t="shared" si="0"/>
        <v>-1</v>
      </c>
      <c r="G14" s="714"/>
      <c r="H14" s="714"/>
      <c r="I14" s="714"/>
      <c r="J14" s="714"/>
      <c r="K14" s="714"/>
      <c r="L14" s="721"/>
      <c r="M14" s="705"/>
    </row>
    <row r="15" spans="1:13" s="509" customFormat="1" ht="10.5" customHeight="1">
      <c r="A15" s="704"/>
      <c r="B15" s="722" t="s">
        <v>393</v>
      </c>
      <c r="C15" s="723"/>
      <c r="D15" s="723">
        <v>298.28169000000003</v>
      </c>
      <c r="E15" s="723"/>
      <c r="F15" s="724">
        <f t="shared" si="0"/>
        <v>-1</v>
      </c>
      <c r="G15" s="714"/>
      <c r="H15" s="714"/>
      <c r="I15" s="714"/>
      <c r="J15" s="714"/>
      <c r="K15" s="714"/>
      <c r="L15" s="721"/>
      <c r="M15" s="705"/>
    </row>
    <row r="16" spans="1:13" s="509" customFormat="1" ht="10.5" customHeight="1">
      <c r="A16" s="862" t="s">
        <v>443</v>
      </c>
      <c r="B16" s="863"/>
      <c r="C16" s="867"/>
      <c r="D16" s="867">
        <v>459.13319000000001</v>
      </c>
      <c r="E16" s="867"/>
      <c r="F16" s="868">
        <f t="shared" si="0"/>
        <v>-1</v>
      </c>
      <c r="G16" s="714"/>
      <c r="H16" s="714"/>
      <c r="I16" s="714"/>
      <c r="J16" s="714"/>
      <c r="K16" s="714"/>
      <c r="L16" s="721"/>
      <c r="M16" s="705"/>
    </row>
    <row r="17" spans="1:13" s="509" customFormat="1" ht="10.5" customHeight="1">
      <c r="A17" s="704" t="s">
        <v>267</v>
      </c>
      <c r="B17" s="722" t="s">
        <v>324</v>
      </c>
      <c r="C17" s="723">
        <v>0</v>
      </c>
      <c r="D17" s="723">
        <v>0</v>
      </c>
      <c r="E17" s="723">
        <v>0</v>
      </c>
      <c r="F17" s="724" t="str">
        <f t="shared" si="0"/>
        <v/>
      </c>
      <c r="G17" s="714"/>
      <c r="H17" s="714"/>
      <c r="I17" s="714"/>
      <c r="J17" s="714"/>
      <c r="K17" s="714"/>
      <c r="L17" s="721"/>
      <c r="M17" s="705"/>
    </row>
    <row r="18" spans="1:13" s="509" customFormat="1" ht="10.5" customHeight="1">
      <c r="A18" s="862" t="s">
        <v>325</v>
      </c>
      <c r="B18" s="863"/>
      <c r="C18" s="867">
        <v>0</v>
      </c>
      <c r="D18" s="867">
        <v>0</v>
      </c>
      <c r="E18" s="867">
        <v>0</v>
      </c>
      <c r="F18" s="868" t="str">
        <f t="shared" si="0"/>
        <v/>
      </c>
      <c r="G18" s="714"/>
      <c r="H18" s="714"/>
      <c r="I18" s="714"/>
      <c r="J18" s="714"/>
      <c r="K18" s="714"/>
      <c r="L18" s="721"/>
      <c r="M18" s="705"/>
    </row>
    <row r="19" spans="1:13" s="509" customFormat="1" ht="10.5" customHeight="1">
      <c r="A19" s="704" t="s">
        <v>98</v>
      </c>
      <c r="B19" s="722" t="s">
        <v>326</v>
      </c>
      <c r="C19" s="723">
        <v>100.07717</v>
      </c>
      <c r="D19" s="723">
        <v>75.243819999999999</v>
      </c>
      <c r="E19" s="723">
        <v>150.04429999999999</v>
      </c>
      <c r="F19" s="724">
        <f t="shared" si="0"/>
        <v>0.33003840049588118</v>
      </c>
      <c r="G19" s="714"/>
      <c r="H19" s="714"/>
      <c r="I19" s="714"/>
      <c r="J19" s="714"/>
      <c r="K19" s="714"/>
      <c r="L19" s="721"/>
      <c r="M19" s="705"/>
    </row>
    <row r="20" spans="1:13" s="509" customFormat="1" ht="10.5" customHeight="1">
      <c r="A20" s="704"/>
      <c r="B20" s="722" t="s">
        <v>327</v>
      </c>
      <c r="C20" s="723">
        <v>16.67276</v>
      </c>
      <c r="D20" s="723">
        <v>9.45763</v>
      </c>
      <c r="E20" s="723">
        <v>42.428910000000002</v>
      </c>
      <c r="F20" s="724">
        <f t="shared" si="0"/>
        <v>0.76288985718409363</v>
      </c>
      <c r="G20" s="714"/>
      <c r="H20" s="714"/>
      <c r="I20" s="714"/>
      <c r="J20" s="714"/>
      <c r="K20" s="714"/>
      <c r="L20" s="721"/>
      <c r="M20" s="705"/>
    </row>
    <row r="21" spans="1:13" s="509" customFormat="1" ht="10.5" customHeight="1">
      <c r="A21" s="862" t="s">
        <v>328</v>
      </c>
      <c r="B21" s="863"/>
      <c r="C21" s="867">
        <v>116.74992999999999</v>
      </c>
      <c r="D21" s="867">
        <v>84.701449999999994</v>
      </c>
      <c r="E21" s="867">
        <v>192.47320999999999</v>
      </c>
      <c r="F21" s="868">
        <f t="shared" si="0"/>
        <v>0.37836990984215735</v>
      </c>
      <c r="G21" s="714"/>
      <c r="H21" s="714"/>
      <c r="I21" s="714"/>
      <c r="J21" s="714"/>
      <c r="K21" s="714"/>
      <c r="L21" s="726"/>
      <c r="M21" s="705"/>
    </row>
    <row r="22" spans="1:13" s="509" customFormat="1" ht="10.5" customHeight="1">
      <c r="A22" s="704" t="s">
        <v>602</v>
      </c>
      <c r="B22" s="722" t="s">
        <v>90</v>
      </c>
      <c r="C22" s="723"/>
      <c r="D22" s="723">
        <v>2.8996</v>
      </c>
      <c r="E22" s="723"/>
      <c r="F22" s="724">
        <f t="shared" si="0"/>
        <v>-1</v>
      </c>
      <c r="G22" s="714"/>
      <c r="H22" s="714"/>
      <c r="I22" s="714"/>
      <c r="J22" s="714"/>
      <c r="K22" s="714"/>
      <c r="L22" s="721"/>
      <c r="M22" s="705"/>
    </row>
    <row r="23" spans="1:13" s="509" customFormat="1" ht="10.5" customHeight="1">
      <c r="A23" s="862" t="s">
        <v>444</v>
      </c>
      <c r="B23" s="863"/>
      <c r="C23" s="867"/>
      <c r="D23" s="867">
        <v>2.8996</v>
      </c>
      <c r="E23" s="867"/>
      <c r="F23" s="868">
        <f t="shared" si="0"/>
        <v>-1</v>
      </c>
      <c r="G23" s="714"/>
      <c r="H23" s="714"/>
      <c r="I23" s="714"/>
      <c r="J23" s="714"/>
      <c r="K23" s="714"/>
      <c r="L23" s="721"/>
      <c r="M23" s="705"/>
    </row>
    <row r="24" spans="1:13" s="509" customFormat="1" ht="10.5" customHeight="1">
      <c r="A24" s="704" t="s">
        <v>96</v>
      </c>
      <c r="B24" s="722" t="s">
        <v>329</v>
      </c>
      <c r="C24" s="723">
        <v>1.6837299999999999</v>
      </c>
      <c r="D24" s="723">
        <v>1.6559699999999999</v>
      </c>
      <c r="E24" s="723">
        <v>1.6834100000000001</v>
      </c>
      <c r="F24" s="724">
        <f t="shared" si="0"/>
        <v>1.6763588712355837E-2</v>
      </c>
      <c r="G24" s="714"/>
      <c r="H24" s="714"/>
      <c r="I24" s="714"/>
      <c r="J24" s="714"/>
      <c r="K24" s="714"/>
      <c r="L24" s="721"/>
      <c r="M24" s="705"/>
    </row>
    <row r="25" spans="1:13" s="509" customFormat="1" ht="10.5" customHeight="1">
      <c r="A25" s="704"/>
      <c r="B25" s="722" t="s">
        <v>330</v>
      </c>
      <c r="C25" s="723">
        <v>0.57233999999999996</v>
      </c>
      <c r="D25" s="723">
        <v>0.57150000000000001</v>
      </c>
      <c r="E25" s="723">
        <v>0.57247000000000003</v>
      </c>
      <c r="F25" s="724">
        <f t="shared" si="0"/>
        <v>1.4698162729658293E-3</v>
      </c>
      <c r="G25" s="714"/>
      <c r="H25" s="714"/>
      <c r="I25" s="714"/>
      <c r="J25" s="714"/>
      <c r="K25" s="714"/>
      <c r="L25" s="726"/>
      <c r="M25" s="705"/>
    </row>
    <row r="26" spans="1:13" s="509" customFormat="1" ht="10.5" customHeight="1">
      <c r="A26" s="704"/>
      <c r="B26" s="722" t="s">
        <v>331</v>
      </c>
      <c r="C26" s="723">
        <v>4.55579</v>
      </c>
      <c r="D26" s="723">
        <v>4.5639400000000006</v>
      </c>
      <c r="E26" s="723">
        <v>4.5586400000000005</v>
      </c>
      <c r="F26" s="724">
        <f t="shared" si="0"/>
        <v>-1.7857377616709025E-3</v>
      </c>
      <c r="G26" s="714"/>
      <c r="H26" s="714"/>
      <c r="I26" s="714"/>
      <c r="J26" s="714"/>
      <c r="K26" s="714"/>
      <c r="L26" s="721"/>
      <c r="M26" s="705"/>
    </row>
    <row r="27" spans="1:13" s="509" customFormat="1" ht="10.5" customHeight="1">
      <c r="A27" s="704"/>
      <c r="B27" s="722" t="s">
        <v>332</v>
      </c>
      <c r="C27" s="723">
        <v>13.76436</v>
      </c>
      <c r="D27" s="723">
        <v>14.34637</v>
      </c>
      <c r="E27" s="723">
        <v>14.91696</v>
      </c>
      <c r="F27" s="724">
        <f t="shared" si="0"/>
        <v>-4.0568450416377133E-2</v>
      </c>
      <c r="G27" s="714"/>
      <c r="H27" s="714"/>
      <c r="I27" s="714"/>
      <c r="J27" s="714"/>
      <c r="K27" s="714"/>
      <c r="L27" s="721"/>
      <c r="M27" s="705"/>
    </row>
    <row r="28" spans="1:13" s="509" customFormat="1" ht="10.5" customHeight="1">
      <c r="A28" s="704"/>
      <c r="B28" s="722" t="s">
        <v>333</v>
      </c>
      <c r="C28" s="723">
        <v>94.597340000000003</v>
      </c>
      <c r="D28" s="723">
        <v>137.04977</v>
      </c>
      <c r="E28" s="723">
        <v>100.06004999999999</v>
      </c>
      <c r="F28" s="724">
        <f t="shared" si="0"/>
        <v>-0.30975922104794484</v>
      </c>
      <c r="G28" s="714"/>
      <c r="H28" s="714"/>
      <c r="I28" s="714"/>
      <c r="J28" s="714"/>
      <c r="K28" s="714"/>
      <c r="L28" s="721"/>
      <c r="M28" s="705"/>
    </row>
    <row r="29" spans="1:13" s="509" customFormat="1" ht="10.5" customHeight="1">
      <c r="A29" s="704"/>
      <c r="B29" s="722" t="s">
        <v>334</v>
      </c>
      <c r="C29" s="723">
        <v>7.6446300000000003</v>
      </c>
      <c r="D29" s="723">
        <v>8.5511099999999995</v>
      </c>
      <c r="E29" s="723">
        <v>8.8026300000000006</v>
      </c>
      <c r="F29" s="724">
        <f t="shared" si="0"/>
        <v>-0.10600729028161249</v>
      </c>
      <c r="G29" s="714"/>
      <c r="H29" s="714"/>
      <c r="I29" s="714"/>
      <c r="J29" s="714"/>
      <c r="K29" s="714"/>
      <c r="L29" s="721"/>
      <c r="M29" s="705"/>
    </row>
    <row r="30" spans="1:13" s="509" customFormat="1" ht="10.5" customHeight="1">
      <c r="A30" s="704"/>
      <c r="B30" s="722" t="s">
        <v>335</v>
      </c>
      <c r="C30" s="723">
        <v>0</v>
      </c>
      <c r="D30" s="723">
        <v>9.9047699999999992</v>
      </c>
      <c r="E30" s="723">
        <v>0</v>
      </c>
      <c r="F30" s="724">
        <f t="shared" si="0"/>
        <v>-1</v>
      </c>
      <c r="G30" s="714"/>
      <c r="H30" s="714"/>
      <c r="I30" s="714"/>
      <c r="J30" s="714"/>
      <c r="K30" s="714"/>
      <c r="L30" s="721"/>
      <c r="M30" s="705"/>
    </row>
    <row r="31" spans="1:13" s="509" customFormat="1" ht="10.5" customHeight="1">
      <c r="A31" s="704"/>
      <c r="B31" s="722" t="s">
        <v>336</v>
      </c>
      <c r="C31" s="723">
        <v>0</v>
      </c>
      <c r="D31" s="723">
        <v>0</v>
      </c>
      <c r="E31" s="723">
        <v>0</v>
      </c>
      <c r="F31" s="724" t="str">
        <f t="shared" si="0"/>
        <v/>
      </c>
      <c r="G31" s="714"/>
      <c r="H31" s="714"/>
      <c r="I31" s="714"/>
      <c r="J31" s="714"/>
      <c r="K31" s="727"/>
      <c r="L31" s="721"/>
      <c r="M31" s="705"/>
    </row>
    <row r="32" spans="1:13" s="509" customFormat="1" ht="10.5" customHeight="1">
      <c r="A32" s="704"/>
      <c r="B32" s="722" t="s">
        <v>337</v>
      </c>
      <c r="C32" s="723">
        <v>0</v>
      </c>
      <c r="D32" s="723">
        <v>70.865919999999988</v>
      </c>
      <c r="E32" s="723">
        <v>13.699870000000001</v>
      </c>
      <c r="F32" s="724">
        <f t="shared" si="0"/>
        <v>-1</v>
      </c>
      <c r="G32" s="714"/>
      <c r="H32" s="714"/>
      <c r="I32" s="714"/>
      <c r="J32" s="714"/>
      <c r="K32" s="727"/>
      <c r="L32" s="721"/>
      <c r="M32" s="705"/>
    </row>
    <row r="33" spans="1:13" s="509" customFormat="1" ht="10.5" customHeight="1">
      <c r="A33" s="862" t="s">
        <v>338</v>
      </c>
      <c r="B33" s="863"/>
      <c r="C33" s="867">
        <v>122.81819000000002</v>
      </c>
      <c r="D33" s="867">
        <v>247.50934999999996</v>
      </c>
      <c r="E33" s="867">
        <v>144.29402999999999</v>
      </c>
      <c r="F33" s="868">
        <f t="shared" si="0"/>
        <v>-0.5037836348404614</v>
      </c>
      <c r="G33" s="714"/>
      <c r="H33" s="714"/>
      <c r="I33" s="714"/>
      <c r="J33" s="714"/>
      <c r="K33" s="727"/>
      <c r="L33" s="721"/>
      <c r="M33" s="705"/>
    </row>
    <row r="34" spans="1:13" s="509" customFormat="1" ht="10.5" customHeight="1">
      <c r="A34" s="704" t="s">
        <v>119</v>
      </c>
      <c r="B34" s="722" t="s">
        <v>73</v>
      </c>
      <c r="C34" s="723">
        <v>5.0074300000000003</v>
      </c>
      <c r="D34" s="723">
        <v>4.9800000000000004</v>
      </c>
      <c r="E34" s="723">
        <v>4.55</v>
      </c>
      <c r="F34" s="724">
        <f t="shared" si="0"/>
        <v>5.5080321285139178E-3</v>
      </c>
      <c r="G34" s="714"/>
      <c r="H34" s="714"/>
      <c r="I34" s="714"/>
      <c r="J34" s="714"/>
      <c r="K34" s="727"/>
      <c r="L34" s="721"/>
      <c r="M34" s="705"/>
    </row>
    <row r="35" spans="1:13" s="509" customFormat="1" ht="10.5" customHeight="1">
      <c r="A35" s="862" t="s">
        <v>339</v>
      </c>
      <c r="B35" s="863"/>
      <c r="C35" s="867">
        <v>5.0074300000000003</v>
      </c>
      <c r="D35" s="867">
        <v>4.9800000000000004</v>
      </c>
      <c r="E35" s="867">
        <v>4.55</v>
      </c>
      <c r="F35" s="868">
        <f t="shared" si="0"/>
        <v>5.5080321285139178E-3</v>
      </c>
      <c r="G35" s="714"/>
      <c r="H35" s="714"/>
      <c r="I35" s="714"/>
      <c r="J35" s="714"/>
      <c r="K35" s="727"/>
      <c r="L35" s="721"/>
      <c r="M35" s="705"/>
    </row>
    <row r="36" spans="1:13" s="509" customFormat="1" ht="10.5" customHeight="1">
      <c r="A36" s="704" t="s">
        <v>97</v>
      </c>
      <c r="B36" s="722" t="s">
        <v>340</v>
      </c>
      <c r="C36" s="723">
        <v>104.36085</v>
      </c>
      <c r="D36" s="723">
        <v>88.402209999999997</v>
      </c>
      <c r="E36" s="723">
        <v>163.94774999999998</v>
      </c>
      <c r="F36" s="724">
        <f t="shared" si="0"/>
        <v>0.18052308873273648</v>
      </c>
      <c r="G36" s="714"/>
      <c r="H36" s="714"/>
      <c r="I36" s="714"/>
      <c r="J36" s="714"/>
      <c r="K36" s="727"/>
      <c r="L36" s="721"/>
      <c r="M36" s="705"/>
    </row>
    <row r="37" spans="1:13" s="509" customFormat="1" ht="10.5" customHeight="1">
      <c r="A37" s="862" t="s">
        <v>341</v>
      </c>
      <c r="B37" s="863"/>
      <c r="C37" s="867">
        <v>104.36085</v>
      </c>
      <c r="D37" s="867">
        <v>88.402209999999997</v>
      </c>
      <c r="E37" s="867">
        <v>163.94774999999998</v>
      </c>
      <c r="F37" s="868">
        <f t="shared" si="0"/>
        <v>0.18052308873273648</v>
      </c>
      <c r="G37" s="714"/>
      <c r="H37" s="714"/>
      <c r="I37" s="714"/>
      <c r="J37" s="714"/>
      <c r="K37" s="727"/>
      <c r="L37" s="721"/>
      <c r="M37" s="705"/>
    </row>
    <row r="38" spans="1:13" s="509" customFormat="1" ht="10.5" customHeight="1">
      <c r="A38" s="704" t="s">
        <v>106</v>
      </c>
      <c r="B38" s="722" t="s">
        <v>342</v>
      </c>
      <c r="C38" s="723">
        <v>14.82</v>
      </c>
      <c r="D38" s="723">
        <v>17.777999999999999</v>
      </c>
      <c r="E38" s="723">
        <v>15.852</v>
      </c>
      <c r="F38" s="724">
        <f t="shared" si="0"/>
        <v>-0.16638542018224767</v>
      </c>
      <c r="G38" s="714"/>
      <c r="H38" s="714"/>
      <c r="I38" s="714"/>
      <c r="J38" s="714"/>
      <c r="K38" s="727"/>
      <c r="L38" s="728"/>
      <c r="M38" s="705"/>
    </row>
    <row r="39" spans="1:13" s="509" customFormat="1" ht="10.5" customHeight="1">
      <c r="A39" s="704"/>
      <c r="B39" s="722" t="s">
        <v>343</v>
      </c>
      <c r="C39" s="723">
        <v>8.7539999999999996</v>
      </c>
      <c r="D39" s="723">
        <v>10.704000000000001</v>
      </c>
      <c r="E39" s="723">
        <v>9.5280000000000005</v>
      </c>
      <c r="F39" s="724">
        <f t="shared" si="0"/>
        <v>-0.18217488789237679</v>
      </c>
      <c r="G39" s="714"/>
      <c r="H39" s="714"/>
      <c r="I39" s="714"/>
      <c r="J39" s="714"/>
      <c r="K39" s="727"/>
      <c r="L39" s="721"/>
      <c r="M39" s="705"/>
    </row>
    <row r="40" spans="1:13" s="509" customFormat="1" ht="10.5" customHeight="1">
      <c r="A40" s="704"/>
      <c r="B40" s="722" t="s">
        <v>344</v>
      </c>
      <c r="C40" s="723">
        <v>21.053460000000001</v>
      </c>
      <c r="D40" s="723">
        <v>16.431539999999998</v>
      </c>
      <c r="E40" s="723">
        <v>21.15654</v>
      </c>
      <c r="F40" s="724">
        <f t="shared" si="0"/>
        <v>0.28128343417598134</v>
      </c>
      <c r="G40" s="714"/>
      <c r="H40" s="714"/>
      <c r="I40" s="714"/>
      <c r="J40" s="714"/>
      <c r="K40" s="727"/>
      <c r="L40" s="721"/>
      <c r="M40" s="705"/>
    </row>
    <row r="41" spans="1:13" s="509" customFormat="1" ht="10.5" customHeight="1">
      <c r="A41" s="862" t="s">
        <v>345</v>
      </c>
      <c r="B41" s="863"/>
      <c r="C41" s="867">
        <v>44.627459999999999</v>
      </c>
      <c r="D41" s="867">
        <v>44.913539999999998</v>
      </c>
      <c r="E41" s="867">
        <v>46.536540000000002</v>
      </c>
      <c r="F41" s="868">
        <f t="shared" si="0"/>
        <v>-6.3695714031892781E-3</v>
      </c>
      <c r="G41" s="714"/>
      <c r="H41" s="714"/>
      <c r="I41" s="714"/>
      <c r="J41" s="714"/>
      <c r="K41" s="727"/>
      <c r="L41" s="721"/>
      <c r="M41" s="705"/>
    </row>
    <row r="42" spans="1:13" s="509" customFormat="1" ht="10.5" customHeight="1">
      <c r="A42" s="704" t="s">
        <v>124</v>
      </c>
      <c r="B42" s="722" t="s">
        <v>78</v>
      </c>
      <c r="C42" s="723">
        <v>0.99748999999999999</v>
      </c>
      <c r="D42" s="723">
        <v>0.36170000000000002</v>
      </c>
      <c r="E42" s="723">
        <v>0</v>
      </c>
      <c r="F42" s="724">
        <f t="shared" si="0"/>
        <v>1.7577826928393696</v>
      </c>
      <c r="G42" s="714"/>
      <c r="H42" s="714"/>
      <c r="I42" s="714"/>
      <c r="J42" s="714"/>
      <c r="K42" s="727"/>
      <c r="L42" s="721"/>
      <c r="M42" s="705"/>
    </row>
    <row r="43" spans="1:13" s="509" customFormat="1" ht="10.5" customHeight="1">
      <c r="A43" s="862" t="s">
        <v>346</v>
      </c>
      <c r="B43" s="863"/>
      <c r="C43" s="867">
        <v>0.99748999999999999</v>
      </c>
      <c r="D43" s="867">
        <v>0.36170000000000002</v>
      </c>
      <c r="E43" s="867">
        <v>0</v>
      </c>
      <c r="F43" s="868">
        <f t="shared" si="0"/>
        <v>1.7577826928393696</v>
      </c>
      <c r="G43" s="714"/>
      <c r="H43" s="714"/>
      <c r="I43" s="714"/>
      <c r="J43" s="714"/>
      <c r="K43" s="727"/>
      <c r="L43" s="721"/>
      <c r="M43" s="705"/>
    </row>
    <row r="44" spans="1:13" s="509" customFormat="1" ht="10.5" customHeight="1">
      <c r="A44" s="704" t="s">
        <v>120</v>
      </c>
      <c r="B44" s="722" t="s">
        <v>76</v>
      </c>
      <c r="C44" s="723">
        <v>2.5849500000000001</v>
      </c>
      <c r="D44" s="723">
        <v>2.3232699999999999</v>
      </c>
      <c r="E44" s="723">
        <v>3.6137600000000001</v>
      </c>
      <c r="F44" s="724">
        <f t="shared" si="0"/>
        <v>0.11263434727775934</v>
      </c>
      <c r="G44" s="714"/>
      <c r="H44" s="714"/>
      <c r="I44" s="714"/>
      <c r="J44" s="714"/>
      <c r="K44" s="727"/>
      <c r="L44" s="721"/>
      <c r="M44" s="705"/>
    </row>
    <row r="45" spans="1:13" s="509" customFormat="1" ht="10.5" customHeight="1">
      <c r="A45" s="862" t="s">
        <v>347</v>
      </c>
      <c r="B45" s="863"/>
      <c r="C45" s="867">
        <v>2.5849500000000001</v>
      </c>
      <c r="D45" s="867">
        <v>2.3232699999999999</v>
      </c>
      <c r="E45" s="867">
        <v>3.6137600000000001</v>
      </c>
      <c r="F45" s="868">
        <f t="shared" si="0"/>
        <v>0.11263434727775934</v>
      </c>
      <c r="G45" s="714"/>
      <c r="H45" s="714"/>
      <c r="I45" s="714"/>
      <c r="J45" s="714"/>
      <c r="K45" s="727"/>
      <c r="L45" s="707"/>
      <c r="M45" s="705"/>
    </row>
    <row r="46" spans="1:13" s="509" customFormat="1" ht="10.5" customHeight="1">
      <c r="A46" s="704" t="s">
        <v>94</v>
      </c>
      <c r="B46" s="722" t="s">
        <v>348</v>
      </c>
      <c r="C46" s="723">
        <v>595.33200000000011</v>
      </c>
      <c r="D46" s="723">
        <v>517.33439999999996</v>
      </c>
      <c r="E46" s="723">
        <v>638.88479999999993</v>
      </c>
      <c r="F46" s="724">
        <f t="shared" si="0"/>
        <v>0.15076824583866877</v>
      </c>
      <c r="G46" s="714"/>
      <c r="H46" s="714"/>
      <c r="I46" s="714"/>
      <c r="J46" s="714"/>
      <c r="K46" s="727"/>
      <c r="L46" s="705"/>
      <c r="M46" s="705"/>
    </row>
    <row r="47" spans="1:13" s="509" customFormat="1" ht="10.5" customHeight="1">
      <c r="A47" s="704"/>
      <c r="B47" s="722" t="s">
        <v>349</v>
      </c>
      <c r="C47" s="723">
        <v>194.87807999999998</v>
      </c>
      <c r="D47" s="723">
        <v>164.80511999999999</v>
      </c>
      <c r="E47" s="723">
        <v>209.58335999999997</v>
      </c>
      <c r="F47" s="724">
        <f t="shared" si="0"/>
        <v>0.182475884244373</v>
      </c>
      <c r="G47" s="714"/>
      <c r="H47" s="714"/>
      <c r="I47" s="714"/>
      <c r="J47" s="714"/>
      <c r="K47" s="727"/>
      <c r="L47" s="705"/>
      <c r="M47" s="705"/>
    </row>
    <row r="48" spans="1:13" s="509" customFormat="1" ht="10.5" customHeight="1">
      <c r="A48" s="704"/>
      <c r="B48" s="722" t="s">
        <v>350</v>
      </c>
      <c r="C48" s="723">
        <v>0</v>
      </c>
      <c r="D48" s="723">
        <v>0</v>
      </c>
      <c r="E48" s="723">
        <v>0</v>
      </c>
      <c r="F48" s="724" t="str">
        <f t="shared" si="0"/>
        <v/>
      </c>
      <c r="G48" s="714"/>
      <c r="H48" s="714"/>
      <c r="I48" s="714"/>
      <c r="J48" s="714"/>
      <c r="K48" s="727"/>
      <c r="L48" s="705"/>
      <c r="M48" s="705"/>
    </row>
    <row r="49" spans="1:13" s="509" customFormat="1" ht="10.5" customHeight="1">
      <c r="A49" s="862" t="s">
        <v>351</v>
      </c>
      <c r="B49" s="863"/>
      <c r="C49" s="867">
        <v>790.21008000000006</v>
      </c>
      <c r="D49" s="867">
        <v>682.13951999999995</v>
      </c>
      <c r="E49" s="867">
        <v>848.4681599999999</v>
      </c>
      <c r="F49" s="868">
        <f t="shared" si="0"/>
        <v>0.15842882113031664</v>
      </c>
      <c r="G49" s="714"/>
      <c r="H49" s="714"/>
      <c r="I49" s="714"/>
      <c r="J49" s="714"/>
      <c r="K49" s="727"/>
      <c r="L49" s="705"/>
      <c r="M49" s="705"/>
    </row>
    <row r="50" spans="1:13" s="509" customFormat="1" ht="10.5" customHeight="1">
      <c r="A50" s="704" t="s">
        <v>268</v>
      </c>
      <c r="B50" s="722" t="s">
        <v>352</v>
      </c>
      <c r="C50" s="723">
        <v>229.58348000000001</v>
      </c>
      <c r="D50" s="723">
        <v>142.63113000000001</v>
      </c>
      <c r="E50" s="723">
        <v>456.18412000000001</v>
      </c>
      <c r="F50" s="724">
        <f t="shared" si="0"/>
        <v>0.609630941015471</v>
      </c>
      <c r="G50" s="714"/>
      <c r="H50" s="714"/>
      <c r="I50" s="714"/>
      <c r="J50" s="714"/>
      <c r="K50" s="727"/>
      <c r="L50" s="705"/>
      <c r="M50" s="705"/>
    </row>
    <row r="51" spans="1:13" s="509" customFormat="1" ht="10.5" customHeight="1">
      <c r="A51" s="704"/>
      <c r="B51" s="722" t="s">
        <v>353</v>
      </c>
      <c r="C51" s="723">
        <v>0</v>
      </c>
      <c r="D51" s="723">
        <v>6.4319800000000003</v>
      </c>
      <c r="E51" s="723">
        <v>6.32768</v>
      </c>
      <c r="F51" s="724">
        <f t="shared" si="0"/>
        <v>-1</v>
      </c>
      <c r="G51" s="714"/>
      <c r="H51" s="714"/>
      <c r="I51" s="714"/>
      <c r="J51" s="714"/>
      <c r="K51" s="727"/>
      <c r="L51" s="705"/>
      <c r="M51" s="705"/>
    </row>
    <row r="52" spans="1:13" s="509" customFormat="1" ht="10.5" customHeight="1">
      <c r="A52" s="862" t="s">
        <v>354</v>
      </c>
      <c r="B52" s="863"/>
      <c r="C52" s="867">
        <v>229.58348000000001</v>
      </c>
      <c r="D52" s="867">
        <v>149.06311000000002</v>
      </c>
      <c r="E52" s="867">
        <v>462.51179999999999</v>
      </c>
      <c r="F52" s="868">
        <f t="shared" si="0"/>
        <v>0.54017637227614523</v>
      </c>
      <c r="G52" s="714"/>
      <c r="H52" s="714"/>
      <c r="I52" s="714"/>
      <c r="J52" s="714"/>
      <c r="K52" s="727"/>
      <c r="L52" s="705"/>
      <c r="M52" s="705"/>
    </row>
    <row r="53" spans="1:13" s="509" customFormat="1" ht="10.5" customHeight="1">
      <c r="A53" s="704" t="s">
        <v>269</v>
      </c>
      <c r="B53" s="722" t="s">
        <v>355</v>
      </c>
      <c r="C53" s="723">
        <v>94.48124</v>
      </c>
      <c r="D53" s="723">
        <v>94.175970000000007</v>
      </c>
      <c r="E53" s="723">
        <v>71.243490000000008</v>
      </c>
      <c r="F53" s="724">
        <f t="shared" si="0"/>
        <v>3.2414850624844505E-3</v>
      </c>
      <c r="G53" s="714"/>
      <c r="H53" s="714"/>
      <c r="I53" s="714"/>
      <c r="J53" s="714"/>
      <c r="K53" s="727"/>
      <c r="L53" s="705"/>
      <c r="M53" s="705"/>
    </row>
    <row r="54" spans="1:13" s="509" customFormat="1" ht="10.5" customHeight="1">
      <c r="A54" s="862" t="s">
        <v>356</v>
      </c>
      <c r="B54" s="863"/>
      <c r="C54" s="867">
        <v>94.48124</v>
      </c>
      <c r="D54" s="867">
        <v>94.175970000000007</v>
      </c>
      <c r="E54" s="867">
        <v>71.243490000000008</v>
      </c>
      <c r="F54" s="868">
        <f t="shared" si="0"/>
        <v>3.2414850624844505E-3</v>
      </c>
      <c r="G54" s="714"/>
      <c r="H54" s="714"/>
      <c r="I54" s="714"/>
      <c r="J54" s="714"/>
      <c r="K54" s="727"/>
      <c r="L54" s="705"/>
      <c r="M54" s="705"/>
    </row>
    <row r="55" spans="1:13" s="509" customFormat="1" ht="10.5" customHeight="1">
      <c r="A55" s="704" t="s">
        <v>270</v>
      </c>
      <c r="B55" s="722" t="s">
        <v>63</v>
      </c>
      <c r="C55" s="723">
        <v>7.3327200000000001</v>
      </c>
      <c r="D55" s="723">
        <v>2.9548800000000002</v>
      </c>
      <c r="E55" s="723">
        <v>17.115880000000001</v>
      </c>
      <c r="F55" s="724">
        <f t="shared" si="0"/>
        <v>1.4815627030539309</v>
      </c>
      <c r="G55" s="729"/>
      <c r="H55" s="729"/>
      <c r="I55" s="729"/>
      <c r="J55" s="729"/>
      <c r="K55" s="727"/>
      <c r="L55" s="705"/>
      <c r="M55" s="705"/>
    </row>
    <row r="56" spans="1:13" s="509" customFormat="1" ht="10.5" customHeight="1">
      <c r="A56" s="704"/>
      <c r="B56" s="722" t="s">
        <v>60</v>
      </c>
      <c r="C56" s="723">
        <v>10.554600000000001</v>
      </c>
      <c r="D56" s="723">
        <v>4.31332</v>
      </c>
      <c r="E56" s="723">
        <v>20.103280000000002</v>
      </c>
      <c r="F56" s="724">
        <f t="shared" si="0"/>
        <v>1.4469781977687721</v>
      </c>
      <c r="G56" s="729"/>
      <c r="H56" s="729"/>
      <c r="I56" s="729"/>
      <c r="J56" s="729"/>
      <c r="K56" s="727"/>
      <c r="L56" s="705"/>
      <c r="M56" s="705"/>
    </row>
    <row r="57" spans="1:13" s="509" customFormat="1" ht="10.5" customHeight="1">
      <c r="A57" s="862" t="s">
        <v>357</v>
      </c>
      <c r="B57" s="863"/>
      <c r="C57" s="867">
        <v>17.887320000000003</v>
      </c>
      <c r="D57" s="867">
        <v>7.2682000000000002</v>
      </c>
      <c r="E57" s="867">
        <v>37.219160000000002</v>
      </c>
      <c r="F57" s="868">
        <f t="shared" si="0"/>
        <v>1.4610384964640493</v>
      </c>
      <c r="G57" s="729"/>
      <c r="H57" s="729"/>
      <c r="I57" s="729"/>
      <c r="J57" s="729"/>
      <c r="K57" s="727"/>
      <c r="L57" s="705"/>
      <c r="M57" s="705"/>
    </row>
    <row r="58" spans="1:13" s="509" customFormat="1" ht="10.5" customHeight="1">
      <c r="A58" s="704" t="s">
        <v>93</v>
      </c>
      <c r="B58" s="722" t="s">
        <v>358</v>
      </c>
      <c r="C58" s="723">
        <v>27.119199999999999</v>
      </c>
      <c r="D58" s="723">
        <v>30.473170000000003</v>
      </c>
      <c r="E58" s="723">
        <v>30.46866</v>
      </c>
      <c r="F58" s="724">
        <f t="shared" si="0"/>
        <v>-0.11006304890498764</v>
      </c>
      <c r="G58" s="729"/>
      <c r="H58" s="729"/>
      <c r="I58" s="729"/>
      <c r="J58" s="729"/>
      <c r="K58" s="727"/>
      <c r="L58" s="705"/>
      <c r="M58" s="705"/>
    </row>
    <row r="59" spans="1:13" s="509" customFormat="1" ht="10.5" customHeight="1">
      <c r="A59" s="704"/>
      <c r="B59" s="722" t="s">
        <v>359</v>
      </c>
      <c r="C59" s="723">
        <v>170.41426999999999</v>
      </c>
      <c r="D59" s="723">
        <v>229.38650000000001</v>
      </c>
      <c r="E59" s="723">
        <v>197.28959999999998</v>
      </c>
      <c r="F59" s="724">
        <f t="shared" si="0"/>
        <v>-0.25708675096398448</v>
      </c>
      <c r="G59" s="729"/>
      <c r="H59" s="729"/>
      <c r="I59" s="729"/>
      <c r="J59" s="729"/>
      <c r="K59" s="727"/>
      <c r="L59" s="705"/>
      <c r="M59" s="705"/>
    </row>
    <row r="60" spans="1:13" s="509" customFormat="1" ht="10.5" customHeight="1">
      <c r="A60" s="704"/>
      <c r="B60" s="722" t="s">
        <v>360</v>
      </c>
      <c r="C60" s="723">
        <v>82.752949999999998</v>
      </c>
      <c r="D60" s="723">
        <v>65.96996</v>
      </c>
      <c r="E60" s="723">
        <v>129.73957999999999</v>
      </c>
      <c r="F60" s="724">
        <f t="shared" si="0"/>
        <v>0.25440351942005113</v>
      </c>
      <c r="G60" s="714"/>
      <c r="H60" s="714"/>
      <c r="I60" s="714"/>
      <c r="J60" s="714"/>
      <c r="K60" s="727"/>
      <c r="L60" s="705"/>
      <c r="M60" s="705"/>
    </row>
    <row r="61" spans="1:13" s="509" customFormat="1" ht="10.5" customHeight="1">
      <c r="A61" s="704"/>
      <c r="B61" s="722" t="s">
        <v>361</v>
      </c>
      <c r="C61" s="723">
        <v>54.225369999999998</v>
      </c>
      <c r="D61" s="723">
        <v>46.12153</v>
      </c>
      <c r="E61" s="723">
        <v>65.240179999999995</v>
      </c>
      <c r="F61" s="724">
        <f t="shared" si="0"/>
        <v>0.17570622657140822</v>
      </c>
      <c r="G61" s="714"/>
      <c r="H61" s="714"/>
      <c r="I61" s="714"/>
      <c r="J61" s="714"/>
      <c r="K61" s="727"/>
      <c r="L61" s="705"/>
      <c r="M61" s="705"/>
    </row>
    <row r="62" spans="1:13" s="509" customFormat="1" ht="10.5" customHeight="1">
      <c r="A62" s="704"/>
      <c r="B62" s="722" t="s">
        <v>362</v>
      </c>
      <c r="C62" s="723">
        <v>0</v>
      </c>
      <c r="D62" s="723">
        <v>0</v>
      </c>
      <c r="E62" s="723">
        <v>0</v>
      </c>
      <c r="F62" s="724" t="str">
        <f t="shared" si="0"/>
        <v/>
      </c>
      <c r="G62" s="714"/>
      <c r="H62" s="714"/>
      <c r="I62" s="714"/>
      <c r="J62" s="714"/>
      <c r="K62" s="727"/>
      <c r="L62" s="705"/>
      <c r="M62" s="705"/>
    </row>
    <row r="63" spans="1:13" s="509" customFormat="1" ht="10.5" customHeight="1">
      <c r="A63" s="704"/>
      <c r="B63" s="722" t="s">
        <v>363</v>
      </c>
      <c r="C63" s="723">
        <v>188.36154999999999</v>
      </c>
      <c r="D63" s="723">
        <v>185.29227</v>
      </c>
      <c r="E63" s="723">
        <v>173.95402000000001</v>
      </c>
      <c r="F63" s="724">
        <f t="shared" si="0"/>
        <v>1.6564533426030037E-2</v>
      </c>
      <c r="G63" s="730"/>
      <c r="H63" s="714"/>
      <c r="I63" s="714"/>
      <c r="J63" s="714"/>
      <c r="K63" s="727"/>
      <c r="L63" s="705"/>
      <c r="M63" s="705"/>
    </row>
    <row r="64" spans="1:13" s="509" customFormat="1" ht="10.5" customHeight="1">
      <c r="A64" s="704"/>
      <c r="B64" s="722" t="s">
        <v>364</v>
      </c>
      <c r="C64" s="723">
        <v>226.94399000000001</v>
      </c>
      <c r="D64" s="723">
        <v>298.16602999999998</v>
      </c>
      <c r="E64" s="723">
        <v>284.87977000000001</v>
      </c>
      <c r="F64" s="724">
        <f t="shared" si="0"/>
        <v>-0.23886705001237052</v>
      </c>
      <c r="G64" s="730"/>
      <c r="H64" s="714"/>
      <c r="I64" s="714"/>
      <c r="J64" s="714"/>
      <c r="K64" s="714"/>
      <c r="L64" s="705"/>
      <c r="M64" s="705"/>
    </row>
    <row r="65" spans="1:13" s="509" customFormat="1" ht="10.5" customHeight="1">
      <c r="A65" s="704"/>
      <c r="B65" s="722" t="s">
        <v>738</v>
      </c>
      <c r="C65" s="723">
        <v>0.66908999999999996</v>
      </c>
      <c r="D65" s="723"/>
      <c r="E65" s="723"/>
      <c r="F65" s="724" t="str">
        <f t="shared" si="0"/>
        <v/>
      </c>
      <c r="G65" s="730"/>
      <c r="H65" s="714"/>
      <c r="I65" s="714"/>
      <c r="J65" s="714"/>
      <c r="K65" s="714"/>
      <c r="L65" s="705"/>
      <c r="M65" s="705"/>
    </row>
    <row r="66" spans="1:13" s="509" customFormat="1" ht="10.5" customHeight="1">
      <c r="A66" s="862" t="s">
        <v>365</v>
      </c>
      <c r="B66" s="863"/>
      <c r="C66" s="867">
        <v>750.48641999999995</v>
      </c>
      <c r="D66" s="867">
        <v>855.40945999999997</v>
      </c>
      <c r="E66" s="867">
        <v>881.57181000000003</v>
      </c>
      <c r="F66" s="868"/>
      <c r="G66" s="705"/>
      <c r="H66" s="705"/>
      <c r="I66" s="705"/>
      <c r="J66" s="705"/>
      <c r="K66" s="705"/>
      <c r="L66" s="705"/>
      <c r="M66" s="705"/>
    </row>
    <row r="67" spans="1:13" s="509" customFormat="1" ht="10.5" customHeight="1">
      <c r="A67" s="704" t="s">
        <v>101</v>
      </c>
      <c r="B67" s="722" t="s">
        <v>366</v>
      </c>
      <c r="C67" s="723">
        <v>0</v>
      </c>
      <c r="D67" s="723">
        <v>0</v>
      </c>
      <c r="E67" s="723">
        <v>48.357289999999999</v>
      </c>
      <c r="F67" s="724"/>
      <c r="G67" s="705"/>
      <c r="H67" s="705"/>
      <c r="I67" s="705"/>
      <c r="J67" s="705"/>
      <c r="K67" s="705"/>
      <c r="L67" s="705"/>
      <c r="M67" s="705"/>
    </row>
    <row r="68" spans="1:13" s="509" customFormat="1" ht="10.5" customHeight="1">
      <c r="A68" s="704"/>
      <c r="B68" s="722" t="s">
        <v>367</v>
      </c>
      <c r="C68" s="723">
        <v>91.402630000000002</v>
      </c>
      <c r="D68" s="723">
        <v>87.498140000000006</v>
      </c>
      <c r="E68" s="723">
        <v>0</v>
      </c>
      <c r="F68" s="724"/>
      <c r="G68" s="705"/>
      <c r="H68" s="705"/>
      <c r="I68" s="705"/>
      <c r="J68" s="705"/>
      <c r="K68" s="705"/>
      <c r="L68" s="705"/>
      <c r="M68" s="705"/>
    </row>
    <row r="69" spans="1:13" s="509" customFormat="1" ht="10.5" customHeight="1">
      <c r="A69" s="704"/>
      <c r="B69" s="722" t="s">
        <v>368</v>
      </c>
      <c r="C69" s="723">
        <v>0</v>
      </c>
      <c r="D69" s="723">
        <v>0</v>
      </c>
      <c r="E69" s="723">
        <v>0</v>
      </c>
      <c r="F69" s="724"/>
      <c r="G69" s="705"/>
      <c r="H69" s="705"/>
      <c r="I69" s="705"/>
      <c r="J69" s="705"/>
      <c r="K69" s="705"/>
      <c r="L69" s="705"/>
      <c r="M69" s="705"/>
    </row>
    <row r="70" spans="1:13" s="509" customFormat="1" ht="10.5" customHeight="1">
      <c r="A70" s="862" t="s">
        <v>369</v>
      </c>
      <c r="B70" s="863"/>
      <c r="C70" s="867">
        <v>91.402630000000002</v>
      </c>
      <c r="D70" s="867">
        <v>87.498140000000006</v>
      </c>
      <c r="E70" s="867">
        <v>48.357289999999999</v>
      </c>
      <c r="F70" s="868"/>
      <c r="G70" s="705"/>
      <c r="H70" s="705"/>
      <c r="I70" s="705"/>
      <c r="J70" s="705"/>
      <c r="K70" s="705"/>
      <c r="L70" s="705"/>
      <c r="M70" s="705"/>
    </row>
    <row r="71" spans="1:13" s="509" customFormat="1" ht="10.5" customHeight="1">
      <c r="A71" s="705"/>
      <c r="B71" s="705"/>
      <c r="C71" s="705"/>
      <c r="D71" s="705"/>
      <c r="E71" s="705"/>
      <c r="F71" s="705"/>
      <c r="G71" s="705"/>
      <c r="H71" s="705"/>
      <c r="I71" s="705"/>
      <c r="J71" s="705"/>
      <c r="K71" s="705"/>
      <c r="L71" s="705"/>
      <c r="M71" s="705"/>
    </row>
    <row r="72" spans="1:13" s="509" customFormat="1" ht="10.5" customHeight="1">
      <c r="A72" s="705"/>
      <c r="B72" s="705"/>
      <c r="C72" s="705"/>
      <c r="D72" s="705"/>
      <c r="E72" s="705"/>
      <c r="F72" s="705"/>
      <c r="G72" s="705"/>
      <c r="H72" s="705"/>
      <c r="I72" s="705"/>
      <c r="J72" s="705"/>
      <c r="K72" s="705"/>
      <c r="L72" s="705"/>
      <c r="M72" s="705"/>
    </row>
    <row r="73" spans="1:13" s="509" customFormat="1" ht="10.5" customHeight="1">
      <c r="A73" s="705"/>
      <c r="B73" s="705"/>
      <c r="C73" s="705"/>
      <c r="D73" s="705"/>
      <c r="E73" s="705"/>
      <c r="F73" s="705"/>
      <c r="G73" s="705"/>
      <c r="H73" s="705"/>
      <c r="I73" s="705"/>
      <c r="J73" s="705"/>
      <c r="K73" s="705"/>
      <c r="L73" s="705"/>
      <c r="M73" s="705"/>
    </row>
    <row r="74" spans="1:13" s="509" customFormat="1" ht="10.5" customHeight="1">
      <c r="A74" s="705"/>
      <c r="B74" s="705"/>
      <c r="C74" s="705"/>
      <c r="D74" s="705"/>
      <c r="E74" s="705"/>
      <c r="F74" s="705"/>
      <c r="G74" s="705"/>
      <c r="H74" s="705"/>
      <c r="I74" s="705"/>
      <c r="J74" s="705"/>
      <c r="K74" s="705"/>
      <c r="L74" s="705"/>
      <c r="M74" s="705"/>
    </row>
    <row r="75" spans="1:13" s="509" customFormat="1" ht="10.5" customHeight="1">
      <c r="A75" s="705"/>
      <c r="B75" s="705"/>
      <c r="C75" s="705"/>
      <c r="D75" s="705"/>
      <c r="E75" s="705"/>
      <c r="F75" s="705"/>
      <c r="G75" s="705"/>
      <c r="H75" s="705"/>
      <c r="I75" s="705"/>
      <c r="J75" s="705"/>
      <c r="K75" s="705"/>
      <c r="L75" s="705"/>
      <c r="M75" s="705"/>
    </row>
    <row r="76" spans="1:13" s="509" customFormat="1" ht="10.5" customHeight="1">
      <c r="A76" s="705"/>
      <c r="B76" s="705"/>
      <c r="C76" s="705"/>
      <c r="D76" s="705"/>
      <c r="E76" s="705"/>
      <c r="F76" s="705"/>
      <c r="G76" s="705"/>
      <c r="H76" s="705"/>
      <c r="I76" s="705"/>
      <c r="J76" s="705"/>
      <c r="K76" s="705"/>
      <c r="L76" s="705"/>
      <c r="M76" s="705"/>
    </row>
    <row r="77" spans="1:13" s="509" customFormat="1" ht="10.5" customHeight="1">
      <c r="A77" s="705"/>
      <c r="B77" s="705"/>
      <c r="C77" s="705"/>
      <c r="D77" s="705"/>
      <c r="E77" s="705"/>
      <c r="F77" s="705"/>
      <c r="G77" s="705"/>
      <c r="H77" s="705"/>
      <c r="I77" s="705"/>
      <c r="J77" s="705"/>
      <c r="K77" s="705"/>
      <c r="L77" s="705"/>
      <c r="M77" s="705"/>
    </row>
    <row r="78" spans="1:13" s="509" customFormat="1" ht="10.5" customHeight="1">
      <c r="A78" s="705"/>
      <c r="B78" s="705"/>
      <c r="C78" s="705"/>
      <c r="D78" s="705"/>
      <c r="E78" s="705"/>
      <c r="F78" s="705"/>
      <c r="G78" s="705"/>
      <c r="H78" s="705"/>
      <c r="I78" s="705"/>
      <c r="J78" s="705"/>
      <c r="K78" s="705"/>
      <c r="L78" s="705"/>
      <c r="M78" s="705"/>
    </row>
    <row r="79" spans="1:13" s="509" customFormat="1" ht="10.5" customHeight="1">
      <c r="A79" s="705"/>
      <c r="B79" s="705"/>
      <c r="C79" s="705"/>
      <c r="D79" s="705"/>
      <c r="E79" s="705"/>
      <c r="F79" s="705"/>
      <c r="G79" s="705"/>
      <c r="H79" s="705"/>
      <c r="I79" s="705"/>
      <c r="J79" s="705"/>
      <c r="K79" s="705"/>
      <c r="L79" s="705"/>
      <c r="M79" s="705"/>
    </row>
    <row r="80" spans="1:13" s="509" customFormat="1" ht="10.5" customHeight="1">
      <c r="A80" s="705"/>
      <c r="B80" s="705"/>
      <c r="C80" s="705"/>
      <c r="D80" s="705"/>
      <c r="E80" s="705"/>
      <c r="F80" s="705"/>
      <c r="G80" s="705"/>
      <c r="H80" s="705"/>
      <c r="I80" s="705"/>
      <c r="J80" s="705"/>
      <c r="K80" s="705"/>
      <c r="L80" s="705"/>
      <c r="M80" s="705"/>
    </row>
    <row r="81" spans="1:13" s="509" customFormat="1" ht="10.5" customHeight="1">
      <c r="A81" s="705"/>
      <c r="B81" s="705"/>
      <c r="C81" s="705"/>
      <c r="D81" s="705"/>
      <c r="E81" s="705"/>
      <c r="F81" s="705"/>
      <c r="G81" s="705"/>
      <c r="H81" s="705"/>
      <c r="I81" s="705"/>
      <c r="J81" s="705"/>
      <c r="K81" s="705"/>
      <c r="L81" s="705"/>
      <c r="M81" s="705"/>
    </row>
    <row r="82" spans="1:13" s="509" customFormat="1" ht="10.5" customHeight="1">
      <c r="A82" s="705"/>
      <c r="B82" s="705"/>
      <c r="C82" s="705"/>
      <c r="D82" s="705"/>
      <c r="E82" s="705"/>
      <c r="F82" s="705"/>
      <c r="G82" s="705"/>
      <c r="H82" s="705"/>
      <c r="I82" s="705"/>
      <c r="J82" s="705"/>
      <c r="K82" s="705"/>
      <c r="L82" s="705"/>
      <c r="M82" s="705"/>
    </row>
    <row r="83" spans="1:13" s="509" customFormat="1" ht="10.5" customHeight="1">
      <c r="A83" s="705"/>
      <c r="B83" s="705"/>
      <c r="C83" s="705"/>
      <c r="D83" s="705"/>
      <c r="E83" s="705"/>
      <c r="F83" s="705"/>
      <c r="G83" s="705"/>
      <c r="H83" s="705"/>
      <c r="I83" s="705"/>
      <c r="J83" s="705"/>
      <c r="K83" s="705"/>
      <c r="L83" s="705"/>
      <c r="M83" s="705"/>
    </row>
    <row r="84" spans="1:13" s="509" customFormat="1" ht="10.5" customHeight="1">
      <c r="A84" s="705"/>
      <c r="B84" s="705"/>
      <c r="C84" s="705"/>
      <c r="D84" s="705"/>
      <c r="E84" s="705"/>
      <c r="F84" s="705"/>
      <c r="G84" s="705"/>
      <c r="H84" s="705"/>
      <c r="I84" s="705"/>
      <c r="J84" s="705"/>
      <c r="K84" s="705"/>
      <c r="L84" s="705"/>
      <c r="M84" s="705"/>
    </row>
    <row r="85" spans="1:13" s="509" customFormat="1" ht="10.5" customHeight="1">
      <c r="A85" s="705"/>
      <c r="B85" s="705"/>
      <c r="C85" s="705"/>
      <c r="D85" s="705"/>
      <c r="E85" s="705"/>
      <c r="F85" s="705"/>
      <c r="G85" s="705"/>
      <c r="H85" s="705"/>
      <c r="I85" s="705"/>
      <c r="J85" s="705"/>
      <c r="K85" s="705"/>
      <c r="L85" s="705"/>
      <c r="M85" s="705"/>
    </row>
    <row r="86" spans="1:13" s="509" customFormat="1" ht="10.5" customHeight="1">
      <c r="A86" s="705"/>
      <c r="B86" s="705"/>
      <c r="C86" s="705"/>
      <c r="D86" s="705"/>
      <c r="E86" s="705"/>
      <c r="F86" s="705"/>
      <c r="G86" s="705"/>
      <c r="H86" s="705"/>
      <c r="I86" s="705"/>
      <c r="J86" s="705"/>
      <c r="K86" s="705"/>
      <c r="L86" s="705"/>
      <c r="M86" s="705"/>
    </row>
    <row r="87" spans="1:13" s="509" customFormat="1" ht="10.5" customHeight="1">
      <c r="A87" s="705"/>
      <c r="B87" s="705"/>
      <c r="C87" s="705"/>
      <c r="D87" s="705"/>
      <c r="E87" s="705"/>
      <c r="F87" s="705"/>
      <c r="G87" s="705"/>
      <c r="H87" s="705"/>
      <c r="I87" s="705"/>
      <c r="J87" s="705"/>
      <c r="K87" s="705"/>
      <c r="L87" s="705"/>
      <c r="M87" s="705"/>
    </row>
    <row r="88" spans="1:13" s="509" customFormat="1" ht="10.5" customHeight="1">
      <c r="A88" s="705"/>
      <c r="B88" s="705"/>
      <c r="C88" s="705"/>
      <c r="D88" s="705"/>
      <c r="E88" s="705"/>
      <c r="F88" s="705"/>
      <c r="G88" s="705"/>
      <c r="H88" s="705"/>
      <c r="I88" s="705"/>
      <c r="J88" s="705"/>
      <c r="K88" s="705"/>
      <c r="L88" s="705"/>
      <c r="M88" s="705"/>
    </row>
    <row r="89" spans="1:13" s="509" customFormat="1" ht="10.5" customHeight="1">
      <c r="A89" s="705"/>
      <c r="B89" s="705"/>
      <c r="C89" s="705"/>
      <c r="D89" s="705"/>
      <c r="E89" s="705"/>
      <c r="F89" s="705"/>
      <c r="G89" s="705"/>
      <c r="H89" s="705"/>
      <c r="I89" s="705"/>
      <c r="J89" s="705"/>
      <c r="K89" s="705"/>
      <c r="L89" s="705"/>
      <c r="M89" s="705"/>
    </row>
    <row r="90" spans="1:13" s="509" customFormat="1" ht="10.5" customHeight="1">
      <c r="A90" s="705"/>
      <c r="B90" s="705"/>
      <c r="C90" s="705"/>
      <c r="D90" s="705"/>
      <c r="E90" s="705"/>
      <c r="F90" s="705"/>
      <c r="G90" s="705"/>
      <c r="H90" s="705"/>
      <c r="I90" s="705"/>
      <c r="J90" s="705"/>
      <c r="K90" s="705"/>
      <c r="L90" s="705"/>
      <c r="M90" s="705"/>
    </row>
    <row r="91" spans="1:13" s="509" customFormat="1" ht="10.5" customHeight="1">
      <c r="A91" s="705"/>
      <c r="B91" s="705"/>
      <c r="C91" s="705"/>
      <c r="D91" s="705"/>
      <c r="E91" s="705"/>
      <c r="F91" s="705"/>
      <c r="G91" s="705"/>
      <c r="H91" s="705"/>
      <c r="I91" s="705"/>
      <c r="J91" s="705"/>
      <c r="K91" s="705"/>
      <c r="L91" s="705"/>
      <c r="M91" s="705"/>
    </row>
    <row r="92" spans="1:13" s="509" customFormat="1" ht="10.5" customHeight="1">
      <c r="A92" s="705"/>
      <c r="B92" s="705"/>
      <c r="C92" s="705"/>
      <c r="D92" s="705"/>
      <c r="E92" s="705"/>
      <c r="F92" s="705"/>
      <c r="G92" s="705"/>
      <c r="H92" s="705"/>
      <c r="I92" s="705"/>
      <c r="J92" s="705"/>
      <c r="K92" s="705"/>
      <c r="L92" s="705"/>
      <c r="M92" s="705"/>
    </row>
    <row r="93" spans="1:13" s="509" customFormat="1" ht="10.5" customHeight="1">
      <c r="A93" s="705"/>
      <c r="B93" s="705"/>
      <c r="C93" s="705"/>
      <c r="D93" s="705"/>
      <c r="E93" s="705"/>
      <c r="F93" s="705"/>
      <c r="G93" s="705"/>
      <c r="H93" s="705"/>
      <c r="I93" s="705"/>
      <c r="J93" s="705"/>
      <c r="K93" s="705"/>
      <c r="L93" s="705"/>
      <c r="M93" s="705"/>
    </row>
    <row r="94" spans="1:13" s="509" customFormat="1" ht="10.5" customHeight="1">
      <c r="A94" s="705"/>
      <c r="B94" s="705"/>
      <c r="C94" s="705"/>
      <c r="D94" s="705"/>
      <c r="E94" s="705"/>
      <c r="F94" s="705"/>
      <c r="G94" s="705"/>
      <c r="H94" s="705"/>
      <c r="I94" s="705"/>
      <c r="J94" s="705"/>
      <c r="K94" s="705"/>
      <c r="L94" s="705"/>
      <c r="M94" s="705"/>
    </row>
    <row r="95" spans="1:13" s="509" customFormat="1" ht="10.5" customHeight="1">
      <c r="A95" s="705"/>
      <c r="B95" s="705"/>
      <c r="C95" s="705"/>
      <c r="D95" s="705"/>
      <c r="E95" s="705"/>
      <c r="F95" s="705"/>
      <c r="G95" s="705"/>
      <c r="H95" s="705"/>
      <c r="I95" s="705"/>
      <c r="J95" s="705"/>
      <c r="K95" s="705"/>
      <c r="L95" s="705"/>
      <c r="M95" s="705"/>
    </row>
    <row r="96" spans="1:13" s="509" customFormat="1" ht="10.5" customHeight="1">
      <c r="A96" s="705"/>
      <c r="B96" s="705"/>
      <c r="C96" s="705"/>
      <c r="D96" s="705"/>
      <c r="E96" s="705"/>
      <c r="F96" s="705"/>
      <c r="G96" s="705"/>
      <c r="H96" s="705"/>
      <c r="I96" s="705"/>
      <c r="J96" s="705"/>
      <c r="K96" s="705"/>
      <c r="L96" s="705"/>
      <c r="M96" s="705"/>
    </row>
    <row r="97" spans="1:13" s="509" customFormat="1" ht="10.5" customHeight="1">
      <c r="A97" s="705"/>
      <c r="B97" s="705"/>
      <c r="C97" s="705"/>
      <c r="D97" s="705"/>
      <c r="E97" s="705"/>
      <c r="F97" s="705"/>
      <c r="G97" s="705"/>
      <c r="H97" s="705"/>
      <c r="I97" s="705"/>
      <c r="J97" s="705"/>
      <c r="K97" s="705"/>
      <c r="L97" s="705"/>
      <c r="M97" s="705"/>
    </row>
    <row r="98" spans="1:13" s="509" customFormat="1" ht="10.5" customHeight="1">
      <c r="A98" s="705"/>
      <c r="B98" s="705"/>
      <c r="C98" s="705"/>
      <c r="D98" s="705"/>
      <c r="E98" s="705"/>
      <c r="F98" s="705"/>
      <c r="G98" s="705"/>
      <c r="H98" s="705"/>
      <c r="I98" s="705"/>
      <c r="J98" s="705"/>
      <c r="K98" s="705"/>
      <c r="L98" s="705"/>
      <c r="M98" s="705"/>
    </row>
    <row r="99" spans="1:13" s="509" customFormat="1" ht="10.5" customHeight="1">
      <c r="A99" s="705"/>
      <c r="B99" s="705"/>
      <c r="C99" s="705"/>
      <c r="D99" s="705"/>
      <c r="E99" s="705"/>
      <c r="F99" s="705"/>
      <c r="G99" s="705"/>
      <c r="H99" s="705"/>
      <c r="I99" s="705"/>
      <c r="J99" s="705"/>
      <c r="K99" s="705"/>
      <c r="L99" s="705"/>
      <c r="M99" s="705"/>
    </row>
    <row r="100" spans="1:13" s="509" customFormat="1" ht="10.5" customHeight="1">
      <c r="A100" s="705"/>
      <c r="B100" s="705"/>
      <c r="C100" s="705"/>
      <c r="D100" s="705"/>
      <c r="E100" s="705"/>
      <c r="F100" s="705"/>
      <c r="G100" s="705"/>
      <c r="H100" s="705"/>
      <c r="I100" s="705"/>
      <c r="J100" s="705"/>
      <c r="K100" s="705"/>
      <c r="L100" s="705"/>
      <c r="M100" s="705"/>
    </row>
    <row r="101" spans="1:13" s="509" customFormat="1" ht="10.5" customHeight="1">
      <c r="A101" s="705"/>
      <c r="B101" s="705"/>
      <c r="C101" s="705"/>
      <c r="D101" s="705"/>
      <c r="E101" s="705"/>
      <c r="F101" s="705"/>
      <c r="G101" s="705"/>
      <c r="H101" s="705"/>
      <c r="I101" s="705"/>
      <c r="J101" s="705"/>
      <c r="K101" s="705"/>
      <c r="L101" s="705"/>
      <c r="M101" s="705"/>
    </row>
    <row r="102" spans="1:13" s="509" customFormat="1" ht="10.5" customHeight="1">
      <c r="A102" s="705"/>
      <c r="B102" s="705"/>
      <c r="C102" s="705"/>
      <c r="D102" s="705"/>
      <c r="E102" s="705"/>
      <c r="F102" s="705"/>
      <c r="G102" s="705"/>
      <c r="H102" s="705"/>
      <c r="I102" s="705"/>
      <c r="J102" s="705"/>
      <c r="K102" s="705"/>
      <c r="L102" s="705"/>
      <c r="M102" s="705"/>
    </row>
    <row r="103" spans="1:13" s="509" customFormat="1" ht="10.5" customHeight="1">
      <c r="A103" s="705"/>
      <c r="B103" s="705"/>
      <c r="C103" s="705"/>
      <c r="D103" s="705"/>
      <c r="E103" s="705"/>
      <c r="F103" s="705"/>
      <c r="G103" s="705"/>
      <c r="H103" s="705"/>
      <c r="I103" s="705"/>
      <c r="J103" s="705"/>
      <c r="K103" s="705"/>
      <c r="L103" s="705"/>
      <c r="M103" s="705"/>
    </row>
    <row r="104" spans="1:13" s="509" customFormat="1" ht="10.5" customHeight="1">
      <c r="A104" s="705"/>
      <c r="B104" s="705"/>
      <c r="C104" s="705"/>
      <c r="D104" s="705"/>
      <c r="E104" s="705"/>
      <c r="F104" s="705"/>
      <c r="G104" s="705"/>
      <c r="H104" s="705"/>
      <c r="I104" s="705"/>
      <c r="J104" s="705"/>
      <c r="K104" s="705"/>
      <c r="L104" s="705"/>
      <c r="M104" s="705"/>
    </row>
    <row r="105" spans="1:13" s="509" customFormat="1" ht="10.5" customHeight="1">
      <c r="A105" s="705"/>
      <c r="B105" s="705"/>
      <c r="C105" s="705"/>
      <c r="D105" s="705"/>
      <c r="E105" s="705"/>
      <c r="F105" s="705"/>
      <c r="G105" s="705"/>
      <c r="H105" s="705"/>
      <c r="I105" s="705"/>
      <c r="J105" s="705"/>
      <c r="K105" s="705"/>
      <c r="L105" s="705"/>
      <c r="M105" s="705"/>
    </row>
    <row r="106" spans="1:13" s="509" customFormat="1" ht="10.5" customHeight="1">
      <c r="A106" s="705"/>
      <c r="B106" s="705"/>
      <c r="C106" s="705"/>
      <c r="D106" s="705"/>
      <c r="E106" s="705"/>
      <c r="F106" s="705"/>
      <c r="G106" s="705"/>
      <c r="H106" s="705"/>
      <c r="I106" s="705"/>
      <c r="J106" s="705"/>
      <c r="K106" s="705"/>
      <c r="L106" s="705"/>
      <c r="M106" s="705"/>
    </row>
    <row r="107" spans="1:13" s="509" customFormat="1" ht="10.5" customHeight="1">
      <c r="A107" s="705"/>
      <c r="B107" s="705"/>
      <c r="C107" s="705"/>
      <c r="D107" s="705"/>
      <c r="E107" s="705"/>
      <c r="F107" s="705"/>
      <c r="G107" s="705"/>
      <c r="H107" s="705"/>
      <c r="I107" s="705"/>
      <c r="J107" s="705"/>
      <c r="K107" s="705"/>
      <c r="L107" s="705"/>
      <c r="M107" s="705"/>
    </row>
    <row r="108" spans="1:13" s="509" customFormat="1" ht="10.5" customHeight="1">
      <c r="A108" s="705"/>
      <c r="B108" s="705"/>
      <c r="C108" s="705"/>
      <c r="D108" s="705"/>
      <c r="E108" s="705"/>
      <c r="F108" s="705"/>
      <c r="G108" s="705"/>
      <c r="H108" s="705"/>
      <c r="I108" s="705"/>
      <c r="J108" s="705"/>
      <c r="K108" s="705"/>
      <c r="L108" s="705"/>
      <c r="M108" s="705"/>
    </row>
    <row r="109" spans="1:13" s="509" customFormat="1" ht="10.5" customHeight="1">
      <c r="A109" s="705"/>
      <c r="B109" s="705"/>
      <c r="C109" s="705"/>
      <c r="D109" s="705"/>
      <c r="E109" s="705"/>
      <c r="F109" s="705"/>
      <c r="G109" s="705"/>
      <c r="H109" s="705"/>
      <c r="I109" s="705"/>
      <c r="J109" s="705"/>
      <c r="K109" s="705"/>
      <c r="L109" s="705"/>
      <c r="M109" s="705"/>
    </row>
    <row r="110" spans="1:13" s="509" customFormat="1" ht="10.5" customHeight="1">
      <c r="A110" s="705"/>
      <c r="B110" s="705"/>
      <c r="C110" s="705"/>
      <c r="D110" s="705"/>
      <c r="E110" s="705"/>
      <c r="F110" s="705"/>
      <c r="G110" s="705"/>
      <c r="H110" s="705"/>
      <c r="I110" s="705"/>
      <c r="J110" s="705"/>
      <c r="K110" s="705"/>
      <c r="L110" s="705"/>
      <c r="M110" s="705"/>
    </row>
    <row r="111" spans="1:13" s="509" customFormat="1" ht="10.5" customHeight="1">
      <c r="A111" s="705"/>
      <c r="B111" s="705"/>
      <c r="C111" s="705"/>
      <c r="D111" s="705"/>
      <c r="E111" s="705"/>
      <c r="F111" s="705"/>
      <c r="G111" s="705"/>
      <c r="H111" s="705"/>
      <c r="I111" s="705"/>
      <c r="J111" s="705"/>
      <c r="K111" s="705"/>
      <c r="L111" s="705"/>
      <c r="M111" s="705"/>
    </row>
    <row r="112" spans="1:13" s="509" customFormat="1" ht="10.5" customHeight="1">
      <c r="A112" s="705"/>
      <c r="B112" s="705"/>
      <c r="C112" s="705"/>
      <c r="D112" s="705"/>
      <c r="E112" s="705"/>
      <c r="F112" s="705"/>
      <c r="G112" s="705"/>
      <c r="H112" s="705"/>
      <c r="I112" s="705"/>
      <c r="J112" s="705"/>
      <c r="K112" s="705"/>
      <c r="L112" s="705"/>
      <c r="M112" s="705"/>
    </row>
    <row r="113" spans="1:13" s="509" customFormat="1" ht="10.5" customHeight="1">
      <c r="A113" s="705"/>
      <c r="B113" s="705"/>
      <c r="C113" s="705"/>
      <c r="D113" s="705"/>
      <c r="E113" s="705"/>
      <c r="F113" s="705"/>
      <c r="G113" s="705"/>
      <c r="H113" s="705"/>
      <c r="I113" s="705"/>
      <c r="J113" s="705"/>
      <c r="K113" s="705"/>
      <c r="L113" s="705"/>
      <c r="M113" s="705"/>
    </row>
    <row r="114" spans="1:13" s="509" customFormat="1" ht="10.5" customHeight="1">
      <c r="A114" s="705"/>
      <c r="B114" s="705"/>
      <c r="C114" s="705"/>
      <c r="D114" s="705"/>
      <c r="E114" s="705"/>
      <c r="F114" s="705"/>
      <c r="G114" s="705"/>
      <c r="H114" s="705"/>
      <c r="I114" s="705"/>
      <c r="J114" s="705"/>
      <c r="K114" s="705"/>
      <c r="L114" s="705"/>
      <c r="M114" s="705"/>
    </row>
    <row r="115" spans="1:13" s="509" customFormat="1" ht="10.5" customHeight="1">
      <c r="A115" s="705"/>
      <c r="B115" s="705"/>
      <c r="C115" s="705"/>
      <c r="D115" s="705"/>
      <c r="E115" s="705"/>
      <c r="F115" s="705"/>
      <c r="G115" s="705"/>
      <c r="H115" s="705"/>
      <c r="I115" s="705"/>
      <c r="J115" s="705"/>
      <c r="K115" s="705"/>
      <c r="L115" s="705"/>
      <c r="M115" s="705"/>
    </row>
    <row r="116" spans="1:13" s="509" customFormat="1" ht="10.5" customHeight="1">
      <c r="A116" s="705"/>
      <c r="B116" s="705"/>
      <c r="C116" s="705"/>
      <c r="D116" s="705"/>
      <c r="E116" s="705"/>
      <c r="F116" s="705"/>
      <c r="G116" s="705"/>
      <c r="H116" s="705"/>
      <c r="I116" s="705"/>
      <c r="J116" s="705"/>
      <c r="K116" s="705"/>
      <c r="L116" s="705"/>
      <c r="M116" s="705"/>
    </row>
    <row r="117" spans="1:13" s="509" customFormat="1" ht="10.5" customHeight="1">
      <c r="A117" s="705"/>
      <c r="B117" s="705"/>
      <c r="C117" s="705"/>
      <c r="D117" s="705"/>
      <c r="E117" s="705"/>
      <c r="F117" s="705"/>
      <c r="G117" s="705"/>
      <c r="H117" s="705"/>
      <c r="I117" s="705"/>
      <c r="J117" s="705"/>
      <c r="K117" s="705"/>
      <c r="L117" s="705"/>
      <c r="M117" s="705"/>
    </row>
    <row r="118" spans="1:13" s="509" customFormat="1" ht="10.5" customHeight="1">
      <c r="A118" s="705"/>
      <c r="B118" s="705"/>
      <c r="C118" s="705"/>
      <c r="D118" s="705"/>
      <c r="E118" s="705"/>
      <c r="F118" s="705"/>
      <c r="G118" s="705"/>
      <c r="H118" s="705"/>
      <c r="I118" s="705"/>
      <c r="J118" s="705"/>
      <c r="K118" s="705"/>
      <c r="L118" s="705"/>
      <c r="M118" s="705"/>
    </row>
    <row r="119" spans="1:13" s="509" customFormat="1" ht="10.5" customHeight="1">
      <c r="A119" s="705"/>
      <c r="B119" s="705"/>
      <c r="C119" s="705"/>
      <c r="D119" s="705"/>
      <c r="E119" s="705"/>
      <c r="F119" s="705"/>
      <c r="G119" s="705"/>
      <c r="H119" s="705"/>
      <c r="I119" s="705"/>
      <c r="J119" s="705"/>
      <c r="K119" s="705"/>
      <c r="L119" s="705"/>
      <c r="M119" s="705"/>
    </row>
    <row r="120" spans="1:13" s="509" customFormat="1" ht="10.5" customHeight="1">
      <c r="A120" s="705"/>
      <c r="B120" s="705"/>
      <c r="C120" s="705"/>
      <c r="D120" s="705"/>
      <c r="E120" s="705"/>
      <c r="F120" s="705"/>
      <c r="G120" s="705"/>
      <c r="H120" s="705"/>
      <c r="I120" s="705"/>
      <c r="J120" s="705"/>
      <c r="K120" s="705"/>
      <c r="L120" s="705"/>
      <c r="M120" s="705"/>
    </row>
    <row r="121" spans="1:13" s="509" customFormat="1" ht="10.5" customHeight="1">
      <c r="A121" s="705"/>
      <c r="B121" s="705"/>
      <c r="C121" s="705"/>
      <c r="D121" s="705"/>
      <c r="E121" s="705"/>
      <c r="F121" s="705"/>
      <c r="G121" s="705"/>
      <c r="H121" s="705"/>
      <c r="I121" s="705"/>
      <c r="J121" s="705"/>
      <c r="K121" s="705"/>
      <c r="L121" s="705"/>
      <c r="M121" s="705"/>
    </row>
    <row r="122" spans="1:13" s="509" customFormat="1" ht="10.5" customHeight="1">
      <c r="A122" s="705"/>
      <c r="B122" s="705"/>
      <c r="C122" s="705"/>
      <c r="D122" s="705"/>
      <c r="E122" s="705"/>
      <c r="F122" s="705"/>
      <c r="G122" s="705"/>
      <c r="H122" s="705"/>
      <c r="I122" s="705"/>
      <c r="J122" s="705"/>
      <c r="K122" s="705"/>
      <c r="L122" s="705"/>
      <c r="M122" s="705"/>
    </row>
    <row r="123" spans="1:13" s="509" customFormat="1" ht="10.5" customHeight="1">
      <c r="A123" s="705"/>
      <c r="B123" s="705"/>
      <c r="C123" s="705"/>
      <c r="D123" s="705"/>
      <c r="E123" s="705"/>
      <c r="F123" s="705"/>
      <c r="G123" s="705"/>
      <c r="H123" s="705"/>
      <c r="I123" s="705"/>
      <c r="J123" s="705"/>
      <c r="K123" s="705"/>
      <c r="L123" s="705"/>
      <c r="M123" s="705"/>
    </row>
    <row r="124" spans="1:13" s="509" customFormat="1" ht="10.5" customHeight="1">
      <c r="A124" s="705"/>
      <c r="B124" s="705"/>
      <c r="C124" s="705"/>
      <c r="D124" s="705"/>
      <c r="E124" s="705"/>
      <c r="F124" s="705"/>
      <c r="G124" s="705"/>
      <c r="H124" s="705"/>
      <c r="I124" s="705"/>
      <c r="J124" s="705"/>
      <c r="K124" s="705"/>
      <c r="L124" s="705"/>
      <c r="M124" s="705"/>
    </row>
    <row r="125" spans="1:13" s="509" customFormat="1" ht="10.5" customHeight="1">
      <c r="A125" s="705"/>
      <c r="B125" s="705"/>
      <c r="C125" s="705"/>
      <c r="D125" s="705"/>
      <c r="E125" s="705"/>
      <c r="F125" s="705"/>
      <c r="G125" s="705"/>
      <c r="H125" s="705"/>
      <c r="I125" s="705"/>
      <c r="J125" s="705"/>
      <c r="K125" s="705"/>
      <c r="L125" s="705"/>
      <c r="M125" s="705"/>
    </row>
    <row r="126" spans="1:13" s="509" customFormat="1" ht="10.5" customHeight="1">
      <c r="A126" s="705"/>
      <c r="B126" s="705"/>
      <c r="C126" s="705"/>
      <c r="D126" s="705"/>
      <c r="E126" s="705"/>
      <c r="F126" s="705"/>
      <c r="G126" s="705"/>
      <c r="H126" s="705"/>
      <c r="I126" s="705"/>
      <c r="J126" s="705"/>
      <c r="K126" s="705"/>
      <c r="L126" s="705"/>
      <c r="M126" s="705"/>
    </row>
    <row r="127" spans="1:13" s="509" customFormat="1" ht="10.5" customHeight="1">
      <c r="A127" s="705"/>
      <c r="B127" s="705"/>
      <c r="C127" s="705"/>
      <c r="D127" s="705"/>
      <c r="E127" s="705"/>
      <c r="F127" s="705"/>
      <c r="G127" s="705"/>
      <c r="H127" s="705"/>
      <c r="I127" s="705"/>
      <c r="J127" s="705"/>
      <c r="K127" s="705"/>
      <c r="L127" s="705"/>
      <c r="M127" s="705"/>
    </row>
    <row r="128" spans="1:13" s="509" customFormat="1" ht="10.5" customHeight="1">
      <c r="A128" s="705"/>
      <c r="B128" s="705"/>
      <c r="C128" s="705"/>
      <c r="D128" s="705"/>
      <c r="E128" s="705"/>
      <c r="F128" s="705"/>
      <c r="G128" s="705"/>
      <c r="H128" s="705"/>
      <c r="I128" s="705"/>
      <c r="J128" s="705"/>
      <c r="K128" s="705"/>
      <c r="L128" s="705"/>
      <c r="M128" s="705"/>
    </row>
    <row r="129" spans="1:13" s="509" customFormat="1" ht="10.5" customHeight="1">
      <c r="A129" s="705"/>
      <c r="B129" s="705"/>
      <c r="C129" s="705"/>
      <c r="D129" s="705"/>
      <c r="E129" s="705"/>
      <c r="F129" s="705"/>
      <c r="G129" s="705"/>
      <c r="H129" s="705"/>
      <c r="I129" s="705"/>
      <c r="J129" s="705"/>
      <c r="K129" s="705"/>
      <c r="L129" s="705"/>
      <c r="M129" s="705"/>
    </row>
    <row r="130" spans="1:13" s="509" customFormat="1" ht="10.5" customHeight="1">
      <c r="A130" s="705"/>
      <c r="B130" s="705"/>
      <c r="C130" s="705"/>
      <c r="D130" s="705"/>
      <c r="E130" s="705"/>
      <c r="F130" s="705"/>
      <c r="G130" s="705"/>
      <c r="H130" s="705"/>
      <c r="I130" s="705"/>
      <c r="J130" s="705"/>
      <c r="K130" s="705"/>
      <c r="L130" s="705"/>
      <c r="M130" s="705"/>
    </row>
    <row r="131" spans="1:13" s="509" customFormat="1" ht="10.5" customHeight="1">
      <c r="A131" s="705"/>
      <c r="B131" s="705"/>
      <c r="C131" s="705"/>
      <c r="D131" s="705"/>
      <c r="E131" s="705"/>
      <c r="F131" s="705"/>
      <c r="G131" s="705"/>
      <c r="H131" s="705"/>
      <c r="I131" s="705"/>
      <c r="J131" s="705"/>
      <c r="K131" s="705"/>
      <c r="L131" s="705"/>
      <c r="M131" s="705"/>
    </row>
    <row r="132" spans="1:13" s="509" customFormat="1" ht="10.5" customHeight="1">
      <c r="A132" s="705"/>
      <c r="B132" s="705"/>
      <c r="C132" s="705"/>
      <c r="D132" s="705"/>
      <c r="E132" s="705"/>
      <c r="F132" s="705"/>
      <c r="G132" s="705"/>
      <c r="H132" s="705"/>
      <c r="I132" s="705"/>
      <c r="J132" s="705"/>
      <c r="K132" s="705"/>
      <c r="L132" s="705"/>
      <c r="M132" s="705"/>
    </row>
    <row r="133" spans="1:13" s="509" customFormat="1" ht="10.5" customHeight="1">
      <c r="A133" s="705"/>
      <c r="B133" s="705"/>
      <c r="C133" s="705"/>
      <c r="D133" s="705"/>
      <c r="E133" s="705"/>
      <c r="F133" s="705"/>
      <c r="G133" s="705"/>
      <c r="H133" s="705"/>
      <c r="I133" s="705"/>
      <c r="J133" s="705"/>
      <c r="K133" s="705"/>
      <c r="L133" s="705"/>
      <c r="M133" s="705"/>
    </row>
    <row r="134" spans="1:13" s="509" customFormat="1" ht="10.5" customHeight="1">
      <c r="A134" s="705"/>
      <c r="B134" s="705"/>
      <c r="C134" s="705"/>
      <c r="D134" s="705"/>
      <c r="E134" s="705"/>
      <c r="F134" s="705"/>
      <c r="G134" s="705"/>
      <c r="H134" s="705"/>
      <c r="I134" s="705"/>
      <c r="J134" s="705"/>
      <c r="K134" s="705"/>
      <c r="L134" s="705"/>
      <c r="M134" s="705"/>
    </row>
    <row r="135" spans="1:13" s="509" customFormat="1" ht="10.5" customHeight="1">
      <c r="A135" s="705"/>
      <c r="B135" s="705"/>
      <c r="C135" s="705"/>
      <c r="D135" s="705"/>
      <c r="E135" s="705"/>
      <c r="F135" s="705"/>
      <c r="G135" s="705"/>
      <c r="H135" s="705"/>
      <c r="I135" s="705"/>
      <c r="J135" s="705"/>
      <c r="K135" s="705"/>
      <c r="L135" s="705"/>
      <c r="M135" s="705"/>
    </row>
    <row r="136" spans="1:13" s="509" customFormat="1" ht="10.5" customHeight="1">
      <c r="A136" s="705"/>
      <c r="B136" s="705"/>
      <c r="C136" s="705"/>
      <c r="D136" s="705"/>
      <c r="E136" s="705"/>
      <c r="F136" s="705"/>
      <c r="G136" s="705"/>
      <c r="H136" s="705"/>
      <c r="I136" s="705"/>
      <c r="J136" s="705"/>
      <c r="K136" s="705"/>
      <c r="L136" s="705"/>
      <c r="M136" s="705"/>
    </row>
    <row r="137" spans="1:13" s="509" customFormat="1" ht="10.5" customHeight="1">
      <c r="A137" s="705"/>
      <c r="B137" s="705"/>
      <c r="C137" s="705"/>
      <c r="D137" s="705"/>
      <c r="E137" s="705"/>
      <c r="F137" s="705"/>
      <c r="G137" s="705"/>
      <c r="H137" s="705"/>
      <c r="I137" s="705"/>
      <c r="J137" s="705"/>
      <c r="K137" s="705"/>
      <c r="L137" s="705"/>
      <c r="M137" s="705"/>
    </row>
    <row r="138" spans="1:13" s="509" customFormat="1" ht="10.5" customHeight="1">
      <c r="A138" s="705"/>
      <c r="B138" s="705"/>
      <c r="C138" s="705"/>
      <c r="D138" s="705"/>
      <c r="E138" s="705"/>
      <c r="F138" s="705"/>
      <c r="G138" s="705"/>
      <c r="H138" s="705"/>
      <c r="I138" s="705"/>
      <c r="J138" s="705"/>
      <c r="K138" s="705"/>
      <c r="L138" s="705"/>
      <c r="M138" s="705"/>
    </row>
    <row r="139" spans="1:13" s="509" customFormat="1" ht="10.5" customHeight="1">
      <c r="A139" s="705"/>
      <c r="B139" s="705"/>
      <c r="C139" s="705"/>
      <c r="D139" s="705"/>
      <c r="E139" s="705"/>
      <c r="F139" s="705"/>
      <c r="G139" s="705"/>
      <c r="H139" s="705"/>
      <c r="I139" s="705"/>
      <c r="J139" s="705"/>
      <c r="K139" s="705"/>
      <c r="L139" s="705"/>
      <c r="M139" s="705"/>
    </row>
    <row r="140" spans="1:13" s="509" customFormat="1" ht="10.5" customHeight="1">
      <c r="A140" s="705"/>
      <c r="B140" s="705"/>
      <c r="C140" s="705"/>
      <c r="D140" s="705"/>
      <c r="E140" s="705"/>
      <c r="F140" s="705"/>
      <c r="G140" s="705"/>
      <c r="H140" s="705"/>
      <c r="I140" s="705"/>
      <c r="J140" s="705"/>
      <c r="K140" s="705"/>
      <c r="L140" s="705"/>
      <c r="M140" s="705"/>
    </row>
    <row r="141" spans="1:13" s="509" customFormat="1" ht="10.5" customHeight="1">
      <c r="A141" s="705"/>
      <c r="B141" s="705"/>
      <c r="C141" s="705"/>
      <c r="D141" s="705"/>
      <c r="E141" s="705"/>
      <c r="F141" s="705"/>
      <c r="G141" s="705"/>
      <c r="H141" s="705"/>
      <c r="I141" s="705"/>
      <c r="J141" s="705"/>
      <c r="K141" s="705"/>
      <c r="L141" s="705"/>
      <c r="M141" s="705"/>
    </row>
    <row r="142" spans="1:13" s="509" customFormat="1" ht="10.5" customHeight="1">
      <c r="A142" s="705"/>
      <c r="B142" s="705"/>
      <c r="C142" s="705"/>
      <c r="D142" s="705"/>
      <c r="E142" s="705"/>
      <c r="F142" s="705"/>
      <c r="G142" s="705"/>
      <c r="H142" s="705"/>
      <c r="I142" s="705"/>
      <c r="J142" s="705"/>
      <c r="K142" s="705"/>
      <c r="L142" s="705"/>
      <c r="M142" s="705"/>
    </row>
    <row r="143" spans="1:13" s="509" customFormat="1" ht="10.5" customHeight="1">
      <c r="A143" s="705"/>
      <c r="B143" s="705"/>
      <c r="C143" s="705"/>
      <c r="D143" s="705"/>
      <c r="E143" s="705"/>
      <c r="F143" s="705"/>
      <c r="G143" s="705"/>
      <c r="H143" s="705"/>
      <c r="I143" s="705"/>
      <c r="J143" s="705"/>
      <c r="K143" s="705"/>
      <c r="L143" s="705"/>
      <c r="M143" s="705"/>
    </row>
    <row r="144" spans="1:13" s="509" customFormat="1" ht="10.5" customHeight="1">
      <c r="A144" s="705"/>
      <c r="B144" s="705"/>
      <c r="C144" s="705"/>
      <c r="D144" s="705"/>
      <c r="E144" s="705"/>
      <c r="F144" s="705"/>
      <c r="G144" s="705"/>
      <c r="H144" s="705"/>
      <c r="I144" s="705"/>
      <c r="J144" s="705"/>
      <c r="K144" s="705"/>
      <c r="L144" s="705"/>
      <c r="M144" s="705"/>
    </row>
    <row r="145" spans="1:13" s="509" customFormat="1" ht="10.5" customHeight="1">
      <c r="A145" s="705"/>
      <c r="B145" s="705"/>
      <c r="C145" s="705"/>
      <c r="D145" s="705"/>
      <c r="E145" s="705"/>
      <c r="F145" s="705"/>
      <c r="G145" s="705"/>
      <c r="H145" s="705"/>
      <c r="I145" s="705"/>
      <c r="J145" s="705"/>
      <c r="K145" s="705"/>
      <c r="L145" s="705"/>
      <c r="M145" s="705"/>
    </row>
    <row r="146" spans="1:13" s="509" customFormat="1" ht="10.5" customHeight="1">
      <c r="A146" s="705"/>
      <c r="B146" s="705"/>
      <c r="C146" s="705"/>
      <c r="D146" s="705"/>
      <c r="E146" s="705"/>
      <c r="F146" s="705"/>
      <c r="G146" s="705"/>
      <c r="H146" s="705"/>
      <c r="I146" s="705"/>
      <c r="J146" s="705"/>
      <c r="K146" s="705"/>
      <c r="L146" s="705"/>
      <c r="M146" s="705"/>
    </row>
    <row r="147" spans="1:13" s="509" customFormat="1" ht="10.5" customHeight="1">
      <c r="A147" s="705"/>
      <c r="B147" s="705"/>
      <c r="C147" s="705"/>
      <c r="D147" s="705"/>
      <c r="E147" s="705"/>
      <c r="F147" s="705"/>
      <c r="G147" s="705"/>
      <c r="H147" s="705"/>
      <c r="I147" s="705"/>
      <c r="J147" s="705"/>
      <c r="K147" s="705"/>
      <c r="L147" s="705"/>
      <c r="M147" s="705"/>
    </row>
    <row r="148" spans="1:13" s="509" customFormat="1" ht="10.5" customHeight="1">
      <c r="A148" s="705"/>
      <c r="B148" s="705"/>
      <c r="C148" s="705"/>
      <c r="D148" s="705"/>
      <c r="E148" s="705"/>
      <c r="F148" s="705"/>
      <c r="G148" s="705"/>
      <c r="H148" s="705"/>
      <c r="I148" s="705"/>
      <c r="J148" s="705"/>
      <c r="K148" s="705"/>
      <c r="L148" s="705"/>
      <c r="M148" s="705"/>
    </row>
    <row r="149" spans="1:13" s="509" customFormat="1" ht="10.5" customHeight="1">
      <c r="A149" s="705"/>
      <c r="B149" s="705"/>
      <c r="C149" s="705"/>
      <c r="D149" s="705"/>
      <c r="E149" s="705"/>
      <c r="F149" s="705"/>
      <c r="G149" s="705"/>
      <c r="H149" s="705"/>
      <c r="I149" s="705"/>
      <c r="J149" s="705"/>
      <c r="K149" s="705"/>
      <c r="L149" s="705"/>
      <c r="M149" s="705"/>
    </row>
    <row r="150" spans="1:13" s="509" customFormat="1" ht="10.5" customHeight="1">
      <c r="A150" s="705"/>
      <c r="B150" s="705"/>
      <c r="C150" s="705"/>
      <c r="D150" s="705"/>
      <c r="E150" s="705"/>
      <c r="F150" s="705"/>
      <c r="G150" s="705"/>
      <c r="H150" s="705"/>
      <c r="I150" s="705"/>
      <c r="J150" s="705"/>
      <c r="K150" s="705"/>
      <c r="L150" s="705"/>
      <c r="M150" s="705"/>
    </row>
    <row r="151" spans="1:13" s="509" customFormat="1" ht="10.5" customHeight="1">
      <c r="A151" s="705"/>
      <c r="B151" s="705"/>
      <c r="C151" s="705"/>
      <c r="D151" s="705"/>
      <c r="E151" s="705"/>
      <c r="F151" s="705"/>
      <c r="G151" s="705"/>
      <c r="H151" s="705"/>
      <c r="I151" s="705"/>
      <c r="J151" s="705"/>
      <c r="K151" s="705"/>
      <c r="L151" s="705"/>
      <c r="M151" s="705"/>
    </row>
    <row r="152" spans="1:13" s="509" customFormat="1" ht="10.5" customHeight="1">
      <c r="A152" s="705"/>
      <c r="B152" s="705"/>
      <c r="C152" s="705"/>
      <c r="D152" s="705"/>
      <c r="E152" s="705"/>
      <c r="F152" s="705"/>
      <c r="G152" s="705"/>
      <c r="H152" s="705"/>
      <c r="I152" s="705"/>
      <c r="J152" s="705"/>
      <c r="K152" s="705"/>
      <c r="L152" s="705"/>
      <c r="M152" s="705"/>
    </row>
    <row r="153" spans="1:13" s="509" customFormat="1" ht="10.5" customHeight="1">
      <c r="A153" s="705"/>
      <c r="B153" s="705"/>
      <c r="C153" s="705"/>
      <c r="D153" s="705"/>
      <c r="E153" s="705"/>
      <c r="F153" s="705"/>
      <c r="G153" s="705"/>
      <c r="H153" s="705"/>
      <c r="I153" s="705"/>
      <c r="J153" s="705"/>
      <c r="K153" s="705"/>
      <c r="L153" s="705"/>
      <c r="M153" s="705"/>
    </row>
    <row r="154" spans="1:13" s="509" customFormat="1" ht="10.5" customHeight="1">
      <c r="A154" s="705"/>
      <c r="B154" s="705"/>
      <c r="C154" s="705"/>
      <c r="D154" s="705"/>
      <c r="E154" s="705"/>
      <c r="F154" s="705"/>
      <c r="G154" s="705"/>
      <c r="H154" s="705"/>
      <c r="I154" s="705"/>
      <c r="J154" s="705"/>
      <c r="K154" s="705"/>
      <c r="L154" s="705"/>
      <c r="M154" s="705"/>
    </row>
    <row r="155" spans="1:13" s="509" customFormat="1" ht="10.5" customHeight="1">
      <c r="A155" s="705"/>
      <c r="B155" s="705"/>
      <c r="C155" s="705"/>
      <c r="D155" s="705"/>
      <c r="E155" s="705"/>
      <c r="F155" s="705"/>
      <c r="G155" s="705"/>
      <c r="H155" s="705"/>
      <c r="I155" s="705"/>
      <c r="J155" s="705"/>
      <c r="K155" s="705"/>
      <c r="L155" s="705"/>
      <c r="M155" s="705"/>
    </row>
    <row r="156" spans="1:13" s="509" customFormat="1" ht="10.5" customHeight="1">
      <c r="A156" s="705"/>
      <c r="B156" s="705"/>
      <c r="C156" s="705"/>
      <c r="D156" s="705"/>
      <c r="E156" s="705"/>
      <c r="F156" s="705"/>
      <c r="G156" s="705"/>
      <c r="H156" s="705"/>
      <c r="I156" s="705"/>
      <c r="J156" s="705"/>
      <c r="K156" s="705"/>
      <c r="L156" s="705"/>
      <c r="M156" s="705"/>
    </row>
    <row r="157" spans="1:13" s="509" customFormat="1" ht="10.5" customHeight="1">
      <c r="A157" s="705"/>
      <c r="B157" s="705"/>
      <c r="C157" s="705"/>
      <c r="D157" s="705"/>
      <c r="E157" s="705"/>
      <c r="F157" s="705"/>
      <c r="G157" s="705"/>
      <c r="H157" s="705"/>
      <c r="I157" s="705"/>
      <c r="J157" s="705"/>
      <c r="K157" s="705"/>
      <c r="L157" s="705"/>
      <c r="M157" s="705"/>
    </row>
    <row r="158" spans="1:13" s="509" customFormat="1" ht="10.5" customHeight="1">
      <c r="A158" s="705"/>
      <c r="B158" s="705"/>
      <c r="C158" s="705"/>
      <c r="D158" s="705"/>
      <c r="E158" s="705"/>
      <c r="F158" s="705"/>
      <c r="G158" s="705"/>
      <c r="H158" s="705"/>
      <c r="I158" s="705"/>
      <c r="J158" s="705"/>
      <c r="K158" s="705"/>
      <c r="L158" s="705"/>
      <c r="M158" s="705"/>
    </row>
    <row r="159" spans="1:13" s="509" customFormat="1" ht="10.5" customHeight="1">
      <c r="A159" s="705"/>
      <c r="B159" s="705"/>
      <c r="C159" s="705"/>
      <c r="D159" s="705"/>
      <c r="E159" s="705"/>
      <c r="F159" s="705"/>
      <c r="G159" s="705"/>
      <c r="H159" s="705"/>
      <c r="I159" s="705"/>
      <c r="J159" s="705"/>
      <c r="K159" s="705"/>
      <c r="L159" s="705"/>
      <c r="M159" s="705"/>
    </row>
    <row r="160" spans="1:13" s="509" customFormat="1" ht="8.25">
      <c r="A160" s="705"/>
      <c r="B160" s="705"/>
      <c r="C160" s="705"/>
      <c r="D160" s="705"/>
      <c r="E160" s="705"/>
      <c r="F160" s="705"/>
      <c r="G160" s="705"/>
      <c r="H160" s="705"/>
      <c r="I160" s="705"/>
      <c r="J160" s="705"/>
      <c r="K160" s="705"/>
      <c r="L160" s="705"/>
      <c r="M160" s="705"/>
    </row>
    <row r="161" spans="1:13" s="509" customFormat="1" ht="8.25">
      <c r="A161" s="705"/>
      <c r="B161" s="705"/>
      <c r="C161" s="705"/>
      <c r="D161" s="705"/>
      <c r="E161" s="705"/>
      <c r="F161" s="705"/>
      <c r="G161" s="705"/>
      <c r="H161" s="705"/>
      <c r="I161" s="705"/>
      <c r="J161" s="705"/>
      <c r="K161" s="705"/>
      <c r="L161" s="705"/>
      <c r="M161" s="705"/>
    </row>
    <row r="162" spans="1:13" s="509" customFormat="1" ht="8.25">
      <c r="A162" s="705"/>
      <c r="B162" s="705"/>
      <c r="C162" s="705"/>
      <c r="D162" s="705"/>
      <c r="E162" s="705"/>
      <c r="F162" s="705"/>
      <c r="G162" s="705"/>
      <c r="H162" s="705"/>
      <c r="I162" s="705"/>
      <c r="J162" s="705"/>
      <c r="K162" s="705"/>
      <c r="L162" s="705"/>
      <c r="M162" s="705"/>
    </row>
    <row r="163" spans="1:13" s="509" customFormat="1" ht="8.25">
      <c r="A163" s="705"/>
      <c r="B163" s="705"/>
      <c r="C163" s="705"/>
      <c r="D163" s="705"/>
      <c r="E163" s="705"/>
      <c r="F163" s="705"/>
      <c r="G163" s="705"/>
      <c r="H163" s="705"/>
      <c r="I163" s="705"/>
      <c r="J163" s="705"/>
      <c r="K163" s="705"/>
      <c r="L163" s="705"/>
      <c r="M163" s="705"/>
    </row>
    <row r="164" spans="1:13" s="509" customFormat="1" ht="8.25">
      <c r="A164" s="705"/>
      <c r="B164" s="705"/>
      <c r="C164" s="705"/>
      <c r="D164" s="705"/>
      <c r="E164" s="705"/>
      <c r="F164" s="705"/>
      <c r="G164" s="705"/>
      <c r="H164" s="705"/>
      <c r="I164" s="705"/>
      <c r="J164" s="705"/>
      <c r="K164" s="705"/>
      <c r="L164" s="705"/>
      <c r="M164" s="705"/>
    </row>
    <row r="165" spans="1:13" s="509" customFormat="1" ht="8.25">
      <c r="A165" s="705"/>
      <c r="B165" s="705"/>
      <c r="C165" s="705"/>
      <c r="D165" s="705"/>
      <c r="E165" s="705"/>
      <c r="F165" s="705"/>
      <c r="G165" s="705"/>
      <c r="H165" s="705"/>
      <c r="I165" s="705"/>
      <c r="J165" s="705"/>
      <c r="K165" s="705"/>
      <c r="L165" s="705"/>
      <c r="M165" s="705"/>
    </row>
    <row r="166" spans="1:13" s="509" customFormat="1" ht="8.25">
      <c r="A166" s="705"/>
      <c r="B166" s="705"/>
      <c r="C166" s="705"/>
      <c r="D166" s="705"/>
      <c r="E166" s="705"/>
      <c r="F166" s="705"/>
      <c r="G166" s="705"/>
      <c r="H166" s="705"/>
      <c r="I166" s="705"/>
      <c r="J166" s="705"/>
      <c r="K166" s="705"/>
      <c r="L166" s="705"/>
      <c r="M166" s="705"/>
    </row>
    <row r="167" spans="1:13" s="509" customFormat="1" ht="8.25">
      <c r="A167" s="705"/>
      <c r="B167" s="705"/>
      <c r="C167" s="705"/>
      <c r="D167" s="705"/>
      <c r="E167" s="705"/>
      <c r="F167" s="705"/>
      <c r="G167" s="705"/>
      <c r="H167" s="705"/>
      <c r="I167" s="705"/>
      <c r="J167" s="705"/>
      <c r="K167" s="705"/>
      <c r="L167" s="705"/>
      <c r="M167" s="705"/>
    </row>
    <row r="168" spans="1:13" s="509" customFormat="1" ht="8.25">
      <c r="A168" s="705"/>
      <c r="B168" s="705"/>
      <c r="C168" s="705"/>
      <c r="D168" s="705"/>
      <c r="E168" s="705"/>
      <c r="F168" s="705"/>
      <c r="G168" s="705"/>
      <c r="H168" s="705"/>
      <c r="I168" s="705"/>
      <c r="J168" s="705"/>
      <c r="K168" s="705"/>
      <c r="L168" s="705"/>
      <c r="M168" s="705"/>
    </row>
    <row r="169" spans="1:13" s="509" customFormat="1" ht="8.25">
      <c r="A169" s="705"/>
      <c r="B169" s="705"/>
      <c r="C169" s="705"/>
      <c r="D169" s="705"/>
      <c r="E169" s="705"/>
      <c r="F169" s="705"/>
      <c r="G169" s="705"/>
      <c r="H169" s="705"/>
      <c r="I169" s="705"/>
      <c r="J169" s="705"/>
      <c r="K169" s="705"/>
      <c r="L169" s="705"/>
      <c r="M169" s="705"/>
    </row>
    <row r="170" spans="1:13" s="509" customFormat="1" ht="8.25">
      <c r="A170" s="705"/>
      <c r="B170" s="705"/>
      <c r="C170" s="705"/>
      <c r="D170" s="705"/>
      <c r="E170" s="705"/>
      <c r="F170" s="705"/>
      <c r="G170" s="705"/>
      <c r="H170" s="705"/>
      <c r="I170" s="705"/>
      <c r="J170" s="705"/>
      <c r="K170" s="705"/>
      <c r="L170" s="705"/>
      <c r="M170" s="705"/>
    </row>
    <row r="171" spans="1:13" s="509" customFormat="1" ht="8.25">
      <c r="A171" s="705"/>
      <c r="B171" s="705"/>
      <c r="C171" s="705"/>
      <c r="D171" s="705"/>
      <c r="E171" s="705"/>
      <c r="F171" s="705"/>
      <c r="G171" s="705"/>
      <c r="H171" s="705"/>
      <c r="I171" s="705"/>
      <c r="J171" s="705"/>
      <c r="K171" s="705"/>
      <c r="L171" s="705"/>
      <c r="M171" s="705"/>
    </row>
    <row r="172" spans="1:13" s="509" customFormat="1" ht="8.25">
      <c r="A172" s="705"/>
      <c r="B172" s="705"/>
      <c r="C172" s="705"/>
      <c r="D172" s="705"/>
      <c r="E172" s="705"/>
      <c r="F172" s="705"/>
      <c r="G172" s="705"/>
      <c r="H172" s="705"/>
      <c r="I172" s="705"/>
      <c r="J172" s="705"/>
      <c r="K172" s="705"/>
      <c r="L172" s="705"/>
      <c r="M172" s="705"/>
    </row>
    <row r="173" spans="1:13" s="509" customFormat="1" ht="8.25">
      <c r="A173" s="705"/>
      <c r="B173" s="705"/>
      <c r="C173" s="705"/>
      <c r="D173" s="705"/>
      <c r="E173" s="705"/>
      <c r="F173" s="705"/>
      <c r="G173" s="705"/>
      <c r="H173" s="705"/>
      <c r="I173" s="705"/>
      <c r="J173" s="705"/>
      <c r="K173" s="705"/>
      <c r="L173" s="705"/>
      <c r="M173" s="705"/>
    </row>
    <row r="174" spans="1:13" s="509" customFormat="1" ht="8.25">
      <c r="A174" s="705"/>
      <c r="B174" s="705"/>
      <c r="C174" s="705"/>
      <c r="D174" s="705"/>
      <c r="E174" s="705"/>
      <c r="F174" s="705"/>
      <c r="G174" s="705"/>
      <c r="H174" s="705"/>
      <c r="I174" s="705"/>
      <c r="J174" s="705"/>
      <c r="K174" s="705"/>
      <c r="L174" s="705"/>
      <c r="M174" s="705"/>
    </row>
    <row r="175" spans="1:13" s="509" customFormat="1" ht="8.25">
      <c r="A175" s="705"/>
      <c r="B175" s="705"/>
      <c r="C175" s="705"/>
      <c r="D175" s="705"/>
      <c r="E175" s="705"/>
      <c r="F175" s="705"/>
      <c r="G175" s="705"/>
      <c r="H175" s="705"/>
      <c r="I175" s="705"/>
      <c r="J175" s="705"/>
      <c r="K175" s="705"/>
      <c r="L175" s="705"/>
      <c r="M175" s="705"/>
    </row>
    <row r="176" spans="1:13" s="509" customFormat="1" ht="8.25">
      <c r="A176" s="705"/>
      <c r="B176" s="705"/>
      <c r="C176" s="705"/>
      <c r="D176" s="705"/>
      <c r="E176" s="705"/>
      <c r="F176" s="705"/>
      <c r="G176" s="705"/>
      <c r="H176" s="705"/>
      <c r="I176" s="705"/>
      <c r="J176" s="705"/>
      <c r="K176" s="705"/>
      <c r="L176" s="705"/>
      <c r="M176" s="705"/>
    </row>
    <row r="177" spans="1:13" s="509" customFormat="1" ht="8.25">
      <c r="A177" s="705"/>
      <c r="B177" s="705"/>
      <c r="C177" s="705"/>
      <c r="D177" s="705"/>
      <c r="E177" s="705"/>
      <c r="F177" s="705"/>
      <c r="G177" s="705"/>
      <c r="H177" s="705"/>
      <c r="I177" s="705"/>
      <c r="J177" s="705"/>
      <c r="K177" s="705"/>
      <c r="L177" s="705"/>
      <c r="M177" s="705"/>
    </row>
    <row r="178" spans="1:13" s="509" customFormat="1" ht="8.25">
      <c r="A178" s="705"/>
      <c r="B178" s="705"/>
      <c r="C178" s="705"/>
      <c r="D178" s="705"/>
      <c r="E178" s="705"/>
      <c r="F178" s="705"/>
      <c r="G178" s="705"/>
      <c r="H178" s="705"/>
      <c r="I178" s="705"/>
      <c r="J178" s="705"/>
      <c r="K178" s="705"/>
      <c r="L178" s="705"/>
      <c r="M178" s="705"/>
    </row>
    <row r="179" spans="1:13" s="509" customFormat="1" ht="8.25">
      <c r="A179" s="705"/>
      <c r="B179" s="705"/>
      <c r="C179" s="705"/>
      <c r="D179" s="705"/>
      <c r="E179" s="705"/>
      <c r="F179" s="705"/>
      <c r="G179" s="705"/>
      <c r="H179" s="705"/>
      <c r="I179" s="705"/>
      <c r="J179" s="705"/>
      <c r="K179" s="705"/>
      <c r="L179" s="705"/>
      <c r="M179" s="705"/>
    </row>
    <row r="180" spans="1:13" s="509" customFormat="1" ht="8.25">
      <c r="A180" s="705"/>
      <c r="B180" s="705"/>
      <c r="C180" s="705"/>
      <c r="D180" s="705"/>
      <c r="E180" s="705"/>
      <c r="F180" s="705"/>
      <c r="G180" s="705"/>
      <c r="H180" s="705"/>
      <c r="I180" s="705"/>
      <c r="J180" s="705"/>
      <c r="K180" s="705"/>
      <c r="L180" s="705"/>
      <c r="M180" s="705"/>
    </row>
  </sheetData>
  <mergeCells count="3">
    <mergeCell ref="A2:A5"/>
    <mergeCell ref="B2:B5"/>
    <mergeCell ref="C2:F2"/>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FDCF-538A-4FFD-97F3-49058BD97855}">
  <sheetPr>
    <tabColor theme="4"/>
  </sheetPr>
  <dimension ref="A1:M114"/>
  <sheetViews>
    <sheetView showGridLines="0" view="pageBreakPreview" zoomScale="85" zoomScaleNormal="100" zoomScaleSheetLayoutView="85" zoomScalePageLayoutView="160" workbookViewId="0">
      <selection activeCell="Q15" sqref="Q15"/>
    </sheetView>
  </sheetViews>
  <sheetFormatPr defaultRowHeight="9"/>
  <cols>
    <col min="1" max="1" width="28.6640625" style="393" customWidth="1"/>
    <col min="2" max="2" width="22.1640625" style="393" customWidth="1"/>
    <col min="3" max="4" width="17.6640625" style="393" customWidth="1"/>
    <col min="5" max="5" width="15.1640625" style="393" customWidth="1"/>
    <col min="6" max="6" width="13.33203125" style="393" customWidth="1"/>
    <col min="7" max="9" width="9.33203125" style="393"/>
    <col min="10" max="11" width="9.33203125" style="393" customWidth="1"/>
    <col min="12" max="13" width="9.33203125" style="393"/>
    <col min="14" max="16384" width="9.33203125" style="394"/>
  </cols>
  <sheetData>
    <row r="1" spans="1:13" s="509" customFormat="1" ht="11.25" customHeight="1">
      <c r="A1" s="986" t="s">
        <v>284</v>
      </c>
      <c r="B1" s="989" t="s">
        <v>57</v>
      </c>
      <c r="C1" s="989" t="s">
        <v>452</v>
      </c>
      <c r="D1" s="989"/>
      <c r="E1" s="989"/>
      <c r="F1" s="992"/>
      <c r="G1" s="711"/>
      <c r="H1" s="711"/>
      <c r="I1" s="711"/>
      <c r="J1" s="711"/>
      <c r="K1" s="711"/>
      <c r="L1" s="705"/>
      <c r="M1" s="705"/>
    </row>
    <row r="2" spans="1:13" s="509" customFormat="1" ht="11.25" customHeight="1">
      <c r="A2" s="987"/>
      <c r="B2" s="990"/>
      <c r="C2" s="840" t="str">
        <f>+'21. ANEXOII-1'!C3</f>
        <v>AGOSTO 2018</v>
      </c>
      <c r="D2" s="841" t="str">
        <f>+'21. ANEXOII-1'!D3</f>
        <v>AGOSTO 2017</v>
      </c>
      <c r="E2" s="842">
        <v>2018</v>
      </c>
      <c r="F2" s="843" t="s">
        <v>450</v>
      </c>
      <c r="G2" s="712"/>
      <c r="H2" s="712"/>
      <c r="I2" s="712"/>
      <c r="J2" s="712"/>
      <c r="K2" s="712"/>
      <c r="L2" s="713"/>
      <c r="M2" s="705"/>
    </row>
    <row r="3" spans="1:13" s="509" customFormat="1" ht="11.25" customHeight="1">
      <c r="A3" s="987"/>
      <c r="B3" s="990"/>
      <c r="C3" s="844">
        <f>+'8. Max Potencia'!D8</f>
        <v>43340.833333333336</v>
      </c>
      <c r="D3" s="844">
        <f>+'8. Max Potencia'!E8</f>
        <v>42971.791666666664</v>
      </c>
      <c r="E3" s="844">
        <f>+'8. Max Potencia'!G8</f>
        <v>43214.78125</v>
      </c>
      <c r="F3" s="845" t="s">
        <v>441</v>
      </c>
      <c r="G3" s="714"/>
      <c r="H3" s="714"/>
      <c r="I3" s="715"/>
      <c r="J3" s="715"/>
      <c r="K3" s="715"/>
      <c r="L3" s="713"/>
      <c r="M3" s="705"/>
    </row>
    <row r="4" spans="1:13" s="509" customFormat="1" ht="11.25" customHeight="1">
      <c r="A4" s="988"/>
      <c r="B4" s="991"/>
      <c r="C4" s="846">
        <f>+'8. Max Potencia'!D9</f>
        <v>43340.833333333336</v>
      </c>
      <c r="D4" s="846">
        <f>+'8. Max Potencia'!E9</f>
        <v>42971.791666666664</v>
      </c>
      <c r="E4" s="846">
        <f>+'8. Max Potencia'!G9</f>
        <v>43214.78125</v>
      </c>
      <c r="F4" s="847" t="s">
        <v>442</v>
      </c>
      <c r="G4" s="714"/>
      <c r="H4" s="714"/>
      <c r="I4" s="714"/>
      <c r="J4" s="714"/>
      <c r="K4" s="714"/>
      <c r="L4" s="716"/>
      <c r="M4" s="705"/>
    </row>
    <row r="5" spans="1:13" s="509" customFormat="1" ht="10.5" customHeight="1">
      <c r="A5" s="704" t="s">
        <v>103</v>
      </c>
      <c r="B5" s="722" t="s">
        <v>727</v>
      </c>
      <c r="C5" s="723">
        <v>0</v>
      </c>
      <c r="D5" s="723"/>
      <c r="E5" s="723">
        <v>0</v>
      </c>
      <c r="F5" s="724" t="str">
        <f>+IF(D5=0,"",C5/D5-1)</f>
        <v/>
      </c>
      <c r="G5" s="705"/>
      <c r="H5" s="705"/>
      <c r="I5" s="705"/>
      <c r="J5" s="705"/>
      <c r="K5" s="705"/>
      <c r="L5" s="705"/>
      <c r="M5" s="705"/>
    </row>
    <row r="6" spans="1:13" s="509" customFormat="1" ht="10.5" customHeight="1">
      <c r="A6" s="704"/>
      <c r="B6" s="722" t="s">
        <v>732</v>
      </c>
      <c r="C6" s="723">
        <v>77.925520000000006</v>
      </c>
      <c r="D6" s="723"/>
      <c r="E6" s="723">
        <v>124.78003</v>
      </c>
      <c r="F6" s="724" t="str">
        <f t="shared" ref="F6:F69" si="0">+IF(D6=0,"",C6/D6-1)</f>
        <v/>
      </c>
      <c r="G6" s="705"/>
      <c r="H6" s="705"/>
      <c r="I6" s="705"/>
      <c r="J6" s="705"/>
      <c r="K6" s="705"/>
      <c r="L6" s="705"/>
      <c r="M6" s="705"/>
    </row>
    <row r="7" spans="1:13" s="509" customFormat="1" ht="10.5" customHeight="1">
      <c r="A7" s="862" t="s">
        <v>370</v>
      </c>
      <c r="B7" s="863"/>
      <c r="C7" s="867">
        <v>77.925520000000006</v>
      </c>
      <c r="D7" s="867"/>
      <c r="E7" s="867">
        <v>124.78003</v>
      </c>
      <c r="F7" s="868" t="str">
        <f t="shared" si="0"/>
        <v/>
      </c>
      <c r="G7" s="705"/>
      <c r="H7" s="705"/>
      <c r="I7" s="705"/>
      <c r="J7" s="705"/>
      <c r="K7" s="705"/>
      <c r="L7" s="705"/>
      <c r="M7" s="705"/>
    </row>
    <row r="8" spans="1:13" s="509" customFormat="1" ht="10.5" customHeight="1">
      <c r="A8" s="704" t="s">
        <v>102</v>
      </c>
      <c r="B8" s="722" t="s">
        <v>81</v>
      </c>
      <c r="C8" s="723">
        <v>28.839849999999998</v>
      </c>
      <c r="D8" s="723">
        <v>35.302329999999998</v>
      </c>
      <c r="E8" s="723">
        <v>56.373829999999998</v>
      </c>
      <c r="F8" s="724">
        <f t="shared" si="0"/>
        <v>-0.18306100475521025</v>
      </c>
      <c r="G8" s="705"/>
      <c r="H8" s="705"/>
      <c r="I8" s="705"/>
      <c r="J8" s="705"/>
      <c r="K8" s="705"/>
      <c r="L8" s="705"/>
      <c r="M8" s="705"/>
    </row>
    <row r="9" spans="1:13" s="509" customFormat="1" ht="10.5" customHeight="1">
      <c r="A9" s="704"/>
      <c r="B9" s="722" t="s">
        <v>83</v>
      </c>
      <c r="C9" s="723">
        <v>2.56108</v>
      </c>
      <c r="D9" s="723">
        <v>16.04194</v>
      </c>
      <c r="E9" s="723">
        <v>12.37213</v>
      </c>
      <c r="F9" s="724">
        <f t="shared" si="0"/>
        <v>-0.84035097999369157</v>
      </c>
      <c r="G9" s="705"/>
      <c r="H9" s="705"/>
      <c r="I9" s="705"/>
      <c r="J9" s="705"/>
      <c r="K9" s="705"/>
      <c r="L9" s="705"/>
      <c r="M9" s="705"/>
    </row>
    <row r="10" spans="1:13" s="509" customFormat="1" ht="10.5" customHeight="1">
      <c r="A10" s="862" t="s">
        <v>371</v>
      </c>
      <c r="B10" s="863"/>
      <c r="C10" s="867">
        <v>31.400929999999999</v>
      </c>
      <c r="D10" s="867">
        <v>51.344269999999995</v>
      </c>
      <c r="E10" s="867">
        <v>68.745959999999997</v>
      </c>
      <c r="F10" s="868">
        <f t="shared" si="0"/>
        <v>-0.38842386891468117</v>
      </c>
      <c r="G10" s="705"/>
      <c r="H10" s="705"/>
      <c r="I10" s="705"/>
      <c r="J10" s="705"/>
      <c r="K10" s="705"/>
      <c r="L10" s="705"/>
      <c r="M10" s="705"/>
    </row>
    <row r="11" spans="1:13" s="509" customFormat="1" ht="10.5" customHeight="1">
      <c r="A11" s="704" t="s">
        <v>92</v>
      </c>
      <c r="B11" s="722" t="s">
        <v>372</v>
      </c>
      <c r="C11" s="723">
        <v>54.5747</v>
      </c>
      <c r="D11" s="723">
        <v>40.022210000000001</v>
      </c>
      <c r="E11" s="723">
        <v>108.30475</v>
      </c>
      <c r="F11" s="724">
        <f t="shared" si="0"/>
        <v>0.36361035535019171</v>
      </c>
      <c r="G11" s="705"/>
      <c r="H11" s="705"/>
      <c r="I11" s="705"/>
      <c r="J11" s="705"/>
      <c r="K11" s="705"/>
      <c r="L11" s="705"/>
      <c r="M11" s="705"/>
    </row>
    <row r="12" spans="1:13" s="509" customFormat="1" ht="10.5" customHeight="1">
      <c r="A12" s="704"/>
      <c r="B12" s="722" t="s">
        <v>373</v>
      </c>
      <c r="C12" s="723">
        <v>87.518570000000011</v>
      </c>
      <c r="D12" s="723">
        <v>84.630920000000003</v>
      </c>
      <c r="E12" s="723">
        <v>131.79328000000001</v>
      </c>
      <c r="F12" s="724">
        <f t="shared" si="0"/>
        <v>3.4120508201966882E-2</v>
      </c>
      <c r="G12" s="705"/>
      <c r="H12" s="705"/>
      <c r="I12" s="705"/>
      <c r="J12" s="705"/>
      <c r="K12" s="705"/>
      <c r="L12" s="705"/>
      <c r="M12" s="705"/>
    </row>
    <row r="13" spans="1:13" s="509" customFormat="1" ht="10.5" customHeight="1">
      <c r="A13" s="704"/>
      <c r="B13" s="722" t="s">
        <v>374</v>
      </c>
      <c r="C13" s="723">
        <v>742.14309999999989</v>
      </c>
      <c r="D13" s="723">
        <v>786.8087700000001</v>
      </c>
      <c r="E13" s="723">
        <v>0</v>
      </c>
      <c r="F13" s="724">
        <f t="shared" si="0"/>
        <v>-5.6768139480702806E-2</v>
      </c>
      <c r="G13" s="705"/>
      <c r="H13" s="705"/>
      <c r="I13" s="705"/>
      <c r="J13" s="705"/>
      <c r="K13" s="705"/>
      <c r="L13" s="705"/>
      <c r="M13" s="705"/>
    </row>
    <row r="14" spans="1:13" s="509" customFormat="1" ht="10.5" customHeight="1">
      <c r="A14" s="704"/>
      <c r="B14" s="722" t="s">
        <v>375</v>
      </c>
      <c r="C14" s="723">
        <v>105.43986999999998</v>
      </c>
      <c r="D14" s="723">
        <v>107.77606</v>
      </c>
      <c r="E14" s="723">
        <v>0</v>
      </c>
      <c r="F14" s="724">
        <f t="shared" si="0"/>
        <v>-2.1676335171280314E-2</v>
      </c>
      <c r="G14" s="705"/>
      <c r="H14" s="705"/>
      <c r="I14" s="705"/>
      <c r="J14" s="705"/>
      <c r="K14" s="705"/>
      <c r="L14" s="705"/>
      <c r="M14" s="705"/>
    </row>
    <row r="15" spans="1:13" s="509" customFormat="1" ht="10.5" customHeight="1">
      <c r="A15" s="704"/>
      <c r="B15" s="722" t="s">
        <v>445</v>
      </c>
      <c r="C15" s="723"/>
      <c r="D15" s="723">
        <v>34.150709999999997</v>
      </c>
      <c r="E15" s="723"/>
      <c r="F15" s="724">
        <f t="shared" si="0"/>
        <v>-1</v>
      </c>
      <c r="G15" s="705"/>
      <c r="H15" s="705"/>
      <c r="I15" s="705"/>
      <c r="J15" s="705"/>
      <c r="K15" s="705"/>
      <c r="L15" s="705"/>
      <c r="M15" s="705"/>
    </row>
    <row r="16" spans="1:13" s="509" customFormat="1" ht="10.5" customHeight="1">
      <c r="A16" s="704"/>
      <c r="B16" s="722" t="s">
        <v>376</v>
      </c>
      <c r="C16" s="723">
        <v>0</v>
      </c>
      <c r="D16" s="723">
        <v>131.03380999999999</v>
      </c>
      <c r="E16" s="723">
        <v>0</v>
      </c>
      <c r="F16" s="724">
        <f t="shared" si="0"/>
        <v>-1</v>
      </c>
      <c r="G16" s="705"/>
      <c r="H16" s="705"/>
      <c r="I16" s="705"/>
      <c r="J16" s="705"/>
      <c r="K16" s="705"/>
      <c r="L16" s="705"/>
      <c r="M16" s="705"/>
    </row>
    <row r="17" spans="1:13" s="509" customFormat="1" ht="10.5" customHeight="1">
      <c r="A17" s="704"/>
      <c r="B17" s="722" t="s">
        <v>377</v>
      </c>
      <c r="C17" s="723">
        <v>0</v>
      </c>
      <c r="D17" s="723">
        <v>0</v>
      </c>
      <c r="E17" s="723">
        <v>0</v>
      </c>
      <c r="F17" s="724" t="str">
        <f t="shared" si="0"/>
        <v/>
      </c>
      <c r="G17" s="705"/>
      <c r="H17" s="705"/>
      <c r="I17" s="705"/>
      <c r="J17" s="705"/>
      <c r="K17" s="705"/>
      <c r="L17" s="705"/>
      <c r="M17" s="705"/>
    </row>
    <row r="18" spans="1:13" s="509" customFormat="1" ht="10.5" customHeight="1">
      <c r="A18" s="704"/>
      <c r="B18" s="722" t="s">
        <v>378</v>
      </c>
      <c r="C18" s="723">
        <v>0</v>
      </c>
      <c r="D18" s="723">
        <v>0</v>
      </c>
      <c r="E18" s="723">
        <v>0</v>
      </c>
      <c r="F18" s="724" t="str">
        <f t="shared" si="0"/>
        <v/>
      </c>
      <c r="G18" s="705"/>
      <c r="H18" s="705"/>
      <c r="I18" s="705"/>
      <c r="J18" s="705"/>
      <c r="K18" s="705"/>
      <c r="L18" s="705"/>
      <c r="M18" s="705"/>
    </row>
    <row r="19" spans="1:13" s="509" customFormat="1" ht="10.5" customHeight="1">
      <c r="A19" s="704"/>
      <c r="B19" s="722" t="s">
        <v>739</v>
      </c>
      <c r="C19" s="723">
        <v>0</v>
      </c>
      <c r="D19" s="723"/>
      <c r="E19" s="723">
        <v>0</v>
      </c>
      <c r="F19" s="724" t="str">
        <f t="shared" si="0"/>
        <v/>
      </c>
      <c r="G19" s="705"/>
      <c r="H19" s="705"/>
      <c r="I19" s="705"/>
      <c r="J19" s="705"/>
      <c r="K19" s="705"/>
      <c r="L19" s="705"/>
      <c r="M19" s="705"/>
    </row>
    <row r="20" spans="1:13" s="509" customFormat="1" ht="10.5" customHeight="1">
      <c r="A20" s="862" t="s">
        <v>379</v>
      </c>
      <c r="B20" s="863"/>
      <c r="C20" s="867">
        <v>989.67623999999978</v>
      </c>
      <c r="D20" s="867">
        <v>1184.42248</v>
      </c>
      <c r="E20" s="867">
        <v>240.09802999999999</v>
      </c>
      <c r="F20" s="868">
        <f t="shared" si="0"/>
        <v>-0.16442295151304476</v>
      </c>
      <c r="G20" s="705"/>
      <c r="H20" s="705"/>
      <c r="I20" s="705"/>
      <c r="J20" s="705"/>
      <c r="K20" s="705"/>
      <c r="L20" s="705"/>
      <c r="M20" s="705"/>
    </row>
    <row r="21" spans="1:13" s="509" customFormat="1" ht="10.5" customHeight="1">
      <c r="A21" s="704" t="s">
        <v>271</v>
      </c>
      <c r="B21" s="722" t="s">
        <v>380</v>
      </c>
      <c r="C21" s="723">
        <v>553.39894000000004</v>
      </c>
      <c r="D21" s="723">
        <v>553.21117000000004</v>
      </c>
      <c r="E21" s="723">
        <v>553.66996999999992</v>
      </c>
      <c r="F21" s="724">
        <f t="shared" si="0"/>
        <v>3.3941830928685413E-4</v>
      </c>
      <c r="G21" s="705"/>
      <c r="H21" s="705"/>
      <c r="I21" s="705"/>
      <c r="J21" s="705"/>
      <c r="K21" s="705"/>
      <c r="L21" s="705"/>
      <c r="M21" s="705"/>
    </row>
    <row r="22" spans="1:13" s="509" customFormat="1" ht="10.5" customHeight="1">
      <c r="A22" s="862" t="s">
        <v>381</v>
      </c>
      <c r="B22" s="863"/>
      <c r="C22" s="867">
        <v>553.39894000000004</v>
      </c>
      <c r="D22" s="867">
        <v>553.21117000000004</v>
      </c>
      <c r="E22" s="867">
        <v>553.66996999999992</v>
      </c>
      <c r="F22" s="868">
        <f t="shared" si="0"/>
        <v>3.3941830928685413E-4</v>
      </c>
      <c r="G22" s="705"/>
      <c r="H22" s="705"/>
      <c r="I22" s="705"/>
      <c r="J22" s="705"/>
      <c r="K22" s="705"/>
      <c r="L22" s="705"/>
      <c r="M22" s="705"/>
    </row>
    <row r="23" spans="1:13" s="509" customFormat="1" ht="10.5" customHeight="1">
      <c r="A23" s="704" t="s">
        <v>113</v>
      </c>
      <c r="B23" s="722" t="s">
        <v>69</v>
      </c>
      <c r="C23" s="723">
        <v>5.84</v>
      </c>
      <c r="D23" s="723">
        <v>6.6960699999999997</v>
      </c>
      <c r="E23" s="723">
        <v>6.8397399999999999</v>
      </c>
      <c r="F23" s="724">
        <f t="shared" si="0"/>
        <v>-0.12784663242767769</v>
      </c>
      <c r="G23" s="705"/>
      <c r="H23" s="705"/>
      <c r="I23" s="705"/>
      <c r="J23" s="705"/>
      <c r="K23" s="705"/>
      <c r="L23" s="705"/>
      <c r="M23" s="705"/>
    </row>
    <row r="24" spans="1:13" s="509" customFormat="1" ht="10.5" customHeight="1">
      <c r="A24" s="704"/>
      <c r="B24" s="722" t="s">
        <v>740</v>
      </c>
      <c r="C24" s="723">
        <v>6.88</v>
      </c>
      <c r="D24" s="723"/>
      <c r="E24" s="723"/>
      <c r="F24" s="724" t="str">
        <f t="shared" si="0"/>
        <v/>
      </c>
      <c r="G24" s="705"/>
      <c r="H24" s="705"/>
      <c r="I24" s="705"/>
      <c r="J24" s="705"/>
      <c r="K24" s="705"/>
      <c r="L24" s="705"/>
      <c r="M24" s="705"/>
    </row>
    <row r="25" spans="1:13" s="509" customFormat="1" ht="10.5" customHeight="1">
      <c r="A25" s="704"/>
      <c r="B25" s="722" t="s">
        <v>736</v>
      </c>
      <c r="C25" s="723">
        <v>7.96</v>
      </c>
      <c r="D25" s="723"/>
      <c r="E25" s="723"/>
      <c r="F25" s="724" t="str">
        <f t="shared" si="0"/>
        <v/>
      </c>
      <c r="G25" s="705"/>
      <c r="H25" s="705"/>
      <c r="I25" s="705"/>
      <c r="J25" s="705"/>
      <c r="K25" s="705"/>
      <c r="L25" s="705"/>
      <c r="M25" s="705"/>
    </row>
    <row r="26" spans="1:13" s="509" customFormat="1" ht="10.5" customHeight="1">
      <c r="A26" s="704"/>
      <c r="B26" s="722" t="s">
        <v>741</v>
      </c>
      <c r="C26" s="723">
        <v>7.82</v>
      </c>
      <c r="D26" s="723"/>
      <c r="E26" s="723"/>
      <c r="F26" s="724" t="str">
        <f t="shared" si="0"/>
        <v/>
      </c>
      <c r="G26" s="705"/>
      <c r="H26" s="705"/>
      <c r="I26" s="705"/>
      <c r="J26" s="705"/>
      <c r="K26" s="705"/>
      <c r="L26" s="705"/>
      <c r="M26" s="705"/>
    </row>
    <row r="27" spans="1:13" s="509" customFormat="1" ht="10.5" customHeight="1">
      <c r="A27" s="862" t="s">
        <v>382</v>
      </c>
      <c r="B27" s="863"/>
      <c r="C27" s="867">
        <v>28.5</v>
      </c>
      <c r="D27" s="867">
        <v>6.6960699999999997</v>
      </c>
      <c r="E27" s="867">
        <v>6.8397399999999999</v>
      </c>
      <c r="F27" s="868">
        <f t="shared" si="0"/>
        <v>3.2562279068169842</v>
      </c>
      <c r="G27" s="705"/>
      <c r="H27" s="705"/>
      <c r="I27" s="705"/>
      <c r="J27" s="705"/>
      <c r="K27" s="705"/>
      <c r="L27" s="705"/>
      <c r="M27" s="705"/>
    </row>
    <row r="28" spans="1:13" s="509" customFormat="1" ht="10.5" customHeight="1">
      <c r="A28" s="704" t="s">
        <v>116</v>
      </c>
      <c r="B28" s="722" t="s">
        <v>263</v>
      </c>
      <c r="C28" s="723">
        <v>0</v>
      </c>
      <c r="D28" s="723">
        <v>0</v>
      </c>
      <c r="E28" s="723">
        <v>0</v>
      </c>
      <c r="F28" s="724" t="str">
        <f t="shared" si="0"/>
        <v/>
      </c>
      <c r="G28" s="705"/>
      <c r="H28" s="705"/>
      <c r="I28" s="705"/>
      <c r="J28" s="705"/>
      <c r="K28" s="705"/>
      <c r="L28" s="705"/>
      <c r="M28" s="705"/>
    </row>
    <row r="29" spans="1:13" s="509" customFormat="1" ht="10.5" customHeight="1">
      <c r="A29" s="862" t="s">
        <v>383</v>
      </c>
      <c r="B29" s="863"/>
      <c r="C29" s="867">
        <v>0</v>
      </c>
      <c r="D29" s="867">
        <v>0</v>
      </c>
      <c r="E29" s="867">
        <v>0</v>
      </c>
      <c r="F29" s="868" t="str">
        <f t="shared" si="0"/>
        <v/>
      </c>
      <c r="G29" s="705"/>
      <c r="H29" s="705"/>
      <c r="I29" s="705"/>
      <c r="J29" s="705"/>
      <c r="K29" s="705"/>
      <c r="L29" s="705"/>
      <c r="M29" s="705"/>
    </row>
    <row r="30" spans="1:13" s="509" customFormat="1" ht="10.5" customHeight="1">
      <c r="A30" s="704" t="s">
        <v>117</v>
      </c>
      <c r="B30" s="722" t="s">
        <v>87</v>
      </c>
      <c r="C30" s="723">
        <v>0</v>
      </c>
      <c r="D30" s="723">
        <v>0</v>
      </c>
      <c r="E30" s="723">
        <v>0</v>
      </c>
      <c r="F30" s="724" t="str">
        <f t="shared" si="0"/>
        <v/>
      </c>
      <c r="G30" s="705"/>
      <c r="H30" s="705"/>
      <c r="I30" s="705"/>
      <c r="J30" s="705"/>
      <c r="K30" s="705"/>
      <c r="L30" s="705"/>
      <c r="M30" s="705"/>
    </row>
    <row r="31" spans="1:13" s="509" customFormat="1" ht="10.5" customHeight="1">
      <c r="A31" s="862" t="s">
        <v>384</v>
      </c>
      <c r="B31" s="863"/>
      <c r="C31" s="867">
        <v>0</v>
      </c>
      <c r="D31" s="867">
        <v>0</v>
      </c>
      <c r="E31" s="867">
        <v>0</v>
      </c>
      <c r="F31" s="868" t="str">
        <f t="shared" si="0"/>
        <v/>
      </c>
      <c r="G31" s="705"/>
      <c r="H31" s="705"/>
      <c r="I31" s="705"/>
      <c r="J31" s="705"/>
      <c r="K31" s="705"/>
      <c r="L31" s="705"/>
      <c r="M31" s="705"/>
    </row>
    <row r="32" spans="1:13" s="509" customFormat="1" ht="10.5" customHeight="1">
      <c r="A32" s="704" t="s">
        <v>121</v>
      </c>
      <c r="B32" s="722" t="s">
        <v>77</v>
      </c>
      <c r="C32" s="723">
        <v>3.2</v>
      </c>
      <c r="D32" s="723">
        <v>3.2</v>
      </c>
      <c r="E32" s="723">
        <v>0</v>
      </c>
      <c r="F32" s="724">
        <f t="shared" si="0"/>
        <v>0</v>
      </c>
      <c r="G32" s="705"/>
      <c r="H32" s="705"/>
      <c r="I32" s="705"/>
      <c r="J32" s="705"/>
      <c r="K32" s="705"/>
      <c r="L32" s="705"/>
      <c r="M32" s="705"/>
    </row>
    <row r="33" spans="1:13" s="509" customFormat="1" ht="10.5" customHeight="1">
      <c r="A33" s="862" t="s">
        <v>385</v>
      </c>
      <c r="B33" s="863"/>
      <c r="C33" s="867">
        <v>3.2</v>
      </c>
      <c r="D33" s="867">
        <v>3.2</v>
      </c>
      <c r="E33" s="867">
        <v>0</v>
      </c>
      <c r="F33" s="868">
        <f t="shared" si="0"/>
        <v>0</v>
      </c>
      <c r="G33" s="705"/>
      <c r="H33" s="705"/>
      <c r="I33" s="705"/>
      <c r="J33" s="705"/>
      <c r="K33" s="705"/>
      <c r="L33" s="705"/>
      <c r="M33" s="705"/>
    </row>
    <row r="34" spans="1:13" s="509" customFormat="1" ht="10.5" customHeight="1">
      <c r="A34" s="704" t="s">
        <v>108</v>
      </c>
      <c r="B34" s="722" t="s">
        <v>386</v>
      </c>
      <c r="C34" s="723">
        <v>16.78</v>
      </c>
      <c r="D34" s="723">
        <v>13.411999999999999</v>
      </c>
      <c r="E34" s="723">
        <v>19.619999999999997</v>
      </c>
      <c r="F34" s="724">
        <f t="shared" si="0"/>
        <v>0.25111840143155395</v>
      </c>
      <c r="G34" s="705"/>
      <c r="H34" s="705"/>
      <c r="I34" s="705"/>
      <c r="J34" s="705"/>
      <c r="K34" s="705"/>
      <c r="L34" s="705"/>
      <c r="M34" s="705"/>
    </row>
    <row r="35" spans="1:13" s="509" customFormat="1" ht="10.5" customHeight="1">
      <c r="A35" s="862" t="s">
        <v>387</v>
      </c>
      <c r="B35" s="863"/>
      <c r="C35" s="867">
        <v>16.78</v>
      </c>
      <c r="D35" s="867">
        <v>13.411999999999999</v>
      </c>
      <c r="E35" s="867">
        <v>19.619999999999997</v>
      </c>
      <c r="F35" s="868">
        <f t="shared" si="0"/>
        <v>0.25111840143155395</v>
      </c>
      <c r="G35" s="705"/>
      <c r="H35" s="705"/>
      <c r="I35" s="705"/>
      <c r="J35" s="705"/>
      <c r="K35" s="705"/>
      <c r="L35" s="705"/>
      <c r="M35" s="705"/>
    </row>
    <row r="36" spans="1:13" s="509" customFormat="1" ht="10.5" customHeight="1">
      <c r="A36" s="704" t="s">
        <v>272</v>
      </c>
      <c r="B36" s="722" t="s">
        <v>62</v>
      </c>
      <c r="C36" s="723">
        <v>14.355730000000001</v>
      </c>
      <c r="D36" s="723">
        <v>14.005330000000001</v>
      </c>
      <c r="E36" s="723">
        <v>9.0002999999999993</v>
      </c>
      <c r="F36" s="724">
        <f t="shared" si="0"/>
        <v>2.5019046320222449E-2</v>
      </c>
      <c r="G36" s="705"/>
      <c r="H36" s="705"/>
      <c r="I36" s="705"/>
      <c r="J36" s="705"/>
      <c r="K36" s="705"/>
      <c r="L36" s="705"/>
      <c r="M36" s="705"/>
    </row>
    <row r="37" spans="1:13" s="509" customFormat="1" ht="10.5" customHeight="1">
      <c r="A37" s="862" t="s">
        <v>389</v>
      </c>
      <c r="B37" s="863"/>
      <c r="C37" s="867">
        <v>14.355730000000001</v>
      </c>
      <c r="D37" s="867">
        <v>14.005330000000001</v>
      </c>
      <c r="E37" s="867">
        <v>9.0002999999999993</v>
      </c>
      <c r="F37" s="868">
        <f t="shared" si="0"/>
        <v>2.5019046320222449E-2</v>
      </c>
      <c r="G37" s="705"/>
      <c r="H37" s="705"/>
      <c r="I37" s="705"/>
      <c r="J37" s="705"/>
      <c r="K37" s="705"/>
      <c r="L37" s="705"/>
      <c r="M37" s="705"/>
    </row>
    <row r="38" spans="1:13" s="509" customFormat="1" ht="10.5" customHeight="1">
      <c r="A38" s="704" t="s">
        <v>123</v>
      </c>
      <c r="B38" s="722" t="s">
        <v>390</v>
      </c>
      <c r="C38" s="723">
        <v>0</v>
      </c>
      <c r="D38" s="723">
        <v>0</v>
      </c>
      <c r="E38" s="723">
        <v>0</v>
      </c>
      <c r="F38" s="724" t="str">
        <f t="shared" si="0"/>
        <v/>
      </c>
      <c r="G38" s="705"/>
      <c r="H38" s="705"/>
      <c r="I38" s="705"/>
      <c r="J38" s="705"/>
      <c r="K38" s="705"/>
      <c r="L38" s="705"/>
      <c r="M38" s="705"/>
    </row>
    <row r="39" spans="1:13" s="509" customFormat="1" ht="10.5" customHeight="1">
      <c r="A39" s="704"/>
      <c r="B39" s="722" t="s">
        <v>391</v>
      </c>
      <c r="C39" s="723">
        <v>0</v>
      </c>
      <c r="D39" s="723">
        <v>0</v>
      </c>
      <c r="E39" s="723">
        <v>0</v>
      </c>
      <c r="F39" s="724" t="str">
        <f t="shared" si="0"/>
        <v/>
      </c>
      <c r="G39" s="705"/>
      <c r="H39" s="705"/>
      <c r="I39" s="705"/>
      <c r="J39" s="705"/>
      <c r="K39" s="705"/>
      <c r="L39" s="705"/>
      <c r="M39" s="705"/>
    </row>
    <row r="40" spans="1:13" s="509" customFormat="1" ht="10.5" customHeight="1">
      <c r="A40" s="862" t="s">
        <v>392</v>
      </c>
      <c r="B40" s="863"/>
      <c r="C40" s="867">
        <v>0</v>
      </c>
      <c r="D40" s="867">
        <v>0</v>
      </c>
      <c r="E40" s="867">
        <v>0</v>
      </c>
      <c r="F40" s="868" t="str">
        <f t="shared" si="0"/>
        <v/>
      </c>
      <c r="G40" s="705"/>
      <c r="H40" s="705"/>
      <c r="I40" s="705"/>
      <c r="J40" s="705"/>
      <c r="K40" s="705"/>
      <c r="L40" s="705"/>
      <c r="M40" s="705"/>
    </row>
    <row r="41" spans="1:13" s="509" customFormat="1" ht="10.5" customHeight="1">
      <c r="A41" s="704" t="s">
        <v>598</v>
      </c>
      <c r="B41" s="722" t="s">
        <v>394</v>
      </c>
      <c r="C41" s="723">
        <v>733.34516000000008</v>
      </c>
      <c r="D41" s="723">
        <v>448.24476000000004</v>
      </c>
      <c r="E41" s="723">
        <v>508.16005999999999</v>
      </c>
      <c r="F41" s="724">
        <f t="shared" si="0"/>
        <v>0.63603732924842227</v>
      </c>
      <c r="G41" s="705"/>
      <c r="H41" s="705"/>
      <c r="I41" s="705"/>
      <c r="J41" s="705"/>
      <c r="K41" s="705"/>
      <c r="L41" s="705"/>
      <c r="M41" s="705"/>
    </row>
    <row r="42" spans="1:13" s="509" customFormat="1" ht="10.5" customHeight="1">
      <c r="A42" s="704"/>
      <c r="B42" s="722" t="s">
        <v>395</v>
      </c>
      <c r="C42" s="723">
        <v>0</v>
      </c>
      <c r="D42" s="723">
        <v>0</v>
      </c>
      <c r="E42" s="723">
        <v>0</v>
      </c>
      <c r="F42" s="724" t="str">
        <f t="shared" si="0"/>
        <v/>
      </c>
      <c r="G42" s="705"/>
      <c r="H42" s="705"/>
      <c r="I42" s="705"/>
      <c r="J42" s="705"/>
      <c r="K42" s="705"/>
      <c r="L42" s="705"/>
      <c r="M42" s="705"/>
    </row>
    <row r="43" spans="1:13" s="509" customFormat="1" ht="10.5" customHeight="1">
      <c r="A43" s="704"/>
      <c r="B43" s="722" t="s">
        <v>742</v>
      </c>
      <c r="C43" s="723">
        <v>452.80488000000003</v>
      </c>
      <c r="D43" s="723"/>
      <c r="E43" s="723">
        <v>526.44351000000006</v>
      </c>
      <c r="F43" s="724" t="str">
        <f t="shared" si="0"/>
        <v/>
      </c>
      <c r="G43" s="705"/>
      <c r="H43" s="705"/>
      <c r="I43" s="705"/>
      <c r="J43" s="705"/>
      <c r="K43" s="705"/>
      <c r="L43" s="705"/>
      <c r="M43" s="705"/>
    </row>
    <row r="44" spans="1:13" s="509" customFormat="1" ht="10.5" customHeight="1">
      <c r="A44" s="704"/>
      <c r="B44" s="722" t="s">
        <v>396</v>
      </c>
      <c r="C44" s="723">
        <v>2.7225100000000002</v>
      </c>
      <c r="D44" s="723"/>
      <c r="E44" s="723">
        <v>10.008279999999999</v>
      </c>
      <c r="F44" s="724" t="str">
        <f t="shared" si="0"/>
        <v/>
      </c>
      <c r="G44" s="705"/>
      <c r="H44" s="705"/>
      <c r="I44" s="705"/>
      <c r="J44" s="705"/>
      <c r="K44" s="705"/>
      <c r="L44" s="705"/>
      <c r="M44" s="705"/>
    </row>
    <row r="45" spans="1:13" s="509" customFormat="1" ht="10.5" customHeight="1">
      <c r="A45" s="862" t="s">
        <v>397</v>
      </c>
      <c r="B45" s="863"/>
      <c r="C45" s="867">
        <v>1188.87255</v>
      </c>
      <c r="D45" s="867">
        <v>448.24476000000004</v>
      </c>
      <c r="E45" s="867">
        <v>1044.61185</v>
      </c>
      <c r="F45" s="868">
        <f>+IF(D45=0,"",C45/D45-1)</f>
        <v>1.6522843234129496</v>
      </c>
      <c r="G45" s="705"/>
      <c r="H45" s="705"/>
      <c r="I45" s="705"/>
      <c r="J45" s="705"/>
      <c r="K45" s="705"/>
      <c r="L45" s="705"/>
      <c r="M45" s="705"/>
    </row>
    <row r="46" spans="1:13" s="509" customFormat="1" ht="10.5" customHeight="1">
      <c r="A46" s="704" t="s">
        <v>728</v>
      </c>
      <c r="B46" s="722" t="s">
        <v>719</v>
      </c>
      <c r="C46" s="723">
        <v>56.198300000000003</v>
      </c>
      <c r="D46" s="723">
        <v>47.767040000000001</v>
      </c>
      <c r="E46" s="723">
        <v>88.961479999999995</v>
      </c>
      <c r="F46" s="724"/>
      <c r="G46" s="705"/>
      <c r="H46" s="705"/>
      <c r="I46" s="705"/>
      <c r="J46" s="705"/>
      <c r="K46" s="705"/>
      <c r="L46" s="705"/>
      <c r="M46" s="705"/>
    </row>
    <row r="47" spans="1:13" s="509" customFormat="1" ht="10.5" customHeight="1">
      <c r="A47" s="862" t="s">
        <v>744</v>
      </c>
      <c r="B47" s="863"/>
      <c r="C47" s="867">
        <v>56.198300000000003</v>
      </c>
      <c r="D47" s="867">
        <v>47.767040000000001</v>
      </c>
      <c r="E47" s="867">
        <v>88.961479999999995</v>
      </c>
      <c r="F47" s="868">
        <f t="shared" si="0"/>
        <v>0.17650790168283415</v>
      </c>
      <c r="G47" s="705"/>
      <c r="H47" s="705"/>
      <c r="I47" s="705"/>
      <c r="J47" s="705"/>
      <c r="K47" s="705"/>
      <c r="L47" s="705"/>
      <c r="M47" s="705"/>
    </row>
    <row r="48" spans="1:13" s="509" customFormat="1" ht="10.5" customHeight="1">
      <c r="A48" s="704" t="s">
        <v>122</v>
      </c>
      <c r="B48" s="722" t="s">
        <v>75</v>
      </c>
      <c r="C48" s="723">
        <v>1.8759999999999999</v>
      </c>
      <c r="D48" s="723">
        <v>2.1710000000000003</v>
      </c>
      <c r="E48" s="723">
        <v>3.7160000000000002</v>
      </c>
      <c r="F48" s="724">
        <f>+IF(D48=0,"",C48/D48-1)</f>
        <v>-0.13588208198986662</v>
      </c>
      <c r="G48" s="705"/>
      <c r="H48" s="705"/>
      <c r="I48" s="705"/>
      <c r="J48" s="705"/>
      <c r="K48" s="705"/>
      <c r="L48" s="705"/>
      <c r="M48" s="705"/>
    </row>
    <row r="49" spans="1:13" s="509" customFormat="1" ht="10.5" customHeight="1">
      <c r="A49" s="862" t="s">
        <v>398</v>
      </c>
      <c r="B49" s="863"/>
      <c r="C49" s="867">
        <v>1.8759999999999999</v>
      </c>
      <c r="D49" s="867">
        <v>2.1710000000000003</v>
      </c>
      <c r="E49" s="867">
        <v>3.7160000000000002</v>
      </c>
      <c r="F49" s="868">
        <f t="shared" si="0"/>
        <v>-0.13588208198986662</v>
      </c>
      <c r="G49" s="705"/>
      <c r="H49" s="705"/>
      <c r="I49" s="705"/>
      <c r="J49" s="705"/>
      <c r="K49" s="705"/>
      <c r="L49" s="705"/>
      <c r="M49" s="705"/>
    </row>
    <row r="50" spans="1:13" s="509" customFormat="1" ht="10.5" customHeight="1">
      <c r="A50" s="704" t="s">
        <v>115</v>
      </c>
      <c r="B50" s="722" t="s">
        <v>85</v>
      </c>
      <c r="C50" s="723">
        <v>0</v>
      </c>
      <c r="D50" s="723">
        <v>0</v>
      </c>
      <c r="E50" s="723">
        <v>0</v>
      </c>
      <c r="F50" s="724" t="str">
        <f t="shared" si="0"/>
        <v/>
      </c>
      <c r="G50" s="705"/>
      <c r="H50" s="705"/>
      <c r="I50" s="705"/>
      <c r="J50" s="705"/>
      <c r="K50" s="705"/>
      <c r="L50" s="705"/>
      <c r="M50" s="705"/>
    </row>
    <row r="51" spans="1:13" s="509" customFormat="1" ht="10.5" customHeight="1">
      <c r="A51" s="862" t="s">
        <v>399</v>
      </c>
      <c r="B51" s="863"/>
      <c r="C51" s="867">
        <v>0</v>
      </c>
      <c r="D51" s="867">
        <v>0</v>
      </c>
      <c r="E51" s="867">
        <v>0</v>
      </c>
      <c r="F51" s="868" t="str">
        <f t="shared" si="0"/>
        <v/>
      </c>
      <c r="G51" s="705"/>
      <c r="H51" s="705"/>
      <c r="I51" s="705"/>
      <c r="J51" s="705"/>
      <c r="K51" s="705"/>
      <c r="L51" s="705"/>
      <c r="M51" s="705"/>
    </row>
    <row r="52" spans="1:13" s="509" customFormat="1" ht="10.5" customHeight="1">
      <c r="A52" s="704" t="s">
        <v>273</v>
      </c>
      <c r="B52" s="722" t="s">
        <v>74</v>
      </c>
      <c r="C52" s="723">
        <v>0.84762999999999999</v>
      </c>
      <c r="D52" s="723">
        <v>4.8079999999999998</v>
      </c>
      <c r="E52" s="723">
        <v>5.1007199999999999</v>
      </c>
      <c r="F52" s="724">
        <f t="shared" si="0"/>
        <v>-0.82370424292845257</v>
      </c>
      <c r="G52" s="705"/>
      <c r="H52" s="705"/>
      <c r="I52" s="705"/>
      <c r="J52" s="705"/>
      <c r="K52" s="705"/>
      <c r="L52" s="705"/>
      <c r="M52" s="705"/>
    </row>
    <row r="53" spans="1:13" s="509" customFormat="1" ht="10.5" customHeight="1">
      <c r="A53" s="704"/>
      <c r="B53" s="722" t="s">
        <v>400</v>
      </c>
      <c r="C53" s="723">
        <v>67.944479999999999</v>
      </c>
      <c r="D53" s="723">
        <v>80.293719999999993</v>
      </c>
      <c r="E53" s="723">
        <v>248.68201999999999</v>
      </c>
      <c r="F53" s="724">
        <f t="shared" si="0"/>
        <v>-0.15380082028831144</v>
      </c>
      <c r="G53" s="705"/>
      <c r="H53" s="705"/>
      <c r="I53" s="705"/>
      <c r="J53" s="705"/>
      <c r="K53" s="705"/>
      <c r="L53" s="705"/>
      <c r="M53" s="705"/>
    </row>
    <row r="54" spans="1:13" s="509" customFormat="1" ht="10.5" customHeight="1">
      <c r="A54" s="704"/>
      <c r="B54" s="722" t="s">
        <v>401</v>
      </c>
      <c r="C54" s="723">
        <v>9.99634</v>
      </c>
      <c r="D54" s="723">
        <v>59.065219999999997</v>
      </c>
      <c r="E54" s="723">
        <v>89.720569999999995</v>
      </c>
      <c r="F54" s="724">
        <f t="shared" si="0"/>
        <v>-0.83075759304714347</v>
      </c>
      <c r="G54" s="705"/>
      <c r="H54" s="705"/>
      <c r="I54" s="705"/>
      <c r="J54" s="705"/>
      <c r="K54" s="705"/>
      <c r="L54" s="705"/>
      <c r="M54" s="705"/>
    </row>
    <row r="55" spans="1:13" s="509" customFormat="1" ht="10.5" customHeight="1">
      <c r="A55" s="704"/>
      <c r="B55" s="722" t="s">
        <v>65</v>
      </c>
      <c r="C55" s="723">
        <v>8.4548699999999997</v>
      </c>
      <c r="D55" s="723">
        <v>9.9601500000000005</v>
      </c>
      <c r="E55" s="723">
        <v>9.9176400000000005</v>
      </c>
      <c r="F55" s="724">
        <f t="shared" si="0"/>
        <v>-0.15113025406243885</v>
      </c>
      <c r="G55" s="705"/>
      <c r="H55" s="705"/>
      <c r="I55" s="705"/>
      <c r="J55" s="705"/>
      <c r="K55" s="705"/>
      <c r="L55" s="705"/>
      <c r="M55" s="705"/>
    </row>
    <row r="56" spans="1:13" s="509" customFormat="1" ht="10.5" customHeight="1">
      <c r="A56" s="862" t="s">
        <v>402</v>
      </c>
      <c r="B56" s="863"/>
      <c r="C56" s="867">
        <v>87.243319999999997</v>
      </c>
      <c r="D56" s="867">
        <v>154.12709000000001</v>
      </c>
      <c r="E56" s="867">
        <v>353.42095</v>
      </c>
      <c r="F56" s="868">
        <f t="shared" si="0"/>
        <v>-0.43395207163127525</v>
      </c>
      <c r="G56" s="705"/>
      <c r="H56" s="705"/>
      <c r="I56" s="705"/>
      <c r="J56" s="705"/>
      <c r="K56" s="705"/>
      <c r="L56" s="705"/>
      <c r="M56" s="705"/>
    </row>
    <row r="57" spans="1:13" s="509" customFormat="1" ht="10.5" customHeight="1">
      <c r="A57" s="704" t="s">
        <v>274</v>
      </c>
      <c r="B57" s="722" t="s">
        <v>82</v>
      </c>
      <c r="C57" s="723">
        <v>11.15903</v>
      </c>
      <c r="D57" s="723">
        <v>13.62908</v>
      </c>
      <c r="E57" s="723">
        <v>26.574349999999999</v>
      </c>
      <c r="F57" s="724">
        <f t="shared" si="0"/>
        <v>-0.18123380301531733</v>
      </c>
      <c r="G57" s="705"/>
      <c r="H57" s="705"/>
      <c r="I57" s="705"/>
      <c r="J57" s="705"/>
      <c r="K57" s="705"/>
      <c r="L57" s="705"/>
      <c r="M57" s="705"/>
    </row>
    <row r="58" spans="1:13" s="509" customFormat="1" ht="10.5" customHeight="1">
      <c r="A58" s="862" t="s">
        <v>403</v>
      </c>
      <c r="B58" s="863"/>
      <c r="C58" s="867">
        <v>11.15903</v>
      </c>
      <c r="D58" s="867">
        <v>13.62908</v>
      </c>
      <c r="E58" s="867">
        <v>26.574349999999999</v>
      </c>
      <c r="F58" s="868">
        <f t="shared" si="0"/>
        <v>-0.18123380301531733</v>
      </c>
      <c r="G58" s="705"/>
      <c r="H58" s="705"/>
      <c r="I58" s="705"/>
      <c r="J58" s="705"/>
      <c r="K58" s="705"/>
      <c r="L58" s="705"/>
      <c r="M58" s="705"/>
    </row>
    <row r="59" spans="1:13" s="509" customFormat="1" ht="10.5" customHeight="1">
      <c r="A59" s="704" t="s">
        <v>104</v>
      </c>
      <c r="B59" s="722" t="s">
        <v>79</v>
      </c>
      <c r="C59" s="723">
        <v>33.890619999999998</v>
      </c>
      <c r="D59" s="723">
        <v>49.589959999999998</v>
      </c>
      <c r="E59" s="723">
        <v>88.914940000000001</v>
      </c>
      <c r="F59" s="724">
        <f t="shared" si="0"/>
        <v>-0.31658303414642808</v>
      </c>
      <c r="G59" s="705"/>
      <c r="H59" s="705"/>
      <c r="I59" s="705"/>
      <c r="J59" s="705"/>
      <c r="K59" s="705"/>
      <c r="L59" s="705"/>
      <c r="M59" s="705"/>
    </row>
    <row r="60" spans="1:13" s="509" customFormat="1" ht="10.5" customHeight="1">
      <c r="A60" s="862" t="s">
        <v>404</v>
      </c>
      <c r="B60" s="863"/>
      <c r="C60" s="867">
        <v>33.890619999999998</v>
      </c>
      <c r="D60" s="867">
        <v>49.589959999999998</v>
      </c>
      <c r="E60" s="867">
        <v>88.914940000000001</v>
      </c>
      <c r="F60" s="868">
        <f t="shared" si="0"/>
        <v>-0.31658303414642808</v>
      </c>
      <c r="G60" s="705"/>
      <c r="H60" s="705"/>
      <c r="I60" s="705"/>
      <c r="J60" s="705"/>
      <c r="K60" s="705"/>
      <c r="L60" s="705"/>
      <c r="M60" s="705"/>
    </row>
    <row r="61" spans="1:13" s="509" customFormat="1" ht="10.5" customHeight="1">
      <c r="A61" s="704" t="s">
        <v>112</v>
      </c>
      <c r="B61" s="722" t="s">
        <v>262</v>
      </c>
      <c r="C61" s="723">
        <v>0</v>
      </c>
      <c r="D61" s="723">
        <v>0</v>
      </c>
      <c r="E61" s="723">
        <v>0</v>
      </c>
      <c r="F61" s="724" t="str">
        <f t="shared" si="0"/>
        <v/>
      </c>
      <c r="G61" s="705"/>
      <c r="H61" s="705"/>
      <c r="I61" s="705"/>
      <c r="J61" s="705"/>
      <c r="K61" s="705"/>
      <c r="L61" s="705"/>
      <c r="M61" s="705"/>
    </row>
    <row r="62" spans="1:13" s="509" customFormat="1" ht="10.5" customHeight="1">
      <c r="A62" s="862" t="s">
        <v>405</v>
      </c>
      <c r="B62" s="863"/>
      <c r="C62" s="867">
        <v>0</v>
      </c>
      <c r="D62" s="867">
        <v>0</v>
      </c>
      <c r="E62" s="867">
        <v>0</v>
      </c>
      <c r="F62" s="868" t="str">
        <f t="shared" si="0"/>
        <v/>
      </c>
      <c r="G62" s="705"/>
      <c r="H62" s="705"/>
      <c r="I62" s="705"/>
      <c r="J62" s="705"/>
      <c r="K62" s="705"/>
      <c r="L62" s="705"/>
      <c r="M62" s="705"/>
    </row>
    <row r="63" spans="1:13" s="509" customFormat="1" ht="10.5" customHeight="1">
      <c r="A63" s="704" t="s">
        <v>599</v>
      </c>
      <c r="B63" s="722" t="s">
        <v>726</v>
      </c>
      <c r="C63" s="723">
        <v>2.9962</v>
      </c>
      <c r="D63" s="723"/>
      <c r="E63" s="723">
        <v>0</v>
      </c>
      <c r="F63" s="724" t="str">
        <f t="shared" si="0"/>
        <v/>
      </c>
      <c r="G63" s="705"/>
      <c r="H63" s="705"/>
      <c r="I63" s="705"/>
      <c r="J63" s="705"/>
      <c r="K63" s="705"/>
      <c r="L63" s="705"/>
      <c r="M63" s="705"/>
    </row>
    <row r="64" spans="1:13" s="509" customFormat="1" ht="10.5" customHeight="1">
      <c r="A64" s="704"/>
      <c r="B64" s="722" t="s">
        <v>89</v>
      </c>
      <c r="C64" s="723">
        <v>2.9070999999999998</v>
      </c>
      <c r="D64" s="723">
        <v>3.0049999999999999</v>
      </c>
      <c r="E64" s="723">
        <v>4.4090999999999996</v>
      </c>
      <c r="F64" s="724">
        <f t="shared" si="0"/>
        <v>-3.2579034941763729E-2</v>
      </c>
      <c r="G64" s="705"/>
      <c r="H64" s="705"/>
      <c r="I64" s="705"/>
      <c r="J64" s="705"/>
      <c r="K64" s="705"/>
      <c r="L64" s="705"/>
      <c r="M64" s="705"/>
    </row>
    <row r="65" spans="1:13" s="509" customFormat="1" ht="10.5" customHeight="1">
      <c r="A65" s="704"/>
      <c r="B65" s="722" t="s">
        <v>743</v>
      </c>
      <c r="C65" s="723">
        <v>0</v>
      </c>
      <c r="D65" s="723"/>
      <c r="E65" s="723"/>
      <c r="F65" s="724" t="str">
        <f t="shared" si="0"/>
        <v/>
      </c>
      <c r="G65" s="705"/>
      <c r="H65" s="705"/>
      <c r="I65" s="705"/>
      <c r="J65" s="705"/>
      <c r="K65" s="705"/>
      <c r="L65" s="705"/>
      <c r="M65" s="705"/>
    </row>
    <row r="66" spans="1:13" s="509" customFormat="1" ht="10.5" customHeight="1">
      <c r="A66" s="862" t="s">
        <v>406</v>
      </c>
      <c r="B66" s="863"/>
      <c r="C66" s="867">
        <v>5.9032999999999998</v>
      </c>
      <c r="D66" s="867">
        <v>3.0049999999999999</v>
      </c>
      <c r="E66" s="867">
        <v>4.4090999999999996</v>
      </c>
      <c r="F66" s="868">
        <f t="shared" si="0"/>
        <v>0.96449251247920142</v>
      </c>
      <c r="G66" s="705"/>
      <c r="H66" s="705"/>
      <c r="I66" s="705"/>
      <c r="J66" s="705"/>
      <c r="K66" s="705"/>
      <c r="L66" s="705"/>
      <c r="M66" s="705"/>
    </row>
    <row r="67" spans="1:13" s="509" customFormat="1" ht="10.5" customHeight="1">
      <c r="A67" s="704" t="s">
        <v>275</v>
      </c>
      <c r="B67" s="722" t="s">
        <v>407</v>
      </c>
      <c r="C67" s="723">
        <v>0</v>
      </c>
      <c r="D67" s="723">
        <v>0</v>
      </c>
      <c r="E67" s="723">
        <v>0</v>
      </c>
      <c r="F67" s="724" t="str">
        <f t="shared" si="0"/>
        <v/>
      </c>
      <c r="G67" s="705"/>
      <c r="H67" s="705"/>
      <c r="I67" s="705"/>
      <c r="J67" s="705"/>
      <c r="K67" s="705"/>
      <c r="L67" s="705"/>
      <c r="M67" s="705"/>
    </row>
    <row r="68" spans="1:13" s="509" customFormat="1" ht="10.5" customHeight="1">
      <c r="A68" s="862" t="s">
        <v>408</v>
      </c>
      <c r="B68" s="863"/>
      <c r="C68" s="867">
        <v>0</v>
      </c>
      <c r="D68" s="867">
        <v>0</v>
      </c>
      <c r="E68" s="867">
        <v>0</v>
      </c>
      <c r="F68" s="868" t="str">
        <f t="shared" si="0"/>
        <v/>
      </c>
      <c r="G68" s="705"/>
      <c r="H68" s="705"/>
      <c r="I68" s="705"/>
      <c r="J68" s="705"/>
      <c r="K68" s="705"/>
      <c r="L68" s="705"/>
      <c r="M68" s="705"/>
    </row>
    <row r="69" spans="1:13" s="509" customFormat="1" ht="10.5" customHeight="1">
      <c r="A69" s="732" t="s">
        <v>128</v>
      </c>
      <c r="B69" s="705" t="s">
        <v>446</v>
      </c>
      <c r="C69" s="705"/>
      <c r="D69" s="705">
        <v>0</v>
      </c>
      <c r="E69" s="705"/>
      <c r="F69" s="705" t="str">
        <f t="shared" si="0"/>
        <v/>
      </c>
      <c r="G69" s="705"/>
      <c r="H69" s="705"/>
      <c r="I69" s="705"/>
      <c r="J69" s="705"/>
      <c r="K69" s="705"/>
      <c r="L69" s="705"/>
      <c r="M69" s="705"/>
    </row>
    <row r="70" spans="1:13" s="509" customFormat="1" ht="10.5" customHeight="1">
      <c r="A70" s="862" t="s">
        <v>447</v>
      </c>
      <c r="B70" s="863"/>
      <c r="C70" s="867"/>
      <c r="D70" s="867">
        <v>0</v>
      </c>
      <c r="E70" s="867"/>
      <c r="F70" s="868" t="str">
        <f t="shared" ref="F70" si="1">+IF(D70=0,"",C70/D70-1)</f>
        <v/>
      </c>
      <c r="G70" s="705"/>
      <c r="H70" s="705"/>
      <c r="I70" s="705"/>
      <c r="J70" s="705"/>
      <c r="K70" s="705"/>
      <c r="L70" s="705"/>
      <c r="M70" s="705"/>
    </row>
    <row r="71" spans="1:13" s="509" customFormat="1" ht="10.5" customHeight="1">
      <c r="A71" s="705"/>
      <c r="B71" s="705"/>
      <c r="C71" s="705"/>
      <c r="D71" s="705"/>
      <c r="E71" s="705"/>
      <c r="F71" s="705"/>
      <c r="G71" s="705"/>
      <c r="H71" s="705"/>
      <c r="I71" s="705"/>
      <c r="J71" s="705"/>
      <c r="K71" s="705"/>
      <c r="L71" s="705"/>
      <c r="M71" s="705"/>
    </row>
    <row r="72" spans="1:13" s="509" customFormat="1" ht="10.5" customHeight="1">
      <c r="A72" s="705"/>
      <c r="B72" s="705"/>
      <c r="C72" s="705"/>
      <c r="D72" s="705"/>
      <c r="E72" s="705"/>
      <c r="F72" s="705"/>
      <c r="G72" s="705"/>
      <c r="H72" s="705"/>
      <c r="I72" s="705"/>
      <c r="J72" s="705"/>
      <c r="K72" s="705"/>
      <c r="L72" s="705"/>
      <c r="M72" s="705"/>
    </row>
    <row r="73" spans="1:13" s="509" customFormat="1" ht="10.5" customHeight="1">
      <c r="A73" s="705"/>
      <c r="B73" s="705"/>
      <c r="C73" s="705"/>
      <c r="D73" s="705"/>
      <c r="E73" s="705"/>
      <c r="F73" s="705"/>
      <c r="G73" s="705"/>
      <c r="H73" s="705"/>
      <c r="I73" s="705"/>
      <c r="J73" s="705"/>
      <c r="K73" s="705"/>
      <c r="L73" s="705"/>
      <c r="M73" s="705"/>
    </row>
    <row r="74" spans="1:13" s="509" customFormat="1" ht="10.5" customHeight="1">
      <c r="A74" s="705"/>
      <c r="B74" s="705"/>
      <c r="C74" s="705"/>
      <c r="D74" s="705"/>
      <c r="E74" s="705"/>
      <c r="F74" s="705"/>
      <c r="G74" s="705"/>
      <c r="H74" s="705"/>
      <c r="I74" s="705"/>
      <c r="J74" s="705"/>
      <c r="K74" s="705"/>
      <c r="L74" s="705"/>
      <c r="M74" s="705"/>
    </row>
    <row r="75" spans="1:13" s="509" customFormat="1" ht="10.5" customHeight="1">
      <c r="A75" s="705"/>
      <c r="B75" s="705"/>
      <c r="C75" s="705"/>
      <c r="D75" s="705"/>
      <c r="E75" s="705"/>
      <c r="F75" s="705"/>
      <c r="G75" s="705"/>
      <c r="H75" s="705"/>
      <c r="I75" s="705"/>
      <c r="J75" s="705"/>
      <c r="K75" s="705"/>
      <c r="L75" s="705"/>
      <c r="M75" s="705"/>
    </row>
    <row r="76" spans="1:13" s="509" customFormat="1" ht="10.5" customHeight="1">
      <c r="A76" s="705"/>
      <c r="B76" s="705"/>
      <c r="C76" s="705"/>
      <c r="D76" s="705"/>
      <c r="E76" s="705"/>
      <c r="F76" s="705"/>
      <c r="G76" s="705"/>
      <c r="H76" s="705"/>
      <c r="I76" s="705"/>
      <c r="J76" s="705"/>
      <c r="K76" s="705"/>
      <c r="L76" s="705"/>
      <c r="M76" s="705"/>
    </row>
    <row r="77" spans="1:13" s="509" customFormat="1" ht="10.5" customHeight="1">
      <c r="A77" s="705"/>
      <c r="B77" s="705"/>
      <c r="C77" s="705"/>
      <c r="D77" s="705"/>
      <c r="E77" s="705"/>
      <c r="F77" s="705"/>
      <c r="G77" s="705"/>
      <c r="H77" s="705"/>
      <c r="I77" s="705"/>
      <c r="J77" s="705"/>
      <c r="K77" s="705"/>
      <c r="L77" s="705"/>
      <c r="M77" s="705"/>
    </row>
    <row r="78" spans="1:13" s="509" customFormat="1" ht="10.5" customHeight="1">
      <c r="A78" s="705"/>
      <c r="B78" s="705"/>
      <c r="C78" s="705"/>
      <c r="D78" s="705"/>
      <c r="E78" s="705"/>
      <c r="F78" s="705"/>
      <c r="G78" s="705"/>
      <c r="H78" s="705"/>
      <c r="I78" s="705"/>
      <c r="J78" s="705"/>
      <c r="K78" s="705"/>
      <c r="L78" s="705"/>
      <c r="M78" s="705"/>
    </row>
    <row r="79" spans="1:13" s="509" customFormat="1" ht="10.5" customHeight="1">
      <c r="A79" s="705"/>
      <c r="B79" s="705"/>
      <c r="C79" s="705"/>
      <c r="D79" s="705"/>
      <c r="E79" s="705"/>
      <c r="F79" s="705"/>
      <c r="G79" s="705"/>
      <c r="H79" s="705"/>
      <c r="I79" s="705"/>
      <c r="J79" s="705"/>
      <c r="K79" s="705"/>
      <c r="L79" s="705"/>
      <c r="M79" s="705"/>
    </row>
    <row r="80" spans="1:13" s="509" customFormat="1" ht="10.5" customHeight="1">
      <c r="A80" s="705"/>
      <c r="B80" s="705"/>
      <c r="C80" s="705"/>
      <c r="D80" s="705"/>
      <c r="E80" s="705"/>
      <c r="F80" s="705"/>
      <c r="G80" s="705"/>
      <c r="H80" s="705"/>
      <c r="I80" s="705"/>
      <c r="J80" s="705"/>
      <c r="K80" s="705"/>
      <c r="L80" s="705"/>
      <c r="M80" s="705"/>
    </row>
    <row r="81" spans="1:13" s="509" customFormat="1" ht="10.5" customHeight="1">
      <c r="A81" s="705"/>
      <c r="B81" s="705"/>
      <c r="C81" s="705"/>
      <c r="D81" s="705"/>
      <c r="E81" s="705"/>
      <c r="F81" s="705"/>
      <c r="G81" s="705"/>
      <c r="H81" s="705"/>
      <c r="I81" s="705"/>
      <c r="J81" s="705"/>
      <c r="K81" s="705"/>
      <c r="L81" s="705"/>
      <c r="M81" s="705"/>
    </row>
    <row r="82" spans="1:13" s="509" customFormat="1" ht="8.25">
      <c r="A82" s="705"/>
      <c r="B82" s="705"/>
      <c r="C82" s="705"/>
      <c r="D82" s="705"/>
      <c r="E82" s="705"/>
      <c r="F82" s="705"/>
      <c r="G82" s="705"/>
      <c r="H82" s="705"/>
      <c r="I82" s="705"/>
      <c r="J82" s="705"/>
      <c r="K82" s="705"/>
      <c r="L82" s="705"/>
      <c r="M82" s="705"/>
    </row>
    <row r="83" spans="1:13" s="509" customFormat="1" ht="8.25">
      <c r="A83" s="705"/>
      <c r="B83" s="705"/>
      <c r="C83" s="705"/>
      <c r="D83" s="705"/>
      <c r="E83" s="705"/>
      <c r="F83" s="705"/>
      <c r="G83" s="705"/>
      <c r="H83" s="705"/>
      <c r="I83" s="705"/>
      <c r="J83" s="705"/>
      <c r="K83" s="705"/>
      <c r="L83" s="705"/>
      <c r="M83" s="705"/>
    </row>
    <row r="84" spans="1:13" s="509" customFormat="1" ht="8.25">
      <c r="A84" s="705"/>
      <c r="B84" s="705"/>
      <c r="C84" s="705"/>
      <c r="D84" s="705"/>
      <c r="E84" s="705"/>
      <c r="F84" s="705"/>
      <c r="G84" s="705"/>
      <c r="H84" s="705"/>
      <c r="I84" s="705"/>
      <c r="J84" s="705"/>
      <c r="K84" s="705"/>
      <c r="L84" s="705"/>
      <c r="M84" s="705"/>
    </row>
    <row r="85" spans="1:13" s="509" customFormat="1" ht="8.25">
      <c r="A85" s="705"/>
      <c r="B85" s="705"/>
      <c r="C85" s="705"/>
      <c r="D85" s="705"/>
      <c r="E85" s="705"/>
      <c r="F85" s="705"/>
      <c r="G85" s="705"/>
      <c r="H85" s="705"/>
      <c r="I85" s="705"/>
      <c r="J85" s="705"/>
      <c r="K85" s="705"/>
      <c r="L85" s="705"/>
      <c r="M85" s="705"/>
    </row>
    <row r="86" spans="1:13" s="509" customFormat="1" ht="8.25">
      <c r="A86" s="705"/>
      <c r="B86" s="705"/>
      <c r="C86" s="705"/>
      <c r="D86" s="705"/>
      <c r="E86" s="705"/>
      <c r="F86" s="705"/>
      <c r="G86" s="705"/>
      <c r="H86" s="705"/>
      <c r="I86" s="705"/>
      <c r="J86" s="705"/>
      <c r="K86" s="705"/>
      <c r="L86" s="705"/>
      <c r="M86" s="705"/>
    </row>
    <row r="87" spans="1:13" s="509" customFormat="1" ht="8.25">
      <c r="A87" s="705"/>
      <c r="B87" s="705"/>
      <c r="C87" s="705"/>
      <c r="D87" s="705"/>
      <c r="E87" s="705"/>
      <c r="F87" s="705"/>
      <c r="G87" s="705"/>
      <c r="H87" s="705"/>
      <c r="I87" s="705"/>
      <c r="J87" s="705"/>
      <c r="K87" s="705"/>
      <c r="L87" s="705"/>
      <c r="M87" s="705"/>
    </row>
    <row r="88" spans="1:13" s="509" customFormat="1" ht="8.25">
      <c r="A88" s="705"/>
      <c r="B88" s="705"/>
      <c r="C88" s="705"/>
      <c r="D88" s="705"/>
      <c r="E88" s="705"/>
      <c r="F88" s="705"/>
      <c r="G88" s="705"/>
      <c r="H88" s="705"/>
      <c r="I88" s="705"/>
      <c r="J88" s="705"/>
      <c r="K88" s="705"/>
      <c r="L88" s="705"/>
      <c r="M88" s="705"/>
    </row>
    <row r="89" spans="1:13" s="509" customFormat="1" ht="8.25">
      <c r="A89" s="705"/>
      <c r="B89" s="705"/>
      <c r="C89" s="705"/>
      <c r="D89" s="705"/>
      <c r="E89" s="705"/>
      <c r="F89" s="705"/>
      <c r="G89" s="705"/>
      <c r="H89" s="705"/>
      <c r="I89" s="705"/>
      <c r="J89" s="705"/>
      <c r="K89" s="705"/>
      <c r="L89" s="705"/>
      <c r="M89" s="705"/>
    </row>
    <row r="90" spans="1:13" s="509" customFormat="1" ht="8.25">
      <c r="A90" s="705"/>
      <c r="B90" s="705"/>
      <c r="C90" s="705"/>
      <c r="D90" s="705"/>
      <c r="E90" s="705"/>
      <c r="F90" s="705"/>
      <c r="G90" s="705"/>
      <c r="H90" s="705"/>
      <c r="I90" s="705"/>
      <c r="J90" s="705"/>
      <c r="K90" s="705"/>
      <c r="L90" s="705"/>
      <c r="M90" s="705"/>
    </row>
    <row r="91" spans="1:13" s="509" customFormat="1" ht="8.25">
      <c r="A91" s="705"/>
      <c r="B91" s="705"/>
      <c r="C91" s="705"/>
      <c r="D91" s="705"/>
      <c r="E91" s="705"/>
      <c r="F91" s="705"/>
      <c r="G91" s="705"/>
      <c r="H91" s="705"/>
      <c r="I91" s="705"/>
      <c r="J91" s="705"/>
      <c r="K91" s="705"/>
      <c r="L91" s="705"/>
      <c r="M91" s="705"/>
    </row>
    <row r="92" spans="1:13" s="509" customFormat="1" ht="8.25">
      <c r="A92" s="705"/>
      <c r="B92" s="705"/>
      <c r="C92" s="705"/>
      <c r="D92" s="705"/>
      <c r="E92" s="705"/>
      <c r="F92" s="705"/>
      <c r="G92" s="705"/>
      <c r="H92" s="705"/>
      <c r="I92" s="705"/>
      <c r="J92" s="705"/>
      <c r="K92" s="705"/>
      <c r="L92" s="705"/>
      <c r="M92" s="705"/>
    </row>
    <row r="93" spans="1:13" s="509" customFormat="1" ht="8.25">
      <c r="A93" s="705"/>
      <c r="B93" s="705"/>
      <c r="C93" s="705"/>
      <c r="D93" s="705"/>
      <c r="E93" s="705"/>
      <c r="F93" s="705"/>
      <c r="G93" s="705"/>
      <c r="H93" s="705"/>
      <c r="I93" s="705"/>
      <c r="J93" s="705"/>
      <c r="K93" s="705"/>
      <c r="L93" s="705"/>
      <c r="M93" s="705"/>
    </row>
    <row r="94" spans="1:13" s="509" customFormat="1" ht="8.25">
      <c r="A94" s="705"/>
      <c r="B94" s="705"/>
      <c r="C94" s="705"/>
      <c r="D94" s="705"/>
      <c r="E94" s="705"/>
      <c r="F94" s="705"/>
      <c r="G94" s="705"/>
      <c r="H94" s="705"/>
      <c r="I94" s="705"/>
      <c r="J94" s="705"/>
      <c r="K94" s="705"/>
      <c r="L94" s="705"/>
      <c r="M94" s="705"/>
    </row>
    <row r="95" spans="1:13" s="509" customFormat="1" ht="8.25">
      <c r="A95" s="705"/>
      <c r="B95" s="705"/>
      <c r="C95" s="705"/>
      <c r="D95" s="705"/>
      <c r="E95" s="705"/>
      <c r="F95" s="705"/>
      <c r="G95" s="705"/>
      <c r="H95" s="705"/>
      <c r="I95" s="705"/>
      <c r="J95" s="705"/>
      <c r="K95" s="705"/>
      <c r="L95" s="705"/>
      <c r="M95" s="705"/>
    </row>
    <row r="96" spans="1:13" s="509" customFormat="1" ht="8.25">
      <c r="A96" s="705"/>
      <c r="B96" s="705"/>
      <c r="C96" s="705"/>
      <c r="D96" s="705"/>
      <c r="E96" s="705"/>
      <c r="F96" s="705"/>
      <c r="G96" s="705"/>
      <c r="H96" s="705"/>
      <c r="I96" s="705"/>
      <c r="J96" s="705"/>
      <c r="K96" s="705"/>
      <c r="L96" s="705"/>
      <c r="M96" s="705"/>
    </row>
    <row r="97" spans="1:13" s="509" customFormat="1" ht="8.25">
      <c r="A97" s="705"/>
      <c r="B97" s="705"/>
      <c r="C97" s="705"/>
      <c r="D97" s="705"/>
      <c r="E97" s="705"/>
      <c r="F97" s="705"/>
      <c r="G97" s="705"/>
      <c r="H97" s="705"/>
      <c r="I97" s="705"/>
      <c r="J97" s="705"/>
      <c r="K97" s="705"/>
      <c r="L97" s="705"/>
      <c r="M97" s="705"/>
    </row>
    <row r="98" spans="1:13" s="509" customFormat="1" ht="8.25">
      <c r="A98" s="705"/>
      <c r="B98" s="705"/>
      <c r="C98" s="705"/>
      <c r="D98" s="705"/>
      <c r="E98" s="705"/>
      <c r="F98" s="705"/>
      <c r="G98" s="705"/>
      <c r="H98" s="705"/>
      <c r="I98" s="705"/>
      <c r="J98" s="705"/>
      <c r="K98" s="705"/>
      <c r="L98" s="705"/>
      <c r="M98" s="705"/>
    </row>
    <row r="99" spans="1:13" s="509" customFormat="1" ht="8.25">
      <c r="A99" s="705"/>
      <c r="B99" s="705"/>
      <c r="C99" s="705"/>
      <c r="D99" s="705"/>
      <c r="E99" s="705"/>
      <c r="F99" s="705"/>
      <c r="G99" s="705"/>
      <c r="H99" s="705"/>
      <c r="I99" s="705"/>
      <c r="J99" s="705"/>
      <c r="K99" s="705"/>
      <c r="L99" s="705"/>
      <c r="M99" s="705"/>
    </row>
    <row r="100" spans="1:13" s="509" customFormat="1" ht="8.25">
      <c r="A100" s="705"/>
      <c r="B100" s="705"/>
      <c r="C100" s="705"/>
      <c r="D100" s="705"/>
      <c r="E100" s="705"/>
      <c r="F100" s="705"/>
      <c r="G100" s="705"/>
      <c r="H100" s="705"/>
      <c r="I100" s="705"/>
      <c r="J100" s="705"/>
      <c r="K100" s="705"/>
      <c r="L100" s="705"/>
      <c r="M100" s="705"/>
    </row>
    <row r="101" spans="1:13" s="509" customFormat="1" ht="8.25">
      <c r="A101" s="705"/>
      <c r="B101" s="705"/>
      <c r="C101" s="705"/>
      <c r="D101" s="705"/>
      <c r="E101" s="705"/>
      <c r="F101" s="705"/>
      <c r="G101" s="705"/>
      <c r="H101" s="705"/>
      <c r="I101" s="705"/>
      <c r="J101" s="705"/>
      <c r="K101" s="705"/>
      <c r="L101" s="705"/>
      <c r="M101" s="705"/>
    </row>
    <row r="102" spans="1:13" s="509" customFormat="1" ht="8.25">
      <c r="A102" s="705"/>
      <c r="B102" s="705"/>
      <c r="C102" s="705"/>
      <c r="D102" s="705"/>
      <c r="E102" s="705"/>
      <c r="F102" s="705"/>
      <c r="G102" s="705"/>
      <c r="H102" s="705"/>
      <c r="I102" s="705"/>
      <c r="J102" s="705"/>
      <c r="K102" s="705"/>
      <c r="L102" s="705"/>
      <c r="M102" s="705"/>
    </row>
    <row r="103" spans="1:13" s="509" customFormat="1" ht="8.25">
      <c r="A103" s="705"/>
      <c r="B103" s="705"/>
      <c r="C103" s="705"/>
      <c r="D103" s="705"/>
      <c r="E103" s="705"/>
      <c r="F103" s="705"/>
      <c r="G103" s="705"/>
      <c r="H103" s="705"/>
      <c r="I103" s="705"/>
      <c r="J103" s="705"/>
      <c r="K103" s="705"/>
      <c r="L103" s="705"/>
      <c r="M103" s="705"/>
    </row>
    <row r="104" spans="1:13" s="509" customFormat="1" ht="8.25">
      <c r="A104" s="705"/>
      <c r="B104" s="705"/>
      <c r="C104" s="705"/>
      <c r="D104" s="705"/>
      <c r="E104" s="705"/>
      <c r="F104" s="705"/>
      <c r="G104" s="705"/>
      <c r="H104" s="705"/>
      <c r="I104" s="705"/>
      <c r="J104" s="705"/>
      <c r="K104" s="705"/>
      <c r="L104" s="705"/>
      <c r="M104" s="705"/>
    </row>
    <row r="105" spans="1:13" s="509" customFormat="1" ht="8.25">
      <c r="A105" s="705"/>
      <c r="B105" s="705"/>
      <c r="C105" s="705"/>
      <c r="D105" s="705"/>
      <c r="E105" s="705"/>
      <c r="F105" s="705"/>
      <c r="G105" s="705"/>
      <c r="H105" s="705"/>
      <c r="I105" s="705"/>
      <c r="J105" s="705"/>
      <c r="K105" s="705"/>
      <c r="L105" s="705"/>
      <c r="M105" s="705"/>
    </row>
    <row r="106" spans="1:13" s="509" customFormat="1" ht="8.25">
      <c r="A106" s="705"/>
      <c r="B106" s="705"/>
      <c r="C106" s="705"/>
      <c r="D106" s="705"/>
      <c r="E106" s="705"/>
      <c r="F106" s="705"/>
      <c r="G106" s="705"/>
      <c r="H106" s="705"/>
      <c r="I106" s="705"/>
      <c r="J106" s="705"/>
      <c r="K106" s="705"/>
      <c r="L106" s="705"/>
      <c r="M106" s="705"/>
    </row>
    <row r="107" spans="1:13" s="509" customFormat="1" ht="8.25">
      <c r="A107" s="705"/>
      <c r="B107" s="705"/>
      <c r="C107" s="705"/>
      <c r="D107" s="705"/>
      <c r="E107" s="705"/>
      <c r="F107" s="705"/>
      <c r="G107" s="705"/>
      <c r="H107" s="705"/>
      <c r="I107" s="705"/>
      <c r="J107" s="705"/>
      <c r="K107" s="705"/>
      <c r="L107" s="705"/>
      <c r="M107" s="705"/>
    </row>
    <row r="108" spans="1:13" s="509" customFormat="1" ht="8.25">
      <c r="A108" s="705"/>
      <c r="B108" s="705"/>
      <c r="C108" s="705"/>
      <c r="D108" s="705"/>
      <c r="E108" s="705"/>
      <c r="F108" s="705"/>
      <c r="G108" s="705"/>
      <c r="H108" s="705"/>
      <c r="I108" s="705"/>
      <c r="J108" s="705"/>
      <c r="K108" s="705"/>
      <c r="L108" s="705"/>
      <c r="M108" s="705"/>
    </row>
    <row r="109" spans="1:13" s="509" customFormat="1" ht="8.25">
      <c r="A109" s="705"/>
      <c r="B109" s="705"/>
      <c r="C109" s="705"/>
      <c r="D109" s="705"/>
      <c r="E109" s="705"/>
      <c r="F109" s="705"/>
      <c r="G109" s="705"/>
      <c r="H109" s="705"/>
      <c r="I109" s="705"/>
      <c r="J109" s="705"/>
      <c r="K109" s="705"/>
      <c r="L109" s="705"/>
      <c r="M109" s="705"/>
    </row>
    <row r="110" spans="1:13" s="509" customFormat="1" ht="8.25">
      <c r="A110" s="705"/>
      <c r="B110" s="705"/>
      <c r="C110" s="705"/>
      <c r="D110" s="705"/>
      <c r="E110" s="705"/>
      <c r="F110" s="705"/>
      <c r="G110" s="705"/>
      <c r="H110" s="705"/>
      <c r="I110" s="705"/>
      <c r="J110" s="705"/>
      <c r="K110" s="705"/>
      <c r="L110" s="705"/>
      <c r="M110" s="705"/>
    </row>
    <row r="111" spans="1:13" s="509" customFormat="1" ht="8.25">
      <c r="A111" s="705"/>
      <c r="B111" s="705"/>
      <c r="C111" s="705"/>
      <c r="D111" s="705"/>
      <c r="E111" s="705"/>
      <c r="F111" s="705"/>
      <c r="G111" s="705"/>
      <c r="H111" s="705"/>
      <c r="I111" s="705"/>
      <c r="J111" s="705"/>
      <c r="K111" s="705"/>
      <c r="L111" s="705"/>
      <c r="M111" s="705"/>
    </row>
    <row r="112" spans="1:13" s="509" customFormat="1" ht="8.25">
      <c r="A112" s="705"/>
      <c r="B112" s="705"/>
      <c r="C112" s="705"/>
      <c r="D112" s="705"/>
      <c r="E112" s="705"/>
      <c r="F112" s="705"/>
      <c r="G112" s="705"/>
      <c r="H112" s="705"/>
      <c r="I112" s="705"/>
      <c r="J112" s="705"/>
      <c r="K112" s="705"/>
      <c r="L112" s="705"/>
      <c r="M112" s="705"/>
    </row>
    <row r="113" spans="1:13" s="509" customFormat="1" ht="8.25">
      <c r="A113" s="705"/>
      <c r="B113" s="705"/>
      <c r="C113" s="705"/>
      <c r="D113" s="705"/>
      <c r="E113" s="705"/>
      <c r="F113" s="705"/>
      <c r="G113" s="705"/>
      <c r="H113" s="705"/>
      <c r="I113" s="705"/>
      <c r="J113" s="705"/>
      <c r="K113" s="705"/>
      <c r="L113" s="705"/>
      <c r="M113" s="705"/>
    </row>
    <row r="114" spans="1:13" s="509" customFormat="1" ht="8.25">
      <c r="A114" s="705"/>
      <c r="B114" s="705"/>
      <c r="C114" s="705"/>
      <c r="D114" s="705"/>
      <c r="E114" s="705"/>
      <c r="F114" s="705"/>
      <c r="G114" s="705"/>
      <c r="H114" s="705"/>
      <c r="I114" s="705"/>
      <c r="J114" s="705"/>
      <c r="K114" s="705"/>
      <c r="L114" s="705"/>
      <c r="M114" s="705"/>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8E4F-20E0-43AD-908A-49DD1484B7D6}">
  <sheetPr>
    <tabColor theme="4"/>
  </sheetPr>
  <dimension ref="A1:M66"/>
  <sheetViews>
    <sheetView showGridLines="0" view="pageBreakPreview" zoomScale="70" zoomScaleNormal="100" zoomScaleSheetLayoutView="70" zoomScalePageLayoutView="130" workbookViewId="0">
      <selection activeCell="Q15" sqref="Q15"/>
    </sheetView>
  </sheetViews>
  <sheetFormatPr defaultRowHeight="9"/>
  <cols>
    <col min="1" max="1" width="27.6640625" style="393" customWidth="1"/>
    <col min="2" max="2" width="23" style="393" customWidth="1"/>
    <col min="3" max="4" width="17.6640625" style="393" customWidth="1"/>
    <col min="5" max="5" width="15.1640625" style="393" customWidth="1"/>
    <col min="6" max="6" width="13.33203125" style="393" customWidth="1"/>
    <col min="7" max="16384" width="9.33203125" style="394"/>
  </cols>
  <sheetData>
    <row r="1" spans="1:6" s="509" customFormat="1" ht="11.25" customHeight="1">
      <c r="A1" s="986" t="s">
        <v>284</v>
      </c>
      <c r="B1" s="989" t="s">
        <v>57</v>
      </c>
      <c r="C1" s="989" t="s">
        <v>452</v>
      </c>
      <c r="D1" s="989"/>
      <c r="E1" s="989"/>
      <c r="F1" s="992"/>
    </row>
    <row r="2" spans="1:6" s="509" customFormat="1" ht="11.25" customHeight="1">
      <c r="A2" s="987"/>
      <c r="B2" s="990"/>
      <c r="C2" s="840" t="str">
        <f>+'22. ANEXOII-2'!C2</f>
        <v>AGOSTO 2018</v>
      </c>
      <c r="D2" s="841" t="str">
        <f>+'22. ANEXOII-2'!D2</f>
        <v>AGOSTO 2017</v>
      </c>
      <c r="E2" s="842">
        <v>2018</v>
      </c>
      <c r="F2" s="843" t="s">
        <v>450</v>
      </c>
    </row>
    <row r="3" spans="1:6" s="509" customFormat="1" ht="11.25" customHeight="1">
      <c r="A3" s="987"/>
      <c r="B3" s="990"/>
      <c r="C3" s="844">
        <f>+'8. Max Potencia'!D8</f>
        <v>43340.833333333336</v>
      </c>
      <c r="D3" s="844">
        <f>+'8. Max Potencia'!E8</f>
        <v>42971.791666666664</v>
      </c>
      <c r="E3" s="844">
        <f>+'8. Max Potencia'!G8</f>
        <v>43214.78125</v>
      </c>
      <c r="F3" s="845" t="s">
        <v>441</v>
      </c>
    </row>
    <row r="4" spans="1:6" s="509" customFormat="1" ht="11.25" customHeight="1">
      <c r="A4" s="988"/>
      <c r="B4" s="991"/>
      <c r="C4" s="846">
        <f>+'8. Max Potencia'!D9</f>
        <v>43340.833333333336</v>
      </c>
      <c r="D4" s="846">
        <f>+'8. Max Potencia'!E9</f>
        <v>42971.791666666664</v>
      </c>
      <c r="E4" s="846">
        <f>+'8. Max Potencia'!G9</f>
        <v>43214.78125</v>
      </c>
      <c r="F4" s="847" t="s">
        <v>442</v>
      </c>
    </row>
    <row r="5" spans="1:6" s="509" customFormat="1" ht="11.25" customHeight="1">
      <c r="A5" s="734" t="s">
        <v>109</v>
      </c>
      <c r="B5" s="733" t="s">
        <v>64</v>
      </c>
      <c r="C5" s="735">
        <v>0</v>
      </c>
      <c r="D5" s="735">
        <v>5.0315099999999999</v>
      </c>
      <c r="E5" s="735">
        <v>18.94304</v>
      </c>
      <c r="F5" s="736">
        <f t="shared" ref="F5:F50" si="0">+IF(D5=0,"",C5/D5-1)</f>
        <v>-1</v>
      </c>
    </row>
    <row r="6" spans="1:6" s="509" customFormat="1" ht="11.25" customHeight="1">
      <c r="A6" s="869" t="s">
        <v>409</v>
      </c>
      <c r="B6" s="870"/>
      <c r="C6" s="871">
        <v>0</v>
      </c>
      <c r="D6" s="871">
        <v>5.0315099999999999</v>
      </c>
      <c r="E6" s="871">
        <v>18.94304</v>
      </c>
      <c r="F6" s="872">
        <f t="shared" si="0"/>
        <v>-1</v>
      </c>
    </row>
    <row r="7" spans="1:6" s="509" customFormat="1" ht="11.25" customHeight="1">
      <c r="A7" s="734" t="s">
        <v>276</v>
      </c>
      <c r="B7" s="733" t="s">
        <v>410</v>
      </c>
      <c r="C7" s="735">
        <v>0</v>
      </c>
      <c r="D7" s="735">
        <v>145.89409000000001</v>
      </c>
      <c r="E7" s="735">
        <v>0</v>
      </c>
      <c r="F7" s="736">
        <f t="shared" si="0"/>
        <v>-1</v>
      </c>
    </row>
    <row r="8" spans="1:6" s="509" customFormat="1" ht="11.25" customHeight="1">
      <c r="A8" s="869" t="s">
        <v>411</v>
      </c>
      <c r="B8" s="870"/>
      <c r="C8" s="871">
        <v>0</v>
      </c>
      <c r="D8" s="871">
        <v>145.89409000000001</v>
      </c>
      <c r="E8" s="871">
        <v>0</v>
      </c>
      <c r="F8" s="872">
        <f t="shared" si="0"/>
        <v>-1</v>
      </c>
    </row>
    <row r="9" spans="1:6" s="509" customFormat="1" ht="11.25" customHeight="1">
      <c r="A9" s="734" t="s">
        <v>100</v>
      </c>
      <c r="B9" s="733" t="s">
        <v>412</v>
      </c>
      <c r="C9" s="735">
        <v>94.405050000000003</v>
      </c>
      <c r="D9" s="735">
        <v>54.871079999999999</v>
      </c>
      <c r="E9" s="735">
        <v>110.79231</v>
      </c>
      <c r="F9" s="736">
        <f t="shared" si="0"/>
        <v>0.72048827907159851</v>
      </c>
    </row>
    <row r="10" spans="1:6" s="509" customFormat="1" ht="11.25" customHeight="1">
      <c r="A10" s="734"/>
      <c r="B10" s="733" t="s">
        <v>448</v>
      </c>
      <c r="C10" s="735"/>
      <c r="D10" s="735">
        <v>0</v>
      </c>
      <c r="E10" s="735"/>
      <c r="F10" s="736" t="str">
        <f t="shared" si="0"/>
        <v/>
      </c>
    </row>
    <row r="11" spans="1:6" s="509" customFormat="1" ht="11.25" customHeight="1">
      <c r="A11" s="869" t="s">
        <v>413</v>
      </c>
      <c r="B11" s="870"/>
      <c r="C11" s="871">
        <v>94.405050000000003</v>
      </c>
      <c r="D11" s="871">
        <v>54.871079999999999</v>
      </c>
      <c r="E11" s="871">
        <v>110.79231</v>
      </c>
      <c r="F11" s="872">
        <f t="shared" si="0"/>
        <v>0.72048827907159851</v>
      </c>
    </row>
    <row r="12" spans="1:6" s="509" customFormat="1" ht="11.25" customHeight="1">
      <c r="A12" s="734" t="s">
        <v>277</v>
      </c>
      <c r="B12" s="733" t="s">
        <v>68</v>
      </c>
      <c r="C12" s="735">
        <v>4.0925500000000001</v>
      </c>
      <c r="D12" s="735">
        <v>1.01067</v>
      </c>
      <c r="E12" s="735">
        <v>8.5421899999999997</v>
      </c>
      <c r="F12" s="736">
        <f t="shared" si="0"/>
        <v>3.0493435048037441</v>
      </c>
    </row>
    <row r="13" spans="1:6" s="509" customFormat="1" ht="11.25" customHeight="1">
      <c r="A13" s="734"/>
      <c r="B13" s="733" t="s">
        <v>67</v>
      </c>
      <c r="C13" s="735">
        <v>4.4455999999999998</v>
      </c>
      <c r="D13" s="735">
        <v>1.18499</v>
      </c>
      <c r="E13" s="735">
        <v>8.9284199999999991</v>
      </c>
      <c r="F13" s="736">
        <f t="shared" si="0"/>
        <v>2.7515928404459107</v>
      </c>
    </row>
    <row r="14" spans="1:6" s="509" customFormat="1" ht="11.25" customHeight="1">
      <c r="A14" s="734"/>
      <c r="B14" s="733" t="s">
        <v>71</v>
      </c>
      <c r="C14" s="735">
        <v>1.2321800000000001</v>
      </c>
      <c r="D14" s="735">
        <v>1.48075</v>
      </c>
      <c r="E14" s="735">
        <v>4.32423</v>
      </c>
      <c r="F14" s="736">
        <f t="shared" si="0"/>
        <v>-0.16786763464460575</v>
      </c>
    </row>
    <row r="15" spans="1:6" s="509" customFormat="1" ht="11.25" customHeight="1">
      <c r="A15" s="734"/>
      <c r="B15" s="733" t="s">
        <v>70</v>
      </c>
      <c r="C15" s="735">
        <v>1.50664</v>
      </c>
      <c r="D15" s="735">
        <v>1.77484</v>
      </c>
      <c r="E15" s="735">
        <v>5.0239000000000003</v>
      </c>
      <c r="F15" s="736">
        <f t="shared" si="0"/>
        <v>-0.15111221293186994</v>
      </c>
    </row>
    <row r="16" spans="1:6" s="509" customFormat="1" ht="11.25" customHeight="1">
      <c r="A16" s="869" t="s">
        <v>414</v>
      </c>
      <c r="B16" s="870"/>
      <c r="C16" s="871">
        <v>11.276969999999999</v>
      </c>
      <c r="D16" s="871">
        <v>5.4512499999999999</v>
      </c>
      <c r="E16" s="871">
        <v>26.818740000000002</v>
      </c>
      <c r="F16" s="872">
        <f t="shared" si="0"/>
        <v>1.0686943361614305</v>
      </c>
    </row>
    <row r="17" spans="1:6" s="509" customFormat="1" ht="11.25" customHeight="1">
      <c r="A17" s="734" t="s">
        <v>107</v>
      </c>
      <c r="B17" s="733" t="s">
        <v>415</v>
      </c>
      <c r="C17" s="735">
        <v>28.143129999999999</v>
      </c>
      <c r="D17" s="735">
        <v>28.24</v>
      </c>
      <c r="E17" s="735">
        <v>27.351590000000002</v>
      </c>
      <c r="F17" s="736">
        <f t="shared" si="0"/>
        <v>-3.4302407932010892E-3</v>
      </c>
    </row>
    <row r="18" spans="1:6" s="509" customFormat="1" ht="11.25" customHeight="1">
      <c r="A18" s="869" t="s">
        <v>416</v>
      </c>
      <c r="B18" s="870"/>
      <c r="C18" s="871">
        <v>28.143129999999999</v>
      </c>
      <c r="D18" s="871">
        <v>28.24</v>
      </c>
      <c r="E18" s="871">
        <v>27.351590000000002</v>
      </c>
      <c r="F18" s="872">
        <f t="shared" si="0"/>
        <v>-3.4302407932010892E-3</v>
      </c>
    </row>
    <row r="19" spans="1:6" s="509" customFormat="1" ht="11.25" customHeight="1">
      <c r="A19" s="734" t="s">
        <v>125</v>
      </c>
      <c r="B19" s="733" t="s">
        <v>417</v>
      </c>
      <c r="C19" s="735">
        <v>0</v>
      </c>
      <c r="D19" s="735">
        <v>0</v>
      </c>
      <c r="E19" s="735">
        <v>0</v>
      </c>
      <c r="F19" s="736" t="str">
        <f t="shared" si="0"/>
        <v/>
      </c>
    </row>
    <row r="20" spans="1:6" s="509" customFormat="1" ht="11.25" customHeight="1">
      <c r="A20" s="869" t="s">
        <v>418</v>
      </c>
      <c r="B20" s="870"/>
      <c r="C20" s="871">
        <v>0</v>
      </c>
      <c r="D20" s="871">
        <v>0</v>
      </c>
      <c r="E20" s="871">
        <v>0</v>
      </c>
      <c r="F20" s="872" t="str">
        <f t="shared" si="0"/>
        <v/>
      </c>
    </row>
    <row r="21" spans="1:6" s="509" customFormat="1" ht="11.25" customHeight="1">
      <c r="A21" s="734" t="s">
        <v>118</v>
      </c>
      <c r="B21" s="733" t="s">
        <v>449</v>
      </c>
      <c r="C21" s="735"/>
      <c r="D21" s="735">
        <v>0</v>
      </c>
      <c r="E21" s="735"/>
      <c r="F21" s="736" t="str">
        <f t="shared" si="0"/>
        <v/>
      </c>
    </row>
    <row r="22" spans="1:6" s="509" customFormat="1" ht="11.25" customHeight="1">
      <c r="A22" s="734"/>
      <c r="B22" s="733" t="s">
        <v>72</v>
      </c>
      <c r="C22" s="735">
        <v>4.1628499999999997</v>
      </c>
      <c r="D22" s="735">
        <v>7.7374200000000002</v>
      </c>
      <c r="E22" s="735">
        <v>8.8075100000000006</v>
      </c>
      <c r="F22" s="736">
        <f t="shared" si="0"/>
        <v>-0.46198474426876146</v>
      </c>
    </row>
    <row r="23" spans="1:6" s="509" customFormat="1" ht="11.25" customHeight="1">
      <c r="A23" s="869" t="s">
        <v>419</v>
      </c>
      <c r="B23" s="870"/>
      <c r="C23" s="871">
        <v>4.1628499999999997</v>
      </c>
      <c r="D23" s="871">
        <v>7.7374200000000002</v>
      </c>
      <c r="E23" s="871">
        <v>8.8075100000000006</v>
      </c>
      <c r="F23" s="872">
        <f t="shared" si="0"/>
        <v>-0.46198474426876146</v>
      </c>
    </row>
    <row r="24" spans="1:6" s="509" customFormat="1" ht="11.25" customHeight="1">
      <c r="A24" s="734" t="s">
        <v>95</v>
      </c>
      <c r="B24" s="733" t="s">
        <v>420</v>
      </c>
      <c r="C24" s="735">
        <v>28.7988</v>
      </c>
      <c r="D24" s="735">
        <v>26.761240000000001</v>
      </c>
      <c r="E24" s="735">
        <v>43.690919999999998</v>
      </c>
      <c r="F24" s="736">
        <f t="shared" si="0"/>
        <v>7.6138474898771458E-2</v>
      </c>
    </row>
    <row r="25" spans="1:6" s="509" customFormat="1" ht="11.25" customHeight="1">
      <c r="A25" s="734"/>
      <c r="B25" s="733" t="s">
        <v>421</v>
      </c>
      <c r="C25" s="735">
        <v>16.031099999999999</v>
      </c>
      <c r="D25" s="735">
        <v>26.165790000000001</v>
      </c>
      <c r="E25" s="735">
        <v>167.52777</v>
      </c>
      <c r="F25" s="736">
        <f t="shared" si="0"/>
        <v>-0.3873259702841001</v>
      </c>
    </row>
    <row r="26" spans="1:6" s="509" customFormat="1" ht="11.25" customHeight="1">
      <c r="A26" s="734"/>
      <c r="B26" s="733" t="s">
        <v>422</v>
      </c>
      <c r="C26" s="735">
        <v>15.43999</v>
      </c>
      <c r="D26" s="735">
        <v>17.527979999999999</v>
      </c>
      <c r="E26" s="735">
        <v>30.279130000000002</v>
      </c>
      <c r="F26" s="736">
        <f t="shared" si="0"/>
        <v>-0.11912325322142081</v>
      </c>
    </row>
    <row r="27" spans="1:6" s="509" customFormat="1" ht="11.25" customHeight="1">
      <c r="A27" s="734"/>
      <c r="B27" s="733" t="s">
        <v>423</v>
      </c>
      <c r="C27" s="735">
        <v>0.21</v>
      </c>
      <c r="D27" s="735">
        <v>0</v>
      </c>
      <c r="E27" s="735">
        <v>0</v>
      </c>
      <c r="F27" s="736" t="str">
        <f t="shared" si="0"/>
        <v/>
      </c>
    </row>
    <row r="28" spans="1:6" s="509" customFormat="1" ht="11.25" customHeight="1">
      <c r="A28" s="734"/>
      <c r="B28" s="733" t="s">
        <v>424</v>
      </c>
      <c r="C28" s="735">
        <v>14.95163</v>
      </c>
      <c r="D28" s="735">
        <v>0</v>
      </c>
      <c r="E28" s="735">
        <v>32.940539999999999</v>
      </c>
      <c r="F28" s="736" t="str">
        <f t="shared" si="0"/>
        <v/>
      </c>
    </row>
    <row r="29" spans="1:6" s="509" customFormat="1" ht="11.25" customHeight="1">
      <c r="A29" s="734"/>
      <c r="B29" s="733" t="s">
        <v>425</v>
      </c>
      <c r="C29" s="735">
        <v>2.5415999999999999</v>
      </c>
      <c r="D29" s="735">
        <v>3.3609599999999999</v>
      </c>
      <c r="E29" s="735">
        <v>3.0095999999999998</v>
      </c>
      <c r="F29" s="736">
        <f t="shared" si="0"/>
        <v>-0.24378748928877469</v>
      </c>
    </row>
    <row r="30" spans="1:6" s="509" customFormat="1" ht="11.25" customHeight="1">
      <c r="A30" s="734"/>
      <c r="B30" s="733" t="s">
        <v>426</v>
      </c>
      <c r="C30" s="735">
        <v>7.34436</v>
      </c>
      <c r="D30" s="735">
        <v>8.2346400000000006</v>
      </c>
      <c r="E30" s="735">
        <v>8.1388800000000003</v>
      </c>
      <c r="F30" s="736">
        <f t="shared" si="0"/>
        <v>-0.10811401591326408</v>
      </c>
    </row>
    <row r="31" spans="1:6" s="509" customFormat="1" ht="11.25" customHeight="1">
      <c r="A31" s="734"/>
      <c r="B31" s="733" t="s">
        <v>427</v>
      </c>
      <c r="C31" s="735">
        <v>4.1741799999999998</v>
      </c>
      <c r="D31" s="735">
        <v>7.7458500000000008</v>
      </c>
      <c r="E31" s="735">
        <v>5.7245100000000004</v>
      </c>
      <c r="F31" s="736">
        <f t="shared" si="0"/>
        <v>-0.46110756082289239</v>
      </c>
    </row>
    <row r="32" spans="1:6" s="509" customFormat="1" ht="11.25" customHeight="1">
      <c r="A32" s="734"/>
      <c r="B32" s="733" t="s">
        <v>428</v>
      </c>
      <c r="C32" s="735">
        <v>1.37714</v>
      </c>
      <c r="D32" s="735">
        <v>2.1808399999999999</v>
      </c>
      <c r="E32" s="735">
        <v>4.1269400000000003</v>
      </c>
      <c r="F32" s="736">
        <f t="shared" si="0"/>
        <v>-0.36852772326259597</v>
      </c>
    </row>
    <row r="33" spans="1:6" s="509" customFormat="1" ht="11.25" customHeight="1">
      <c r="A33" s="734"/>
      <c r="B33" s="733" t="s">
        <v>429</v>
      </c>
      <c r="C33" s="735">
        <v>0.40878999999999999</v>
      </c>
      <c r="D33" s="735">
        <v>0.37278</v>
      </c>
      <c r="E33" s="735">
        <v>0</v>
      </c>
      <c r="F33" s="736">
        <f t="shared" si="0"/>
        <v>9.6598529964053936E-2</v>
      </c>
    </row>
    <row r="34" spans="1:6" s="509" customFormat="1" ht="11.25" customHeight="1">
      <c r="A34" s="734"/>
      <c r="B34" s="733" t="s">
        <v>430</v>
      </c>
      <c r="C34" s="735">
        <v>0.32408999999999999</v>
      </c>
      <c r="D34" s="735">
        <v>0.26679999999999998</v>
      </c>
      <c r="E34" s="735">
        <v>0</v>
      </c>
      <c r="F34" s="736">
        <f t="shared" si="0"/>
        <v>0.21473013493253368</v>
      </c>
    </row>
    <row r="35" spans="1:6" s="509" customFormat="1" ht="11.25" customHeight="1">
      <c r="A35" s="734"/>
      <c r="B35" s="733" t="s">
        <v>431</v>
      </c>
      <c r="C35" s="735">
        <v>102.92737</v>
      </c>
      <c r="D35" s="735">
        <v>93.720960000000005</v>
      </c>
      <c r="E35" s="735">
        <v>105.35533</v>
      </c>
      <c r="F35" s="736">
        <f t="shared" si="0"/>
        <v>9.8232135052820579E-2</v>
      </c>
    </row>
    <row r="36" spans="1:6" s="509" customFormat="1" ht="11.25" customHeight="1">
      <c r="A36" s="869" t="s">
        <v>432</v>
      </c>
      <c r="B36" s="870"/>
      <c r="C36" s="871">
        <v>194.52904999999998</v>
      </c>
      <c r="D36" s="871">
        <v>186.33784000000003</v>
      </c>
      <c r="E36" s="871">
        <v>400.79361999999992</v>
      </c>
      <c r="F36" s="872">
        <f t="shared" si="0"/>
        <v>4.3958918918454604E-2</v>
      </c>
    </row>
    <row r="37" spans="1:6" s="509" customFormat="1" ht="11.25" customHeight="1">
      <c r="A37" s="734" t="s">
        <v>114</v>
      </c>
      <c r="B37" s="733" t="s">
        <v>261</v>
      </c>
      <c r="C37" s="735">
        <v>0</v>
      </c>
      <c r="D37" s="735">
        <v>0</v>
      </c>
      <c r="E37" s="735">
        <v>0</v>
      </c>
      <c r="F37" s="736" t="str">
        <f t="shared" si="0"/>
        <v/>
      </c>
    </row>
    <row r="38" spans="1:6" s="509" customFormat="1" ht="11.25" customHeight="1">
      <c r="A38" s="869" t="s">
        <v>433</v>
      </c>
      <c r="B38" s="870"/>
      <c r="C38" s="871">
        <v>0</v>
      </c>
      <c r="D38" s="871">
        <v>0</v>
      </c>
      <c r="E38" s="871">
        <v>0</v>
      </c>
      <c r="F38" s="872" t="str">
        <f t="shared" si="0"/>
        <v/>
      </c>
    </row>
    <row r="39" spans="1:6" s="509" customFormat="1" ht="11.25" customHeight="1">
      <c r="A39" s="734" t="s">
        <v>105</v>
      </c>
      <c r="B39" s="733" t="s">
        <v>730</v>
      </c>
      <c r="C39" s="735">
        <v>292.65355999999997</v>
      </c>
      <c r="D39" s="735">
        <v>196.28210999999999</v>
      </c>
      <c r="E39" s="735">
        <v>293.38225</v>
      </c>
      <c r="F39" s="736">
        <f t="shared" si="0"/>
        <v>0.49098437957488827</v>
      </c>
    </row>
    <row r="40" spans="1:6" s="509" customFormat="1" ht="11.25" customHeight="1">
      <c r="A40" s="869" t="s">
        <v>434</v>
      </c>
      <c r="B40" s="870"/>
      <c r="C40" s="871">
        <v>292.65355999999997</v>
      </c>
      <c r="D40" s="871">
        <v>196.28210999999999</v>
      </c>
      <c r="E40" s="871">
        <v>293.38225</v>
      </c>
      <c r="F40" s="872">
        <f t="shared" si="0"/>
        <v>0.49098437957488827</v>
      </c>
    </row>
    <row r="41" spans="1:6" s="509" customFormat="1" ht="11.25" customHeight="1">
      <c r="A41" s="734" t="s">
        <v>110</v>
      </c>
      <c r="B41" s="733" t="s">
        <v>435</v>
      </c>
      <c r="C41" s="735">
        <v>171.66131000000001</v>
      </c>
      <c r="D41" s="735">
        <v>86.49879</v>
      </c>
      <c r="E41" s="735">
        <v>0</v>
      </c>
      <c r="F41" s="736">
        <f t="shared" si="0"/>
        <v>0.98455157580817043</v>
      </c>
    </row>
    <row r="42" spans="1:6" s="509" customFormat="1" ht="11.25" customHeight="1">
      <c r="A42" s="869" t="s">
        <v>436</v>
      </c>
      <c r="B42" s="870"/>
      <c r="C42" s="871">
        <v>171.66131000000001</v>
      </c>
      <c r="D42" s="871">
        <v>86.49879</v>
      </c>
      <c r="E42" s="871">
        <v>0</v>
      </c>
      <c r="F42" s="872">
        <f t="shared" si="0"/>
        <v>0.98455157580817043</v>
      </c>
    </row>
    <row r="43" spans="1:6" s="509" customFormat="1" ht="11.25" customHeight="1">
      <c r="A43" s="734" t="s">
        <v>512</v>
      </c>
      <c r="B43" s="733" t="s">
        <v>729</v>
      </c>
      <c r="C43" s="735">
        <v>19.915679999999998</v>
      </c>
      <c r="D43" s="735"/>
      <c r="E43" s="735">
        <v>19.976400000000002</v>
      </c>
      <c r="F43" s="736" t="str">
        <f t="shared" si="0"/>
        <v/>
      </c>
    </row>
    <row r="44" spans="1:6" s="509" customFormat="1" ht="11.25" customHeight="1">
      <c r="A44" s="869" t="s">
        <v>514</v>
      </c>
      <c r="B44" s="870"/>
      <c r="C44" s="871">
        <v>19.915679999999998</v>
      </c>
      <c r="D44" s="871"/>
      <c r="E44" s="871">
        <v>19.976400000000002</v>
      </c>
      <c r="F44" s="872" t="str">
        <f t="shared" si="0"/>
        <v/>
      </c>
    </row>
    <row r="45" spans="1:6" s="509" customFormat="1" ht="11.25" customHeight="1">
      <c r="A45" s="734" t="s">
        <v>590</v>
      </c>
      <c r="B45" s="733" t="s">
        <v>388</v>
      </c>
      <c r="C45" s="735">
        <v>6.7769300000000001</v>
      </c>
      <c r="D45" s="735">
        <v>11.49161</v>
      </c>
      <c r="E45" s="735">
        <v>19.575330000000001</v>
      </c>
      <c r="F45" s="736">
        <f t="shared" si="0"/>
        <v>-0.41027149372455207</v>
      </c>
    </row>
    <row r="46" spans="1:6" s="509" customFormat="1" ht="11.25" customHeight="1">
      <c r="A46" s="869" t="s">
        <v>537</v>
      </c>
      <c r="B46" s="870"/>
      <c r="C46" s="871">
        <v>6.7769300000000001</v>
      </c>
      <c r="D46" s="871">
        <v>11.49161</v>
      </c>
      <c r="E46" s="871">
        <v>19.575330000000001</v>
      </c>
      <c r="F46" s="872">
        <f t="shared" si="0"/>
        <v>-0.41027149372455207</v>
      </c>
    </row>
    <row r="47" spans="1:6" s="509" customFormat="1" ht="11.25" customHeight="1">
      <c r="A47" s="734" t="s">
        <v>713</v>
      </c>
      <c r="B47" s="733" t="s">
        <v>720</v>
      </c>
      <c r="C47" s="735">
        <v>0.48599999999999999</v>
      </c>
      <c r="D47" s="735"/>
      <c r="E47" s="735"/>
      <c r="F47" s="736" t="str">
        <f t="shared" si="0"/>
        <v/>
      </c>
    </row>
    <row r="48" spans="1:6" s="509" customFormat="1" ht="11.25" customHeight="1">
      <c r="A48" s="869" t="s">
        <v>721</v>
      </c>
      <c r="B48" s="870"/>
      <c r="C48" s="871">
        <v>0.48599999999999999</v>
      </c>
      <c r="D48" s="871"/>
      <c r="E48" s="871"/>
      <c r="F48" s="872" t="str">
        <f t="shared" si="0"/>
        <v/>
      </c>
    </row>
    <row r="49" spans="1:13" s="509" customFormat="1" ht="8.25">
      <c r="A49" s="737"/>
      <c r="B49" s="737"/>
      <c r="C49" s="737"/>
      <c r="D49" s="737"/>
      <c r="E49" s="737"/>
      <c r="F49" s="737"/>
    </row>
    <row r="50" spans="1:13" s="509" customFormat="1" ht="10.5" customHeight="1">
      <c r="A50" s="828" t="s">
        <v>515</v>
      </c>
      <c r="B50" s="854"/>
      <c r="C50" s="830">
        <v>6519.2727699999987</v>
      </c>
      <c r="D50" s="830">
        <v>6303.8622599999981</v>
      </c>
      <c r="E50" s="830">
        <v>6710.6748599999992</v>
      </c>
      <c r="F50" s="855">
        <f t="shared" si="0"/>
        <v>3.417119554893322E-2</v>
      </c>
    </row>
    <row r="51" spans="1:13" s="509" customFormat="1" ht="10.5" customHeight="1">
      <c r="A51" s="831" t="s">
        <v>438</v>
      </c>
      <c r="B51" s="832"/>
      <c r="C51" s="830">
        <f>+'8. Max Potencia'!D16</f>
        <v>0</v>
      </c>
      <c r="D51" s="830">
        <f>+'8. Max Potencia'!E16</f>
        <v>0</v>
      </c>
      <c r="E51" s="835">
        <v>0</v>
      </c>
      <c r="F51" s="856">
        <v>0</v>
      </c>
    </row>
    <row r="52" spans="1:13" s="509" customFormat="1" ht="10.5" customHeight="1">
      <c r="A52" s="836" t="s">
        <v>439</v>
      </c>
      <c r="B52" s="837"/>
      <c r="C52" s="830">
        <f>+'8. Max Potencia'!D17</f>
        <v>0</v>
      </c>
      <c r="D52" s="830">
        <f>+'8. Max Potencia'!E17</f>
        <v>0</v>
      </c>
      <c r="E52" s="835">
        <v>0</v>
      </c>
      <c r="F52" s="856">
        <v>0</v>
      </c>
    </row>
    <row r="54" spans="1:13" ht="12" customHeight="1">
      <c r="A54" s="705" t="s">
        <v>553</v>
      </c>
    </row>
    <row r="55" spans="1:13" s="639" customFormat="1" ht="12" customHeight="1">
      <c r="A55" s="705" t="s">
        <v>582</v>
      </c>
      <c r="B55" s="393"/>
      <c r="C55" s="393"/>
      <c r="D55" s="393"/>
      <c r="E55" s="393"/>
      <c r="F55" s="393"/>
      <c r="G55" s="394"/>
      <c r="H55" s="394"/>
      <c r="I55" s="394"/>
      <c r="J55" s="394"/>
      <c r="K55" s="394"/>
      <c r="L55" s="394"/>
      <c r="M55" s="394"/>
    </row>
    <row r="56" spans="1:13" ht="12" customHeight="1">
      <c r="A56" s="705" t="s">
        <v>583</v>
      </c>
    </row>
    <row r="57" spans="1:13" ht="12" customHeight="1">
      <c r="A57" s="705" t="s">
        <v>584</v>
      </c>
    </row>
    <row r="58" spans="1:13" ht="12" customHeight="1">
      <c r="A58" s="705" t="s">
        <v>585</v>
      </c>
    </row>
    <row r="59" spans="1:13" ht="12" customHeight="1">
      <c r="A59" s="705" t="s">
        <v>586</v>
      </c>
    </row>
    <row r="60" spans="1:13" ht="12" customHeight="1">
      <c r="A60" s="705" t="s">
        <v>587</v>
      </c>
    </row>
    <row r="61" spans="1:13" ht="12" customHeight="1">
      <c r="A61" s="705" t="s">
        <v>588</v>
      </c>
    </row>
    <row r="62" spans="1:13" ht="12" customHeight="1">
      <c r="A62" s="705" t="s">
        <v>589</v>
      </c>
    </row>
    <row r="63" spans="1:13" ht="12" customHeight="1">
      <c r="A63" s="705" t="s">
        <v>722</v>
      </c>
    </row>
    <row r="64" spans="1:13" ht="12" customHeight="1">
      <c r="A64" s="705" t="s">
        <v>723</v>
      </c>
    </row>
    <row r="65" spans="1:1" ht="12" customHeight="1">
      <c r="A65" s="705" t="s">
        <v>724</v>
      </c>
    </row>
    <row r="66" spans="1:1">
      <c r="A66" s="394"/>
    </row>
  </sheetData>
  <mergeCells count="3">
    <mergeCell ref="A1:A4"/>
    <mergeCell ref="B1:B4"/>
    <mergeCell ref="C1:F1"/>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BF0BA-941D-46C6-B6E4-8A142B4FD1D1}">
  <sheetPr>
    <tabColor theme="4"/>
  </sheetPr>
  <dimension ref="A1:M68"/>
  <sheetViews>
    <sheetView showGridLines="0" view="pageBreakPreview" zoomScale="115" zoomScaleNormal="100" zoomScaleSheetLayoutView="115" zoomScalePageLayoutView="145" workbookViewId="0">
      <selection activeCell="Q15" sqref="Q15"/>
    </sheetView>
  </sheetViews>
  <sheetFormatPr defaultRowHeight="11.25"/>
  <cols>
    <col min="1" max="1" width="9.83203125" style="50" customWidth="1"/>
    <col min="2" max="2" width="6.6640625" style="50" customWidth="1"/>
    <col min="3" max="3" width="10.1640625" style="50" bestFit="1" customWidth="1"/>
    <col min="4" max="5" width="12.1640625" style="50" customWidth="1"/>
    <col min="6" max="6" width="10" style="50" customWidth="1"/>
    <col min="7" max="7" width="6.5" style="50" customWidth="1"/>
    <col min="8" max="8" width="10.33203125" style="50" customWidth="1"/>
    <col min="9" max="10" width="12.1640625" style="50" customWidth="1"/>
    <col min="11" max="11" width="12" style="50" customWidth="1"/>
    <col min="12" max="13" width="9.33203125" style="50"/>
    <col min="14" max="16384" width="9.33203125" style="3"/>
  </cols>
  <sheetData>
    <row r="1" spans="1:13" s="50" customFormat="1" ht="11.25" customHeight="1"/>
    <row r="2" spans="1:13" s="50" customFormat="1" ht="11.25" customHeight="1"/>
    <row r="3" spans="1:13" s="50" customFormat="1" ht="16.5" customHeight="1">
      <c r="A3" s="405" t="s">
        <v>460</v>
      </c>
      <c r="B3" s="403"/>
    </row>
    <row r="4" spans="1:13" s="50" customFormat="1" ht="11.25" customHeight="1">
      <c r="A4" s="375"/>
      <c r="B4" s="403"/>
    </row>
    <row r="5" spans="1:13" s="50" customFormat="1" ht="11.25" customHeight="1">
      <c r="A5" s="404" t="s">
        <v>591</v>
      </c>
      <c r="C5" s="626" t="s">
        <v>706</v>
      </c>
    </row>
    <row r="6" spans="1:13" s="50" customFormat="1" ht="11.25" customHeight="1">
      <c r="A6" s="404" t="s">
        <v>461</v>
      </c>
      <c r="C6" s="688" t="s">
        <v>702</v>
      </c>
    </row>
    <row r="7" spans="1:13" s="50" customFormat="1" ht="11.25" customHeight="1">
      <c r="A7" s="404" t="s">
        <v>462</v>
      </c>
      <c r="C7" s="689" t="s">
        <v>549</v>
      </c>
    </row>
    <row r="8" spans="1:13" s="50" customFormat="1" ht="11.25" customHeight="1"/>
    <row r="9" spans="1:13" s="50" customFormat="1" ht="14.25" customHeight="1">
      <c r="A9" s="993" t="s">
        <v>453</v>
      </c>
      <c r="B9" s="994" t="s">
        <v>454</v>
      </c>
      <c r="C9" s="994"/>
      <c r="D9" s="994"/>
      <c r="E9" s="994"/>
      <c r="F9" s="994"/>
      <c r="G9" s="994" t="s">
        <v>455</v>
      </c>
      <c r="H9" s="994"/>
      <c r="I9" s="994"/>
      <c r="J9" s="994"/>
      <c r="K9" s="994"/>
    </row>
    <row r="10" spans="1:13" s="50" customFormat="1" ht="26.25" customHeight="1">
      <c r="A10" s="993"/>
      <c r="B10" s="848" t="s">
        <v>456</v>
      </c>
      <c r="C10" s="848" t="s">
        <v>213</v>
      </c>
      <c r="D10" s="848" t="s">
        <v>438</v>
      </c>
      <c r="E10" s="848" t="s">
        <v>439</v>
      </c>
      <c r="F10" s="849" t="s">
        <v>459</v>
      </c>
      <c r="G10" s="848" t="s">
        <v>456</v>
      </c>
      <c r="H10" s="848" t="s">
        <v>213</v>
      </c>
      <c r="I10" s="848" t="s">
        <v>438</v>
      </c>
      <c r="J10" s="848" t="s">
        <v>439</v>
      </c>
      <c r="K10" s="849" t="s">
        <v>459</v>
      </c>
      <c r="L10" s="254"/>
      <c r="M10" s="61"/>
    </row>
    <row r="11" spans="1:13" s="50" customFormat="1" ht="11.25" customHeight="1">
      <c r="A11" s="993"/>
      <c r="B11" s="848" t="s">
        <v>457</v>
      </c>
      <c r="C11" s="848" t="s">
        <v>458</v>
      </c>
      <c r="D11" s="848" t="s">
        <v>458</v>
      </c>
      <c r="E11" s="848" t="s">
        <v>458</v>
      </c>
      <c r="F11" s="848" t="s">
        <v>458</v>
      </c>
      <c r="G11" s="848" t="s">
        <v>457</v>
      </c>
      <c r="H11" s="848" t="s">
        <v>458</v>
      </c>
      <c r="I11" s="848" t="s">
        <v>458</v>
      </c>
      <c r="J11" s="848" t="s">
        <v>458</v>
      </c>
      <c r="K11" s="848" t="s">
        <v>458</v>
      </c>
      <c r="L11" s="254"/>
      <c r="M11" s="61"/>
    </row>
    <row r="12" spans="1:13" s="50" customFormat="1" ht="11.25" customHeight="1">
      <c r="A12" s="520" t="s">
        <v>669</v>
      </c>
      <c r="B12" s="521" t="s">
        <v>554</v>
      </c>
      <c r="C12" s="400">
        <v>5950.8895899999998</v>
      </c>
      <c r="D12" s="400">
        <v>0</v>
      </c>
      <c r="E12" s="400">
        <v>0</v>
      </c>
      <c r="F12" s="400">
        <v>5950.8895899999998</v>
      </c>
      <c r="G12" s="521" t="s">
        <v>524</v>
      </c>
      <c r="H12" s="400">
        <v>6164.0374599999996</v>
      </c>
      <c r="I12" s="400">
        <v>0</v>
      </c>
      <c r="J12" s="400">
        <v>0</v>
      </c>
      <c r="K12" s="400">
        <v>6164.0374599999996</v>
      </c>
      <c r="L12" s="266"/>
      <c r="M12" s="61"/>
    </row>
    <row r="13" spans="1:13" s="50" customFormat="1" ht="11.25" customHeight="1">
      <c r="A13" s="520" t="s">
        <v>670</v>
      </c>
      <c r="B13" s="522" t="s">
        <v>525</v>
      </c>
      <c r="C13" s="401">
        <v>6066.4724500000002</v>
      </c>
      <c r="D13" s="401">
        <v>0</v>
      </c>
      <c r="E13" s="401">
        <v>0</v>
      </c>
      <c r="F13" s="401">
        <v>6066.4724500000002</v>
      </c>
      <c r="G13" s="522" t="s">
        <v>549</v>
      </c>
      <c r="H13" s="401">
        <v>6214.8886300000004</v>
      </c>
      <c r="I13" s="401">
        <v>0</v>
      </c>
      <c r="J13" s="401">
        <v>0</v>
      </c>
      <c r="K13" s="401">
        <v>6214.8886300000004</v>
      </c>
      <c r="L13" s="7"/>
    </row>
    <row r="14" spans="1:13" s="50" customFormat="1" ht="11.25" customHeight="1">
      <c r="A14" s="520" t="s">
        <v>671</v>
      </c>
      <c r="B14" s="522" t="s">
        <v>554</v>
      </c>
      <c r="C14" s="401">
        <v>6135.9622399999998</v>
      </c>
      <c r="D14" s="401">
        <v>32.90804</v>
      </c>
      <c r="E14" s="401">
        <v>0</v>
      </c>
      <c r="F14" s="401">
        <v>6168.8702800000001</v>
      </c>
      <c r="G14" s="522" t="s">
        <v>524</v>
      </c>
      <c r="H14" s="401">
        <v>6252.0996500000001</v>
      </c>
      <c r="I14" s="401">
        <v>40.672800000000002</v>
      </c>
      <c r="J14" s="401">
        <v>0</v>
      </c>
      <c r="K14" s="401">
        <v>6292.7724500000004</v>
      </c>
      <c r="L14" s="20"/>
    </row>
    <row r="15" spans="1:13" s="50" customFormat="1" ht="11.25" customHeight="1">
      <c r="A15" s="520" t="s">
        <v>672</v>
      </c>
      <c r="B15" s="522" t="s">
        <v>525</v>
      </c>
      <c r="C15" s="401">
        <v>6086.8168699999997</v>
      </c>
      <c r="D15" s="401">
        <v>0</v>
      </c>
      <c r="E15" s="401">
        <v>0</v>
      </c>
      <c r="F15" s="401">
        <v>6086.8168699999997</v>
      </c>
      <c r="G15" s="522" t="s">
        <v>520</v>
      </c>
      <c r="H15" s="401">
        <v>6300.6578600000003</v>
      </c>
      <c r="I15" s="401">
        <v>0</v>
      </c>
      <c r="J15" s="401">
        <v>0</v>
      </c>
      <c r="K15" s="401">
        <v>6300.6578600000003</v>
      </c>
      <c r="L15" s="16"/>
    </row>
    <row r="16" spans="1:13" s="50" customFormat="1" ht="11.25" customHeight="1">
      <c r="A16" s="520" t="s">
        <v>673</v>
      </c>
      <c r="B16" s="522" t="s">
        <v>521</v>
      </c>
      <c r="C16" s="401">
        <v>5430.6038799999997</v>
      </c>
      <c r="D16" s="401">
        <v>37.57264</v>
      </c>
      <c r="E16" s="401">
        <v>0</v>
      </c>
      <c r="F16" s="401">
        <v>5468.17652</v>
      </c>
      <c r="G16" s="522" t="s">
        <v>674</v>
      </c>
      <c r="H16" s="401">
        <v>5997.4282800000001</v>
      </c>
      <c r="I16" s="401">
        <v>37.444600000000001</v>
      </c>
      <c r="J16" s="401">
        <v>0</v>
      </c>
      <c r="K16" s="401">
        <v>6034.8728799999999</v>
      </c>
      <c r="L16" s="29"/>
    </row>
    <row r="17" spans="1:12" s="50" customFormat="1" ht="11.25" customHeight="1">
      <c r="A17" s="520" t="s">
        <v>675</v>
      </c>
      <c r="B17" s="522" t="s">
        <v>523</v>
      </c>
      <c r="C17" s="401">
        <v>6134.9951199999996</v>
      </c>
      <c r="D17" s="401">
        <v>40.708680000000001</v>
      </c>
      <c r="E17" s="401">
        <v>0</v>
      </c>
      <c r="F17" s="401">
        <v>6175.7038000000002</v>
      </c>
      <c r="G17" s="522" t="s">
        <v>676</v>
      </c>
      <c r="H17" s="401">
        <v>6293.8074699999997</v>
      </c>
      <c r="I17" s="401">
        <v>39.737160000000003</v>
      </c>
      <c r="J17" s="401">
        <v>0</v>
      </c>
      <c r="K17" s="401">
        <v>6333.5446300000003</v>
      </c>
      <c r="L17" s="29"/>
    </row>
    <row r="18" spans="1:12" s="50" customFormat="1" ht="11.25" customHeight="1">
      <c r="A18" s="520" t="s">
        <v>677</v>
      </c>
      <c r="B18" s="522" t="s">
        <v>601</v>
      </c>
      <c r="C18" s="401">
        <v>6144.1610300000002</v>
      </c>
      <c r="D18" s="401">
        <v>0</v>
      </c>
      <c r="E18" s="401">
        <v>0</v>
      </c>
      <c r="F18" s="401">
        <v>6144.1610300000002</v>
      </c>
      <c r="G18" s="522" t="s">
        <v>522</v>
      </c>
      <c r="H18" s="401">
        <v>6312.3359700000001</v>
      </c>
      <c r="I18" s="401">
        <v>38.847999999999999</v>
      </c>
      <c r="J18" s="401">
        <v>0</v>
      </c>
      <c r="K18" s="401">
        <v>6351.18397</v>
      </c>
      <c r="L18" s="29"/>
    </row>
    <row r="19" spans="1:12" s="50" customFormat="1" ht="11.25" customHeight="1">
      <c r="A19" s="520" t="s">
        <v>678</v>
      </c>
      <c r="B19" s="654" t="s">
        <v>525</v>
      </c>
      <c r="C19" s="402">
        <v>6353.1274800000001</v>
      </c>
      <c r="D19" s="402">
        <v>0</v>
      </c>
      <c r="E19" s="402">
        <v>0</v>
      </c>
      <c r="F19" s="402">
        <v>6353.1274800000001</v>
      </c>
      <c r="G19" s="522" t="s">
        <v>522</v>
      </c>
      <c r="H19" s="401">
        <v>6426.6715000000004</v>
      </c>
      <c r="I19" s="401">
        <v>0</v>
      </c>
      <c r="J19" s="401">
        <v>0</v>
      </c>
      <c r="K19" s="401">
        <v>6426.6715000000004</v>
      </c>
      <c r="L19" s="29"/>
    </row>
    <row r="20" spans="1:12" s="50" customFormat="1" ht="11.25" customHeight="1">
      <c r="A20" s="520" t="s">
        <v>679</v>
      </c>
      <c r="B20" s="522" t="s">
        <v>523</v>
      </c>
      <c r="C20" s="617">
        <v>6257.7470599999997</v>
      </c>
      <c r="D20" s="617">
        <v>0</v>
      </c>
      <c r="E20" s="617">
        <v>0</v>
      </c>
      <c r="F20" s="617">
        <v>6257.7470599999997</v>
      </c>
      <c r="G20" s="618" t="s">
        <v>555</v>
      </c>
      <c r="H20" s="617">
        <v>6373.7827399999996</v>
      </c>
      <c r="I20" s="617">
        <v>0</v>
      </c>
      <c r="J20" s="617">
        <v>0</v>
      </c>
      <c r="K20" s="617">
        <v>6373.7827399999996</v>
      </c>
      <c r="L20" s="31"/>
    </row>
    <row r="21" spans="1:12" s="50" customFormat="1" ht="11.25" customHeight="1">
      <c r="A21" s="520" t="s">
        <v>680</v>
      </c>
      <c r="B21" s="522" t="s">
        <v>554</v>
      </c>
      <c r="C21" s="617">
        <v>6129.2642900000001</v>
      </c>
      <c r="D21" s="617">
        <v>0</v>
      </c>
      <c r="E21" s="617">
        <v>0</v>
      </c>
      <c r="F21" s="617">
        <v>6129.2642900000001</v>
      </c>
      <c r="G21" s="618" t="s">
        <v>550</v>
      </c>
      <c r="H21" s="617">
        <v>6366.6014299999997</v>
      </c>
      <c r="I21" s="617">
        <v>0</v>
      </c>
      <c r="J21" s="617">
        <v>0</v>
      </c>
      <c r="K21" s="617">
        <v>6366.6014299999997</v>
      </c>
      <c r="L21" s="29"/>
    </row>
    <row r="22" spans="1:12" s="50" customFormat="1" ht="11.25" customHeight="1">
      <c r="A22" s="520" t="s">
        <v>681</v>
      </c>
      <c r="B22" s="522" t="s">
        <v>523</v>
      </c>
      <c r="C22" s="617">
        <v>6191.3982900000001</v>
      </c>
      <c r="D22" s="617">
        <v>0</v>
      </c>
      <c r="E22" s="617">
        <v>0</v>
      </c>
      <c r="F22" s="617">
        <v>6191.3982900000001</v>
      </c>
      <c r="G22" s="618" t="s">
        <v>524</v>
      </c>
      <c r="H22" s="617">
        <v>6379.7987499999999</v>
      </c>
      <c r="I22" s="617">
        <v>0</v>
      </c>
      <c r="J22" s="617">
        <v>0</v>
      </c>
      <c r="K22" s="617">
        <v>6379.7987499999999</v>
      </c>
      <c r="L22" s="29"/>
    </row>
    <row r="23" spans="1:12" s="50" customFormat="1" ht="11.25" customHeight="1">
      <c r="A23" s="520" t="s">
        <v>682</v>
      </c>
      <c r="B23" s="522" t="s">
        <v>521</v>
      </c>
      <c r="C23" s="617">
        <v>5629.3249500000002</v>
      </c>
      <c r="D23" s="617">
        <v>0</v>
      </c>
      <c r="E23" s="617">
        <v>0</v>
      </c>
      <c r="F23" s="617">
        <v>5629.3249500000002</v>
      </c>
      <c r="G23" s="618" t="s">
        <v>520</v>
      </c>
      <c r="H23" s="617">
        <v>6233.9022999999997</v>
      </c>
      <c r="I23" s="617">
        <v>0</v>
      </c>
      <c r="J23" s="617">
        <v>0</v>
      </c>
      <c r="K23" s="617">
        <v>6233.9022999999997</v>
      </c>
      <c r="L23" s="29"/>
    </row>
    <row r="24" spans="1:12" s="50" customFormat="1" ht="11.25" customHeight="1">
      <c r="A24" s="520" t="s">
        <v>683</v>
      </c>
      <c r="B24" s="522" t="s">
        <v>684</v>
      </c>
      <c r="C24" s="617">
        <v>6234.8150900000001</v>
      </c>
      <c r="D24" s="617">
        <v>0</v>
      </c>
      <c r="E24" s="617">
        <v>0</v>
      </c>
      <c r="F24" s="617">
        <v>6234.8150900000001</v>
      </c>
      <c r="G24" s="618" t="s">
        <v>550</v>
      </c>
      <c r="H24" s="617">
        <v>6408.7722400000002</v>
      </c>
      <c r="I24" s="617">
        <v>0</v>
      </c>
      <c r="J24" s="617">
        <v>0</v>
      </c>
      <c r="K24" s="617">
        <v>6408.7722400000002</v>
      </c>
      <c r="L24" s="29"/>
    </row>
    <row r="25" spans="1:12" s="50" customFormat="1" ht="11.25" customHeight="1">
      <c r="A25" s="520" t="s">
        <v>685</v>
      </c>
      <c r="B25" s="522" t="s">
        <v>523</v>
      </c>
      <c r="C25" s="617">
        <v>6304.6306400000003</v>
      </c>
      <c r="D25" s="617">
        <v>33.66384</v>
      </c>
      <c r="E25" s="617">
        <v>0</v>
      </c>
      <c r="F25" s="617">
        <v>6338.2944799999996</v>
      </c>
      <c r="G25" s="618" t="s">
        <v>549</v>
      </c>
      <c r="H25" s="617">
        <v>6436.3897399999996</v>
      </c>
      <c r="I25" s="617">
        <v>43.651200000000003</v>
      </c>
      <c r="J25" s="617">
        <v>0</v>
      </c>
      <c r="K25" s="617">
        <v>6480.0409399999999</v>
      </c>
      <c r="L25" s="29"/>
    </row>
    <row r="26" spans="1:12" s="50" customFormat="1" ht="11.25" customHeight="1">
      <c r="A26" s="520" t="s">
        <v>686</v>
      </c>
      <c r="B26" s="522" t="s">
        <v>687</v>
      </c>
      <c r="C26" s="617">
        <v>6180.9240300000001</v>
      </c>
      <c r="D26" s="617">
        <v>0</v>
      </c>
      <c r="E26" s="617">
        <v>0</v>
      </c>
      <c r="F26" s="617">
        <v>6180.9240300000001</v>
      </c>
      <c r="G26" s="618" t="s">
        <v>688</v>
      </c>
      <c r="H26" s="617">
        <v>6346.5792300000003</v>
      </c>
      <c r="I26" s="617">
        <v>42.143999999999998</v>
      </c>
      <c r="J26" s="617">
        <v>0</v>
      </c>
      <c r="K26" s="617">
        <v>6388.7232299999996</v>
      </c>
      <c r="L26" s="29"/>
    </row>
    <row r="27" spans="1:12" s="50" customFormat="1" ht="11.25" customHeight="1">
      <c r="A27" s="520" t="s">
        <v>689</v>
      </c>
      <c r="B27" s="522" t="s">
        <v>525</v>
      </c>
      <c r="C27" s="617">
        <v>6276.8041499999999</v>
      </c>
      <c r="D27" s="617">
        <v>0</v>
      </c>
      <c r="E27" s="617">
        <v>0</v>
      </c>
      <c r="F27" s="617">
        <v>6276.8041499999999</v>
      </c>
      <c r="G27" s="618" t="s">
        <v>555</v>
      </c>
      <c r="H27" s="617">
        <v>6355.8480499999996</v>
      </c>
      <c r="I27" s="617">
        <v>41.112000000000002</v>
      </c>
      <c r="J27" s="617">
        <v>0</v>
      </c>
      <c r="K27" s="617">
        <v>6396.9600499999997</v>
      </c>
      <c r="L27" s="29"/>
    </row>
    <row r="28" spans="1:12" s="50" customFormat="1" ht="11.25" customHeight="1">
      <c r="A28" s="520" t="s">
        <v>690</v>
      </c>
      <c r="B28" s="522" t="s">
        <v>523</v>
      </c>
      <c r="C28" s="617">
        <v>6108.5484299999998</v>
      </c>
      <c r="D28" s="617">
        <v>38.411999999999999</v>
      </c>
      <c r="E28" s="617">
        <v>0</v>
      </c>
      <c r="F28" s="617">
        <v>6146.9604300000001</v>
      </c>
      <c r="G28" s="618" t="s">
        <v>550</v>
      </c>
      <c r="H28" s="617">
        <v>6372.8676100000002</v>
      </c>
      <c r="I28" s="617">
        <v>36.491999999999997</v>
      </c>
      <c r="J28" s="617">
        <v>0</v>
      </c>
      <c r="K28" s="617">
        <v>6409.3596100000004</v>
      </c>
      <c r="L28" s="39"/>
    </row>
    <row r="29" spans="1:12" s="50" customFormat="1" ht="11.25" customHeight="1">
      <c r="A29" s="520" t="s">
        <v>691</v>
      </c>
      <c r="B29" s="522" t="s">
        <v>592</v>
      </c>
      <c r="C29" s="617">
        <v>5967.7623000000003</v>
      </c>
      <c r="D29" s="617">
        <v>0</v>
      </c>
      <c r="E29" s="617">
        <v>0</v>
      </c>
      <c r="F29" s="617">
        <v>5967.7623000000003</v>
      </c>
      <c r="G29" s="618" t="s">
        <v>600</v>
      </c>
      <c r="H29" s="617">
        <v>6202.8154000000004</v>
      </c>
      <c r="I29" s="617">
        <v>0</v>
      </c>
      <c r="J29" s="617">
        <v>0</v>
      </c>
      <c r="K29" s="617">
        <v>6202.8154000000004</v>
      </c>
      <c r="L29" s="29"/>
    </row>
    <row r="30" spans="1:12" s="50" customFormat="1" ht="11.25" customHeight="1">
      <c r="A30" s="520" t="s">
        <v>692</v>
      </c>
      <c r="B30" s="522" t="s">
        <v>521</v>
      </c>
      <c r="C30" s="617">
        <v>5498.6560300000001</v>
      </c>
      <c r="D30" s="617">
        <v>33.96828</v>
      </c>
      <c r="E30" s="617">
        <v>0</v>
      </c>
      <c r="F30" s="617">
        <v>5532.6243100000002</v>
      </c>
      <c r="G30" s="618" t="s">
        <v>522</v>
      </c>
      <c r="H30" s="617">
        <v>6134.8909999999996</v>
      </c>
      <c r="I30" s="617">
        <v>0</v>
      </c>
      <c r="J30" s="617">
        <v>0</v>
      </c>
      <c r="K30" s="617">
        <v>6134.8909999999996</v>
      </c>
      <c r="L30" s="29"/>
    </row>
    <row r="31" spans="1:12" s="50" customFormat="1" ht="11.25" customHeight="1">
      <c r="A31" s="520" t="s">
        <v>693</v>
      </c>
      <c r="B31" s="522" t="s">
        <v>525</v>
      </c>
      <c r="C31" s="617">
        <v>6145.7880500000001</v>
      </c>
      <c r="D31" s="617">
        <v>34.860039999999998</v>
      </c>
      <c r="E31" s="617">
        <v>0</v>
      </c>
      <c r="F31" s="617">
        <v>6180.6480899999997</v>
      </c>
      <c r="G31" s="618" t="s">
        <v>676</v>
      </c>
      <c r="H31" s="617">
        <v>6407.8677200000002</v>
      </c>
      <c r="I31" s="617">
        <v>34.438920000000003</v>
      </c>
      <c r="J31" s="617">
        <v>0</v>
      </c>
      <c r="K31" s="617">
        <v>6442.3066399999998</v>
      </c>
      <c r="L31" s="20"/>
    </row>
    <row r="32" spans="1:12" s="50" customFormat="1" ht="11.25" customHeight="1">
      <c r="A32" s="520" t="s">
        <v>694</v>
      </c>
      <c r="B32" s="522" t="s">
        <v>601</v>
      </c>
      <c r="C32" s="617">
        <v>6277.8967700000003</v>
      </c>
      <c r="D32" s="617">
        <v>35.052880000000002</v>
      </c>
      <c r="E32" s="617">
        <v>0</v>
      </c>
      <c r="F32" s="617">
        <v>6312.9496499999996</v>
      </c>
      <c r="G32" s="618" t="s">
        <v>555</v>
      </c>
      <c r="H32" s="617">
        <v>6352.2019099999998</v>
      </c>
      <c r="I32" s="617">
        <v>37.75224</v>
      </c>
      <c r="J32" s="617">
        <v>0</v>
      </c>
      <c r="K32" s="617">
        <v>6389.9541499999996</v>
      </c>
      <c r="L32" s="22"/>
    </row>
    <row r="33" spans="1:12" s="50" customFormat="1" ht="11.25" customHeight="1">
      <c r="A33" s="520" t="s">
        <v>695</v>
      </c>
      <c r="B33" s="522" t="s">
        <v>601</v>
      </c>
      <c r="C33" s="617">
        <v>6004.6757799999996</v>
      </c>
      <c r="D33" s="617">
        <v>36.053319999999999</v>
      </c>
      <c r="E33" s="617">
        <v>0</v>
      </c>
      <c r="F33" s="617">
        <v>6040.7290999999996</v>
      </c>
      <c r="G33" s="618" t="s">
        <v>520</v>
      </c>
      <c r="H33" s="617">
        <v>6171.5950700000003</v>
      </c>
      <c r="I33" s="617">
        <v>38.551439999999999</v>
      </c>
      <c r="J33" s="617">
        <v>0</v>
      </c>
      <c r="K33" s="617">
        <v>6210.1465099999996</v>
      </c>
      <c r="L33" s="20"/>
    </row>
    <row r="34" spans="1:12" s="50" customFormat="1" ht="11.25" customHeight="1">
      <c r="A34" s="520" t="s">
        <v>696</v>
      </c>
      <c r="B34" s="522" t="s">
        <v>554</v>
      </c>
      <c r="C34" s="617">
        <v>6117.7529999999997</v>
      </c>
      <c r="D34" s="617">
        <v>32.097239999999999</v>
      </c>
      <c r="E34" s="617">
        <v>0</v>
      </c>
      <c r="F34" s="617">
        <v>6149.8502399999998</v>
      </c>
      <c r="G34" s="618" t="s">
        <v>549</v>
      </c>
      <c r="H34" s="617">
        <v>6328.0072600000003</v>
      </c>
      <c r="I34" s="617">
        <v>38.473199999999999</v>
      </c>
      <c r="J34" s="617">
        <v>0</v>
      </c>
      <c r="K34" s="617">
        <v>6366.4804599999998</v>
      </c>
      <c r="L34" s="20"/>
    </row>
    <row r="35" spans="1:12" s="50" customFormat="1" ht="11.25" customHeight="1">
      <c r="A35" s="520" t="s">
        <v>697</v>
      </c>
      <c r="B35" s="522" t="s">
        <v>601</v>
      </c>
      <c r="C35" s="617">
        <v>6204.1200900000003</v>
      </c>
      <c r="D35" s="617">
        <v>0</v>
      </c>
      <c r="E35" s="617">
        <v>0</v>
      </c>
      <c r="F35" s="617">
        <v>6204.1200900000003</v>
      </c>
      <c r="G35" s="618" t="s">
        <v>524</v>
      </c>
      <c r="H35" s="617">
        <v>6334.1457399999999</v>
      </c>
      <c r="I35" s="617">
        <v>0</v>
      </c>
      <c r="J35" s="617">
        <v>0</v>
      </c>
      <c r="K35" s="617">
        <v>6334.1457399999999</v>
      </c>
      <c r="L35" s="29"/>
    </row>
    <row r="36" spans="1:12" s="50" customFormat="1" ht="11.25" customHeight="1">
      <c r="A36" s="520" t="s">
        <v>698</v>
      </c>
      <c r="B36" s="522" t="s">
        <v>592</v>
      </c>
      <c r="C36" s="617">
        <v>6206.9404100000002</v>
      </c>
      <c r="D36" s="617">
        <v>0</v>
      </c>
      <c r="E36" s="617">
        <v>0</v>
      </c>
      <c r="F36" s="617">
        <v>6206.9404100000002</v>
      </c>
      <c r="G36" s="618" t="s">
        <v>524</v>
      </c>
      <c r="H36" s="617">
        <v>6407.1099599999998</v>
      </c>
      <c r="I36" s="617">
        <v>0</v>
      </c>
      <c r="J36" s="617">
        <v>0</v>
      </c>
      <c r="K36" s="617">
        <v>6407.1099599999998</v>
      </c>
      <c r="L36" s="29"/>
    </row>
    <row r="37" spans="1:12" s="50" customFormat="1" ht="11.25" customHeight="1">
      <c r="A37" s="520" t="s">
        <v>699</v>
      </c>
      <c r="B37" s="522" t="s">
        <v>521</v>
      </c>
      <c r="C37" s="401">
        <v>5573.83061</v>
      </c>
      <c r="D37" s="401">
        <v>0</v>
      </c>
      <c r="E37" s="401">
        <v>0</v>
      </c>
      <c r="F37" s="401">
        <v>5573.83061</v>
      </c>
      <c r="G37" s="522" t="s">
        <v>522</v>
      </c>
      <c r="H37" s="401">
        <v>6180.9868100000003</v>
      </c>
      <c r="I37" s="401">
        <v>0</v>
      </c>
      <c r="J37" s="401">
        <v>0</v>
      </c>
      <c r="K37" s="401">
        <v>6180.9868100000003</v>
      </c>
      <c r="L37" s="29"/>
    </row>
    <row r="38" spans="1:12" s="50" customFormat="1" ht="11.25" customHeight="1">
      <c r="A38" s="520" t="s">
        <v>700</v>
      </c>
      <c r="B38" s="522" t="s">
        <v>701</v>
      </c>
      <c r="C38" s="401">
        <v>6212.5491000000002</v>
      </c>
      <c r="D38" s="401">
        <v>0</v>
      </c>
      <c r="E38" s="401">
        <v>0</v>
      </c>
      <c r="F38" s="401">
        <v>6212.5491000000002</v>
      </c>
      <c r="G38" s="522" t="s">
        <v>550</v>
      </c>
      <c r="H38" s="401">
        <v>6438.0948900000003</v>
      </c>
      <c r="I38" s="401">
        <v>0</v>
      </c>
      <c r="J38" s="401">
        <v>0</v>
      </c>
      <c r="K38" s="401">
        <v>6438.0948900000003</v>
      </c>
      <c r="L38" s="29"/>
    </row>
    <row r="39" spans="1:12" s="50" customFormat="1" ht="11.25" customHeight="1">
      <c r="A39" s="520" t="s">
        <v>702</v>
      </c>
      <c r="B39" s="522" t="s">
        <v>525</v>
      </c>
      <c r="C39" s="401">
        <v>6343.9876400000003</v>
      </c>
      <c r="D39" s="401">
        <v>0</v>
      </c>
      <c r="E39" s="401">
        <v>0</v>
      </c>
      <c r="F39" s="401">
        <v>6343.9876400000003</v>
      </c>
      <c r="G39" s="654" t="s">
        <v>549</v>
      </c>
      <c r="H39" s="402">
        <v>6519.2727699999996</v>
      </c>
      <c r="I39" s="402">
        <v>0</v>
      </c>
      <c r="J39" s="402">
        <v>0</v>
      </c>
      <c r="K39" s="402">
        <v>6519.2727699999996</v>
      </c>
      <c r="L39" s="29"/>
    </row>
    <row r="40" spans="1:12" s="50" customFormat="1" ht="11.25" customHeight="1">
      <c r="A40" s="520" t="s">
        <v>703</v>
      </c>
      <c r="B40" s="522" t="s">
        <v>525</v>
      </c>
      <c r="C40" s="401">
        <v>6298.4593199999999</v>
      </c>
      <c r="D40" s="401">
        <v>30.86</v>
      </c>
      <c r="E40" s="401">
        <v>0</v>
      </c>
      <c r="F40" s="401">
        <v>6329.3193199999996</v>
      </c>
      <c r="G40" s="522" t="s">
        <v>524</v>
      </c>
      <c r="H40" s="401">
        <v>6374.4230699999998</v>
      </c>
      <c r="I40" s="401">
        <v>43.055999999999997</v>
      </c>
      <c r="J40" s="401">
        <v>0</v>
      </c>
      <c r="K40" s="401">
        <v>6417.4790700000003</v>
      </c>
      <c r="L40" s="29"/>
    </row>
    <row r="41" spans="1:12" s="50" customFormat="1" ht="11.25" customHeight="1">
      <c r="A41" s="520" t="s">
        <v>704</v>
      </c>
      <c r="B41" s="522" t="s">
        <v>521</v>
      </c>
      <c r="C41" s="401">
        <v>5771.8010999999997</v>
      </c>
      <c r="D41" s="401">
        <v>0</v>
      </c>
      <c r="E41" s="401">
        <v>0</v>
      </c>
      <c r="F41" s="401">
        <v>5771.8010999999997</v>
      </c>
      <c r="G41" s="522" t="s">
        <v>522</v>
      </c>
      <c r="H41" s="401">
        <v>6342.1814599999998</v>
      </c>
      <c r="I41" s="401">
        <v>0</v>
      </c>
      <c r="J41" s="401">
        <v>0</v>
      </c>
      <c r="K41" s="401">
        <v>6342.1814599999998</v>
      </c>
      <c r="L41" s="29"/>
    </row>
    <row r="42" spans="1:12" s="50" customFormat="1" ht="11.25" customHeight="1">
      <c r="A42" s="520" t="s">
        <v>705</v>
      </c>
      <c r="B42" s="522" t="s">
        <v>525</v>
      </c>
      <c r="C42" s="401">
        <v>6271.26764</v>
      </c>
      <c r="D42" s="401">
        <v>0</v>
      </c>
      <c r="E42" s="401">
        <v>0</v>
      </c>
      <c r="F42" s="401">
        <v>6271.26764</v>
      </c>
      <c r="G42" s="522" t="s">
        <v>524</v>
      </c>
      <c r="H42" s="401">
        <v>6428.33169</v>
      </c>
      <c r="I42" s="401">
        <v>0</v>
      </c>
      <c r="J42" s="401">
        <v>0</v>
      </c>
      <c r="K42" s="401">
        <v>6428.33169</v>
      </c>
      <c r="L42" s="29"/>
    </row>
    <row r="43" spans="1:12" s="50" customFormat="1" ht="11.25" customHeight="1">
      <c r="A43" s="256"/>
      <c r="B43" s="256"/>
      <c r="C43" s="256"/>
      <c r="D43" s="256"/>
      <c r="E43" s="256"/>
      <c r="F43" s="256"/>
      <c r="G43" s="256"/>
      <c r="H43" s="256"/>
      <c r="I43" s="256"/>
      <c r="J43" s="256"/>
      <c r="K43" s="258"/>
      <c r="L43" s="29"/>
    </row>
    <row r="44" spans="1:12" s="50" customFormat="1" ht="11.25" customHeight="1">
      <c r="A44" s="256"/>
      <c r="B44" s="256"/>
      <c r="C44" s="256"/>
      <c r="D44" s="256"/>
      <c r="E44" s="256"/>
      <c r="F44" s="256"/>
      <c r="G44" s="256"/>
      <c r="H44" s="256"/>
      <c r="I44" s="256"/>
      <c r="J44" s="256"/>
      <c r="K44" s="258"/>
      <c r="L44" s="29"/>
    </row>
    <row r="45" spans="1:12" s="50" customFormat="1" ht="11.25" customHeight="1">
      <c r="A45" s="256"/>
      <c r="B45" s="256"/>
      <c r="C45" s="256"/>
      <c r="D45" s="256"/>
      <c r="E45" s="256"/>
      <c r="F45" s="256"/>
      <c r="G45" s="256"/>
      <c r="H45" s="256"/>
      <c r="I45" s="256"/>
      <c r="J45" s="256"/>
      <c r="K45" s="258"/>
      <c r="L45" s="29"/>
    </row>
    <row r="46" spans="1:12" s="50" customFormat="1" ht="11.25" customHeight="1">
      <c r="A46" s="256"/>
      <c r="B46" s="256"/>
      <c r="C46" s="256"/>
      <c r="D46" s="256"/>
      <c r="E46" s="256"/>
      <c r="F46" s="256"/>
      <c r="G46" s="256"/>
      <c r="H46" s="256"/>
      <c r="I46" s="256"/>
      <c r="J46" s="256"/>
      <c r="K46" s="258"/>
      <c r="L46" s="29"/>
    </row>
    <row r="47" spans="1:12" s="50" customFormat="1" ht="11.25" customHeight="1">
      <c r="A47" s="256"/>
      <c r="B47" s="256"/>
      <c r="C47" s="256"/>
      <c r="D47" s="256"/>
      <c r="E47" s="256"/>
      <c r="F47" s="256"/>
      <c r="G47" s="256"/>
      <c r="H47" s="256"/>
      <c r="I47" s="256"/>
      <c r="J47" s="256"/>
      <c r="K47" s="258"/>
      <c r="L47" s="29"/>
    </row>
    <row r="48" spans="1:12" s="50" customFormat="1" ht="11.25" customHeight="1">
      <c r="A48" s="256"/>
      <c r="B48" s="256"/>
      <c r="C48" s="256"/>
      <c r="D48" s="256"/>
      <c r="E48" s="256"/>
      <c r="F48" s="256"/>
      <c r="G48" s="256"/>
      <c r="H48" s="256"/>
      <c r="I48" s="256"/>
      <c r="J48" s="256"/>
      <c r="K48" s="260"/>
      <c r="L48" s="58"/>
    </row>
    <row r="49" spans="1:12" s="50" customFormat="1" ht="11.25" customHeight="1">
      <c r="A49" s="256"/>
      <c r="B49" s="256"/>
      <c r="C49" s="256"/>
      <c r="D49" s="256"/>
      <c r="E49" s="256"/>
      <c r="F49" s="256"/>
      <c r="G49" s="256"/>
      <c r="H49" s="256"/>
      <c r="I49" s="256"/>
      <c r="J49" s="256"/>
      <c r="K49" s="260"/>
      <c r="L49" s="59"/>
    </row>
    <row r="50" spans="1:12" s="50" customFormat="1" ht="11.25" customHeight="1">
      <c r="A50" s="256"/>
      <c r="B50" s="256"/>
      <c r="C50" s="256"/>
      <c r="D50" s="256"/>
      <c r="E50" s="256"/>
      <c r="F50" s="256"/>
      <c r="G50" s="256"/>
      <c r="H50" s="256"/>
      <c r="I50" s="256"/>
      <c r="J50" s="256"/>
      <c r="K50" s="260"/>
      <c r="L50" s="59"/>
    </row>
    <row r="51" spans="1:12" s="50" customFormat="1" ht="11.25" customHeight="1">
      <c r="A51" s="256"/>
      <c r="B51" s="256"/>
      <c r="C51" s="256"/>
      <c r="D51" s="256"/>
      <c r="E51" s="256"/>
      <c r="F51" s="256"/>
      <c r="G51" s="256"/>
      <c r="H51" s="256"/>
      <c r="I51" s="256"/>
      <c r="J51" s="256"/>
      <c r="K51" s="258"/>
    </row>
    <row r="52" spans="1:12" s="50" customFormat="1" ht="11.25" customHeight="1">
      <c r="A52" s="256"/>
      <c r="B52" s="256"/>
      <c r="C52" s="256"/>
      <c r="D52" s="256"/>
      <c r="E52" s="256"/>
      <c r="F52" s="256"/>
      <c r="G52" s="256"/>
      <c r="H52" s="256"/>
      <c r="I52" s="256"/>
      <c r="J52" s="256"/>
      <c r="K52" s="258"/>
    </row>
    <row r="53" spans="1:12" s="50" customFormat="1" ht="12.75">
      <c r="A53" s="256"/>
      <c r="B53" s="256"/>
      <c r="C53" s="256"/>
      <c r="D53" s="256"/>
      <c r="E53" s="256"/>
      <c r="F53" s="256"/>
      <c r="G53" s="256"/>
      <c r="H53" s="256"/>
      <c r="I53" s="256"/>
      <c r="J53" s="256"/>
      <c r="K53" s="258"/>
    </row>
    <row r="54" spans="1:12" s="50" customFormat="1" ht="12.75">
      <c r="A54" s="256"/>
      <c r="B54" s="256"/>
      <c r="C54" s="256"/>
      <c r="D54" s="256"/>
      <c r="E54" s="256"/>
      <c r="F54" s="256"/>
      <c r="G54" s="256"/>
      <c r="H54" s="256"/>
      <c r="I54" s="256"/>
      <c r="J54" s="256"/>
      <c r="K54" s="258"/>
    </row>
    <row r="55" spans="1:12" s="50" customFormat="1" ht="12.75">
      <c r="A55" s="256"/>
      <c r="B55" s="256"/>
      <c r="C55" s="256"/>
      <c r="D55" s="256"/>
      <c r="E55" s="256"/>
      <c r="F55" s="256"/>
      <c r="G55" s="256"/>
      <c r="H55" s="256"/>
      <c r="I55" s="256"/>
      <c r="J55" s="256"/>
      <c r="K55" s="258"/>
    </row>
    <row r="56" spans="1:12" s="50" customFormat="1" ht="12.75">
      <c r="A56" s="256"/>
      <c r="B56" s="256"/>
      <c r="C56" s="256"/>
      <c r="D56" s="256"/>
      <c r="E56" s="256"/>
      <c r="F56" s="256"/>
      <c r="G56" s="256"/>
      <c r="H56" s="256"/>
      <c r="I56" s="256"/>
      <c r="J56" s="256"/>
      <c r="K56" s="258"/>
    </row>
    <row r="57" spans="1:12" s="50" customFormat="1" ht="12.75">
      <c r="A57" s="256"/>
      <c r="B57" s="256"/>
      <c r="C57" s="256"/>
      <c r="D57" s="256"/>
      <c r="E57" s="256"/>
      <c r="F57" s="256"/>
      <c r="G57" s="256"/>
      <c r="H57" s="256"/>
      <c r="I57" s="256"/>
      <c r="J57" s="256"/>
      <c r="K57" s="258"/>
    </row>
    <row r="58" spans="1:12" s="50" customFormat="1" ht="12.75">
      <c r="A58" s="256"/>
      <c r="B58" s="132"/>
      <c r="C58" s="132"/>
      <c r="D58" s="132"/>
      <c r="E58" s="132"/>
      <c r="F58" s="132"/>
      <c r="G58" s="132"/>
      <c r="H58" s="132"/>
      <c r="I58" s="132"/>
      <c r="J58" s="132"/>
      <c r="K58" s="258"/>
    </row>
    <row r="59" spans="1:12" s="50" customFormat="1" ht="12.75">
      <c r="A59" s="256"/>
      <c r="B59" s="132"/>
      <c r="C59" s="132"/>
      <c r="D59" s="132"/>
      <c r="E59" s="132"/>
      <c r="F59" s="132"/>
      <c r="G59" s="132"/>
      <c r="H59" s="132"/>
      <c r="I59" s="132"/>
      <c r="J59" s="132"/>
      <c r="K59" s="258"/>
    </row>
    <row r="60" spans="1:12" s="50" customFormat="1" ht="12.75">
      <c r="A60" s="256"/>
      <c r="B60" s="132"/>
      <c r="C60" s="132"/>
      <c r="D60" s="132"/>
      <c r="E60" s="132"/>
      <c r="F60" s="132"/>
      <c r="G60" s="132"/>
      <c r="H60" s="132"/>
      <c r="I60" s="132"/>
      <c r="J60" s="132"/>
      <c r="K60" s="258"/>
    </row>
    <row r="61" spans="1:12" s="50" customFormat="1" ht="12.75">
      <c r="A61" s="256"/>
      <c r="B61" s="132"/>
      <c r="C61" s="132"/>
      <c r="D61" s="132"/>
      <c r="E61" s="132"/>
      <c r="F61" s="132"/>
      <c r="G61" s="132"/>
      <c r="H61" s="132"/>
      <c r="I61" s="132"/>
      <c r="J61" s="132"/>
      <c r="K61" s="258"/>
    </row>
    <row r="62" spans="1:12" s="50" customFormat="1" ht="12.75">
      <c r="A62" s="256"/>
      <c r="B62" s="132"/>
      <c r="C62" s="132"/>
      <c r="D62" s="132"/>
      <c r="E62" s="132"/>
      <c r="F62" s="132"/>
      <c r="G62" s="132"/>
      <c r="H62" s="132"/>
      <c r="I62" s="132"/>
      <c r="J62" s="132"/>
      <c r="K62" s="258"/>
    </row>
    <row r="63" spans="1:12" s="50" customFormat="1" ht="12.75">
      <c r="A63" s="256"/>
      <c r="B63" s="257"/>
      <c r="C63" s="257"/>
      <c r="D63" s="257"/>
      <c r="E63" s="257"/>
      <c r="F63" s="257"/>
      <c r="G63" s="257"/>
      <c r="H63" s="257"/>
      <c r="I63" s="257"/>
      <c r="J63" s="257"/>
      <c r="K63" s="258"/>
    </row>
    <row r="64" spans="1:12" s="50" customFormat="1" ht="12.75">
      <c r="A64" s="256"/>
      <c r="B64" s="257"/>
      <c r="C64" s="257"/>
      <c r="D64" s="257"/>
      <c r="E64" s="257"/>
      <c r="F64" s="257"/>
      <c r="G64" s="257"/>
      <c r="H64" s="257"/>
      <c r="I64" s="257"/>
      <c r="J64" s="257"/>
      <c r="K64" s="258"/>
    </row>
    <row r="65" spans="1:11" s="50" customFormat="1" ht="12.75">
      <c r="A65" s="256"/>
      <c r="B65" s="261"/>
      <c r="C65" s="258"/>
      <c r="D65" s="258"/>
      <c r="E65" s="258"/>
      <c r="F65" s="258"/>
      <c r="G65" s="257"/>
      <c r="H65" s="257"/>
      <c r="I65" s="257"/>
      <c r="J65" s="257"/>
      <c r="K65" s="258"/>
    </row>
    <row r="66" spans="1:11" s="50" customFormat="1" ht="12.75">
      <c r="A66" s="262"/>
      <c r="B66" s="263"/>
      <c r="C66" s="263"/>
      <c r="D66" s="263"/>
      <c r="E66" s="263"/>
      <c r="F66" s="263"/>
      <c r="G66" s="263"/>
      <c r="H66" s="257"/>
      <c r="I66" s="257"/>
      <c r="J66" s="257"/>
      <c r="K66" s="258"/>
    </row>
    <row r="67" spans="1:11" s="50" customFormat="1" ht="12.75">
      <c r="A67" s="262"/>
      <c r="B67" s="263"/>
      <c r="C67" s="263"/>
      <c r="D67" s="263"/>
      <c r="E67" s="263"/>
      <c r="F67" s="263"/>
      <c r="G67" s="263"/>
      <c r="H67" s="257"/>
      <c r="I67" s="257"/>
      <c r="J67" s="257"/>
      <c r="K67" s="257"/>
    </row>
    <row r="68" spans="1:11" s="50" customFormat="1" ht="12.75">
      <c r="A68" s="262"/>
      <c r="B68" s="263"/>
      <c r="C68" s="263"/>
      <c r="D68" s="263"/>
      <c r="E68" s="263"/>
      <c r="F68" s="263"/>
      <c r="G68" s="263"/>
      <c r="H68" s="257"/>
      <c r="I68" s="257"/>
      <c r="J68" s="257"/>
      <c r="K68" s="257"/>
    </row>
  </sheetData>
  <mergeCells count="3">
    <mergeCell ref="A9:A11"/>
    <mergeCell ref="B9:F9"/>
    <mergeCell ref="G9:K9"/>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E39E0-705A-4D89-9F74-B7CD13CD2C0A}">
  <sheetPr>
    <tabColor theme="4"/>
  </sheetPr>
  <dimension ref="A1:J160"/>
  <sheetViews>
    <sheetView showGridLines="0" view="pageBreakPreview" zoomScale="145" zoomScaleNormal="100" zoomScaleSheetLayoutView="145" zoomScalePageLayoutView="130" workbookViewId="0">
      <selection activeCell="Q15" sqref="Q15"/>
    </sheetView>
  </sheetViews>
  <sheetFormatPr defaultRowHeight="9"/>
  <cols>
    <col min="1" max="1" width="16.1640625" style="408" customWidth="1"/>
    <col min="2" max="2" width="19.6640625" style="408" customWidth="1"/>
    <col min="3" max="3" width="12.16406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11.25" customHeight="1">
      <c r="A1" s="406" t="s">
        <v>463</v>
      </c>
      <c r="B1" s="407"/>
      <c r="C1" s="407"/>
      <c r="D1" s="407"/>
      <c r="E1" s="407"/>
      <c r="F1" s="407"/>
    </row>
    <row r="2" spans="1:9" s="408" customFormat="1" ht="30" customHeight="1">
      <c r="A2" s="850" t="s">
        <v>284</v>
      </c>
      <c r="B2" s="851" t="s">
        <v>464</v>
      </c>
      <c r="C2" s="850" t="s">
        <v>453</v>
      </c>
      <c r="D2" s="852" t="s">
        <v>465</v>
      </c>
      <c r="E2" s="853" t="s">
        <v>466</v>
      </c>
      <c r="F2" s="853" t="s">
        <v>467</v>
      </c>
      <c r="G2" s="397"/>
      <c r="H2" s="409"/>
      <c r="I2" s="395"/>
    </row>
    <row r="3" spans="1:9" s="408" customFormat="1" ht="125.25" customHeight="1">
      <c r="A3" s="553" t="s">
        <v>95</v>
      </c>
      <c r="B3" s="553" t="s">
        <v>606</v>
      </c>
      <c r="C3" s="554">
        <v>43314.863888888889</v>
      </c>
      <c r="D3" s="555" t="s">
        <v>607</v>
      </c>
      <c r="E3" s="556">
        <v>34.49</v>
      </c>
      <c r="F3" s="556"/>
      <c r="H3" s="397"/>
      <c r="I3" s="395"/>
    </row>
    <row r="4" spans="1:9" s="408" customFormat="1" ht="68.25" customHeight="1">
      <c r="A4" s="553" t="s">
        <v>472</v>
      </c>
      <c r="B4" s="553" t="s">
        <v>608</v>
      </c>
      <c r="C4" s="554">
        <v>43318.396527777775</v>
      </c>
      <c r="D4" s="555" t="s">
        <v>609</v>
      </c>
      <c r="E4" s="556">
        <v>6.27</v>
      </c>
      <c r="F4" s="556"/>
      <c r="G4" s="396"/>
      <c r="H4" s="396"/>
      <c r="I4" s="410"/>
    </row>
    <row r="5" spans="1:9" s="408" customFormat="1" ht="64.5" customHeight="1">
      <c r="A5" s="557" t="s">
        <v>472</v>
      </c>
      <c r="B5" s="557" t="s">
        <v>608</v>
      </c>
      <c r="C5" s="558">
        <v>43318.402083333334</v>
      </c>
      <c r="D5" s="559" t="s">
        <v>610</v>
      </c>
      <c r="E5" s="560">
        <v>1.92</v>
      </c>
      <c r="F5" s="560"/>
      <c r="G5" s="396"/>
      <c r="H5" s="396"/>
      <c r="I5" s="411"/>
    </row>
    <row r="6" spans="1:9" s="408" customFormat="1" ht="93" customHeight="1">
      <c r="A6" s="557" t="s">
        <v>95</v>
      </c>
      <c r="B6" s="557" t="s">
        <v>611</v>
      </c>
      <c r="C6" s="558">
        <v>43318.792361111111</v>
      </c>
      <c r="D6" s="559" t="s">
        <v>612</v>
      </c>
      <c r="E6" s="560">
        <v>2.2999999999999998</v>
      </c>
      <c r="F6" s="560"/>
      <c r="G6" s="396"/>
      <c r="H6" s="396"/>
      <c r="I6" s="412"/>
    </row>
    <row r="7" spans="1:9" s="408" customFormat="1" ht="87.75" customHeight="1">
      <c r="A7" s="557" t="s">
        <v>613</v>
      </c>
      <c r="B7" s="557" t="s">
        <v>614</v>
      </c>
      <c r="C7" s="558">
        <v>43319.043749999997</v>
      </c>
      <c r="D7" s="559" t="s">
        <v>615</v>
      </c>
      <c r="E7" s="560"/>
      <c r="F7" s="560">
        <v>109.15</v>
      </c>
      <c r="G7" s="396"/>
      <c r="H7" s="396"/>
      <c r="I7" s="413"/>
    </row>
    <row r="8" spans="1:9" s="408" customFormat="1" ht="94.5" customHeight="1">
      <c r="A8" s="557" t="s">
        <v>613</v>
      </c>
      <c r="B8" s="557" t="s">
        <v>614</v>
      </c>
      <c r="C8" s="558">
        <v>43319.313194444447</v>
      </c>
      <c r="D8" s="559" t="s">
        <v>616</v>
      </c>
      <c r="E8" s="560"/>
      <c r="F8" s="560">
        <v>125.81</v>
      </c>
      <c r="G8" s="396"/>
      <c r="H8" s="396"/>
      <c r="I8" s="412"/>
    </row>
    <row r="9" spans="1:9" s="408" customFormat="1" ht="82.5" customHeight="1">
      <c r="A9" s="557" t="s">
        <v>617</v>
      </c>
      <c r="B9" s="557" t="s">
        <v>618</v>
      </c>
      <c r="C9" s="558">
        <v>43320.719444444447</v>
      </c>
      <c r="D9" s="559" t="s">
        <v>619</v>
      </c>
      <c r="E9" s="560">
        <v>25.59</v>
      </c>
      <c r="F9" s="560"/>
      <c r="G9" s="396"/>
      <c r="H9" s="396"/>
      <c r="I9" s="412"/>
    </row>
    <row r="10" spans="1:9" ht="77.25" customHeight="1">
      <c r="A10" s="557" t="s">
        <v>469</v>
      </c>
      <c r="B10" s="557" t="s">
        <v>620</v>
      </c>
      <c r="C10" s="558">
        <v>43322.640972222223</v>
      </c>
      <c r="D10" s="559" t="s">
        <v>621</v>
      </c>
      <c r="E10" s="560">
        <v>0.88</v>
      </c>
      <c r="F10" s="560"/>
    </row>
    <row r="11" spans="1:9">
      <c r="E11" s="418"/>
      <c r="F11" s="418"/>
    </row>
    <row r="12" spans="1:9">
      <c r="E12" s="418"/>
      <c r="F12" s="418"/>
    </row>
    <row r="13" spans="1:9">
      <c r="E13" s="418"/>
      <c r="F13" s="418"/>
    </row>
    <row r="14" spans="1:9">
      <c r="E14" s="418"/>
      <c r="F14" s="418"/>
    </row>
    <row r="15" spans="1:9">
      <c r="E15" s="418"/>
      <c r="F15" s="418"/>
    </row>
    <row r="16" spans="1:9">
      <c r="E16" s="418"/>
      <c r="F16" s="418"/>
    </row>
    <row r="17" spans="5:6">
      <c r="E17" s="418"/>
      <c r="F17" s="418"/>
    </row>
    <row r="18" spans="5:6">
      <c r="E18" s="418"/>
      <c r="F18" s="418"/>
    </row>
    <row r="19" spans="5:6">
      <c r="E19" s="418"/>
      <c r="F19" s="418"/>
    </row>
    <row r="20" spans="5:6">
      <c r="E20" s="418"/>
      <c r="F20" s="418"/>
    </row>
    <row r="21" spans="5:6">
      <c r="E21" s="418"/>
      <c r="F21" s="418"/>
    </row>
    <row r="22" spans="5:6">
      <c r="E22" s="418"/>
      <c r="F22" s="418"/>
    </row>
    <row r="23" spans="5:6">
      <c r="E23" s="418"/>
      <c r="F23" s="418"/>
    </row>
    <row r="24" spans="5:6">
      <c r="E24" s="418"/>
      <c r="F24" s="418"/>
    </row>
    <row r="25" spans="5:6">
      <c r="E25" s="418"/>
      <c r="F25" s="418"/>
    </row>
    <row r="26" spans="5:6">
      <c r="E26" s="418"/>
      <c r="F26" s="418"/>
    </row>
    <row r="27" spans="5:6">
      <c r="E27" s="418"/>
      <c r="F27" s="418"/>
    </row>
    <row r="28" spans="5:6">
      <c r="E28" s="418"/>
      <c r="F28" s="418"/>
    </row>
    <row r="29" spans="5:6">
      <c r="E29" s="418"/>
      <c r="F29" s="418"/>
    </row>
    <row r="30" spans="5:6">
      <c r="E30" s="418"/>
      <c r="F30" s="418"/>
    </row>
    <row r="31" spans="5:6">
      <c r="E31" s="418"/>
      <c r="F31" s="418"/>
    </row>
    <row r="32" spans="5:6">
      <c r="E32" s="418"/>
      <c r="F32" s="418"/>
    </row>
    <row r="33" spans="5:6">
      <c r="E33" s="418"/>
      <c r="F33" s="418"/>
    </row>
    <row r="34" spans="5:6">
      <c r="E34" s="418"/>
      <c r="F34" s="418"/>
    </row>
    <row r="35" spans="5:6">
      <c r="E35" s="418"/>
      <c r="F35" s="418"/>
    </row>
    <row r="36" spans="5:6">
      <c r="E36" s="418"/>
      <c r="F36" s="418"/>
    </row>
    <row r="37" spans="5:6">
      <c r="E37" s="418"/>
      <c r="F37" s="418"/>
    </row>
    <row r="38" spans="5:6">
      <c r="E38" s="418"/>
      <c r="F38" s="418"/>
    </row>
    <row r="39" spans="5:6">
      <c r="E39" s="418"/>
      <c r="F39" s="418"/>
    </row>
    <row r="40" spans="5:6">
      <c r="E40" s="418"/>
      <c r="F40" s="418"/>
    </row>
    <row r="41" spans="5:6">
      <c r="E41" s="418"/>
      <c r="F41" s="418"/>
    </row>
    <row r="42" spans="5:6">
      <c r="E42" s="418"/>
      <c r="F42" s="418"/>
    </row>
    <row r="43" spans="5:6">
      <c r="E43" s="418"/>
      <c r="F43" s="418"/>
    </row>
    <row r="44" spans="5:6">
      <c r="E44" s="418"/>
      <c r="F44" s="418"/>
    </row>
    <row r="45" spans="5:6">
      <c r="E45" s="418"/>
      <c r="F45" s="418"/>
    </row>
    <row r="46" spans="5:6">
      <c r="E46" s="418"/>
      <c r="F46" s="418"/>
    </row>
    <row r="47" spans="5:6">
      <c r="E47" s="418"/>
      <c r="F47" s="418"/>
    </row>
    <row r="48" spans="5:6">
      <c r="E48" s="418"/>
      <c r="F48" s="418"/>
    </row>
    <row r="49" spans="5:6">
      <c r="E49" s="418"/>
      <c r="F49" s="418"/>
    </row>
    <row r="50" spans="5:6">
      <c r="E50" s="418"/>
      <c r="F50" s="418"/>
    </row>
    <row r="51" spans="5:6">
      <c r="E51" s="418"/>
      <c r="F51" s="418"/>
    </row>
    <row r="52" spans="5:6">
      <c r="E52" s="418"/>
      <c r="F52" s="418"/>
    </row>
    <row r="53" spans="5:6">
      <c r="E53" s="418"/>
      <c r="F53" s="418"/>
    </row>
    <row r="54" spans="5:6">
      <c r="E54" s="418"/>
      <c r="F54" s="418"/>
    </row>
    <row r="55" spans="5:6">
      <c r="E55" s="418"/>
      <c r="F55" s="418"/>
    </row>
    <row r="56" spans="5:6">
      <c r="E56" s="418"/>
      <c r="F56" s="418"/>
    </row>
    <row r="57" spans="5:6">
      <c r="E57" s="418"/>
      <c r="F57" s="418"/>
    </row>
    <row r="58" spans="5:6">
      <c r="E58" s="418"/>
      <c r="F58" s="418"/>
    </row>
    <row r="59" spans="5:6">
      <c r="E59" s="418"/>
      <c r="F59" s="418"/>
    </row>
    <row r="60" spans="5:6">
      <c r="E60" s="418"/>
      <c r="F60" s="418"/>
    </row>
    <row r="61" spans="5:6">
      <c r="E61" s="418"/>
      <c r="F61" s="418"/>
    </row>
    <row r="62" spans="5:6">
      <c r="E62" s="418"/>
      <c r="F62" s="418"/>
    </row>
    <row r="63" spans="5:6">
      <c r="E63" s="418"/>
      <c r="F63" s="418"/>
    </row>
    <row r="64" spans="5:6">
      <c r="E64" s="418"/>
      <c r="F64" s="418"/>
    </row>
    <row r="65" spans="5:6">
      <c r="E65" s="418"/>
      <c r="F65" s="418"/>
    </row>
    <row r="66" spans="5:6">
      <c r="E66" s="418"/>
      <c r="F66" s="418"/>
    </row>
    <row r="67" spans="5:6">
      <c r="E67" s="418"/>
      <c r="F67" s="418"/>
    </row>
    <row r="68" spans="5:6">
      <c r="E68" s="418"/>
      <c r="F68" s="418"/>
    </row>
    <row r="69" spans="5:6">
      <c r="E69" s="418"/>
      <c r="F69" s="418"/>
    </row>
    <row r="70" spans="5:6">
      <c r="E70" s="418"/>
      <c r="F70" s="418"/>
    </row>
    <row r="71" spans="5:6">
      <c r="E71" s="418"/>
      <c r="F71" s="418"/>
    </row>
    <row r="72" spans="5:6">
      <c r="E72" s="418"/>
      <c r="F72" s="418"/>
    </row>
    <row r="73" spans="5:6">
      <c r="E73" s="418"/>
      <c r="F73" s="418"/>
    </row>
    <row r="74" spans="5:6">
      <c r="E74" s="418"/>
      <c r="F74" s="418"/>
    </row>
    <row r="75" spans="5:6">
      <c r="E75" s="418"/>
      <c r="F75" s="418"/>
    </row>
    <row r="76" spans="5:6">
      <c r="E76" s="418"/>
      <c r="F76" s="418"/>
    </row>
    <row r="77" spans="5:6">
      <c r="E77" s="418"/>
      <c r="F77" s="418"/>
    </row>
    <row r="78" spans="5:6">
      <c r="E78" s="418"/>
      <c r="F78" s="418"/>
    </row>
    <row r="79" spans="5:6">
      <c r="E79" s="418"/>
      <c r="F79" s="418"/>
    </row>
    <row r="80" spans="5:6">
      <c r="E80" s="418"/>
      <c r="F80" s="418"/>
    </row>
    <row r="81" spans="5:6">
      <c r="E81" s="418"/>
      <c r="F81" s="418"/>
    </row>
    <row r="82" spans="5:6">
      <c r="E82" s="418"/>
      <c r="F82" s="418"/>
    </row>
    <row r="83" spans="5:6">
      <c r="E83" s="418"/>
      <c r="F83" s="418"/>
    </row>
    <row r="84" spans="5:6">
      <c r="E84" s="418"/>
      <c r="F84" s="418"/>
    </row>
    <row r="85" spans="5:6">
      <c r="E85" s="418"/>
      <c r="F85" s="418"/>
    </row>
    <row r="86" spans="5:6">
      <c r="E86" s="418"/>
      <c r="F86" s="418"/>
    </row>
    <row r="87" spans="5:6">
      <c r="E87" s="418"/>
      <c r="F87" s="418"/>
    </row>
    <row r="88" spans="5:6">
      <c r="E88" s="418"/>
      <c r="F88" s="418"/>
    </row>
    <row r="89" spans="5:6">
      <c r="E89" s="418"/>
      <c r="F89" s="418"/>
    </row>
    <row r="90" spans="5:6">
      <c r="E90" s="418"/>
      <c r="F90" s="418"/>
    </row>
    <row r="91" spans="5:6">
      <c r="E91" s="418"/>
      <c r="F91" s="418"/>
    </row>
    <row r="92" spans="5:6">
      <c r="E92" s="418"/>
      <c r="F92" s="418"/>
    </row>
    <row r="93" spans="5:6">
      <c r="E93" s="418"/>
      <c r="F93" s="418"/>
    </row>
    <row r="94" spans="5:6">
      <c r="E94" s="418"/>
      <c r="F94" s="418"/>
    </row>
    <row r="95" spans="5:6">
      <c r="E95" s="418"/>
      <c r="F95" s="418"/>
    </row>
    <row r="96" spans="5:6">
      <c r="E96" s="418"/>
      <c r="F96" s="418"/>
    </row>
    <row r="97" spans="5:6">
      <c r="E97" s="418"/>
      <c r="F97" s="418"/>
    </row>
    <row r="98" spans="5:6">
      <c r="E98" s="418"/>
      <c r="F98" s="418"/>
    </row>
    <row r="99" spans="5:6">
      <c r="E99" s="418"/>
      <c r="F99" s="418"/>
    </row>
    <row r="100" spans="5:6">
      <c r="E100" s="418"/>
      <c r="F100" s="418"/>
    </row>
    <row r="101" spans="5:6">
      <c r="E101" s="418"/>
      <c r="F101" s="418"/>
    </row>
    <row r="102" spans="5:6">
      <c r="E102" s="418"/>
      <c r="F102" s="418"/>
    </row>
    <row r="103" spans="5:6">
      <c r="E103" s="418"/>
      <c r="F103" s="418"/>
    </row>
    <row r="104" spans="5:6">
      <c r="E104" s="418"/>
      <c r="F104" s="418"/>
    </row>
    <row r="105" spans="5:6">
      <c r="E105" s="418"/>
      <c r="F105" s="418"/>
    </row>
    <row r="106" spans="5:6">
      <c r="E106" s="418"/>
      <c r="F106" s="418"/>
    </row>
    <row r="107" spans="5:6">
      <c r="E107" s="418"/>
      <c r="F107" s="418"/>
    </row>
    <row r="108" spans="5:6">
      <c r="E108" s="418"/>
      <c r="F108" s="418"/>
    </row>
    <row r="109" spans="5:6">
      <c r="E109" s="418"/>
      <c r="F109" s="418"/>
    </row>
    <row r="110" spans="5:6">
      <c r="E110" s="418"/>
      <c r="F110" s="418"/>
    </row>
    <row r="111" spans="5:6">
      <c r="E111" s="418"/>
      <c r="F111" s="418"/>
    </row>
    <row r="112" spans="5:6">
      <c r="E112" s="418"/>
      <c r="F112" s="418"/>
    </row>
    <row r="113" spans="5:6">
      <c r="E113" s="418"/>
      <c r="F113" s="418"/>
    </row>
    <row r="114" spans="5:6">
      <c r="E114" s="418"/>
      <c r="F114" s="418"/>
    </row>
    <row r="115" spans="5:6">
      <c r="E115" s="418"/>
      <c r="F115" s="418"/>
    </row>
    <row r="116" spans="5:6">
      <c r="E116" s="418"/>
      <c r="F116" s="418"/>
    </row>
    <row r="117" spans="5:6">
      <c r="E117" s="418"/>
      <c r="F117" s="418"/>
    </row>
    <row r="118" spans="5:6">
      <c r="E118" s="418"/>
      <c r="F118" s="418"/>
    </row>
    <row r="119" spans="5:6">
      <c r="E119" s="418"/>
      <c r="F119" s="418"/>
    </row>
    <row r="120" spans="5:6">
      <c r="E120" s="418"/>
      <c r="F120" s="418"/>
    </row>
    <row r="121" spans="5:6">
      <c r="E121" s="418"/>
      <c r="F121" s="418"/>
    </row>
    <row r="122" spans="5:6">
      <c r="E122" s="418"/>
      <c r="F122" s="418"/>
    </row>
    <row r="123" spans="5:6">
      <c r="E123" s="418"/>
      <c r="F123" s="418"/>
    </row>
    <row r="124" spans="5:6">
      <c r="E124" s="418"/>
      <c r="F124" s="418"/>
    </row>
    <row r="125" spans="5:6">
      <c r="E125" s="418"/>
      <c r="F125" s="418"/>
    </row>
    <row r="126" spans="5:6">
      <c r="E126" s="418"/>
      <c r="F126" s="418"/>
    </row>
    <row r="127" spans="5:6">
      <c r="E127" s="418"/>
      <c r="F127" s="418"/>
    </row>
    <row r="128" spans="5:6">
      <c r="E128" s="418"/>
      <c r="F128" s="418"/>
    </row>
    <row r="129" spans="5:6">
      <c r="E129" s="418"/>
      <c r="F129" s="418"/>
    </row>
    <row r="130" spans="5:6">
      <c r="E130" s="418"/>
      <c r="F130" s="418"/>
    </row>
    <row r="131" spans="5:6">
      <c r="E131" s="418"/>
      <c r="F131" s="418"/>
    </row>
    <row r="132" spans="5:6">
      <c r="E132" s="418"/>
      <c r="F132" s="418"/>
    </row>
    <row r="133" spans="5:6">
      <c r="E133" s="418"/>
      <c r="F133" s="418"/>
    </row>
    <row r="134" spans="5:6">
      <c r="E134" s="418"/>
      <c r="F134" s="418"/>
    </row>
    <row r="135" spans="5:6">
      <c r="E135" s="418"/>
      <c r="F135" s="418"/>
    </row>
    <row r="136" spans="5:6">
      <c r="E136" s="418"/>
      <c r="F136" s="418"/>
    </row>
    <row r="137" spans="5:6">
      <c r="E137" s="418"/>
      <c r="F137" s="418"/>
    </row>
    <row r="138" spans="5:6">
      <c r="E138" s="418"/>
      <c r="F138" s="418"/>
    </row>
    <row r="139" spans="5:6">
      <c r="E139" s="418"/>
      <c r="F139" s="418"/>
    </row>
    <row r="140" spans="5:6">
      <c r="E140" s="418"/>
      <c r="F140" s="418"/>
    </row>
    <row r="141" spans="5:6">
      <c r="E141" s="418"/>
      <c r="F141" s="418"/>
    </row>
    <row r="142" spans="5:6">
      <c r="E142" s="418"/>
      <c r="F142" s="418"/>
    </row>
    <row r="143" spans="5:6">
      <c r="E143" s="418"/>
      <c r="F143" s="418"/>
    </row>
    <row r="144" spans="5:6">
      <c r="E144" s="418"/>
      <c r="F144" s="418"/>
    </row>
    <row r="145" spans="5:6">
      <c r="E145" s="418"/>
      <c r="F145" s="418"/>
    </row>
    <row r="146" spans="5:6">
      <c r="E146" s="418"/>
      <c r="F146" s="418"/>
    </row>
    <row r="147" spans="5:6">
      <c r="E147" s="418"/>
      <c r="F147" s="418"/>
    </row>
    <row r="148" spans="5:6">
      <c r="E148" s="418"/>
      <c r="F148" s="418"/>
    </row>
    <row r="149" spans="5:6">
      <c r="E149" s="418"/>
      <c r="F149" s="418"/>
    </row>
    <row r="150" spans="5:6">
      <c r="E150" s="418"/>
      <c r="F150" s="418"/>
    </row>
    <row r="151" spans="5:6">
      <c r="E151" s="418"/>
      <c r="F151" s="418"/>
    </row>
    <row r="152" spans="5:6">
      <c r="E152" s="418"/>
      <c r="F152" s="418"/>
    </row>
    <row r="153" spans="5:6">
      <c r="E153" s="418"/>
      <c r="F153" s="418"/>
    </row>
    <row r="154" spans="5:6">
      <c r="E154" s="418"/>
      <c r="F154" s="418"/>
    </row>
    <row r="155" spans="5:6">
      <c r="E155" s="418"/>
      <c r="F155" s="418"/>
    </row>
    <row r="156" spans="5:6">
      <c r="E156" s="418"/>
      <c r="F156" s="418"/>
    </row>
    <row r="157" spans="5:6">
      <c r="E157" s="418"/>
      <c r="F157" s="418"/>
    </row>
    <row r="158" spans="5:6">
      <c r="E158" s="418"/>
      <c r="F158" s="418"/>
    </row>
    <row r="159" spans="5:6">
      <c r="E159" s="418"/>
      <c r="F159" s="418"/>
    </row>
    <row r="160" spans="5:6">
      <c r="E160" s="418"/>
      <c r="F160" s="418"/>
    </row>
  </sheetData>
  <pageMargins left="0.7" right="0.51432291666666663" top="0.86956521739130432" bottom="0.61458333333333337" header="0.3" footer="0.3"/>
  <pageSetup orientation="portrait" r:id="rId1"/>
  <headerFooter>
    <oddHeader>&amp;R&amp;7Informe de la Operación Mensual - Agosto 2018
INFSGI-MES-08-2018
10/09/2018
Versión: 01</oddHeader>
    <oddFooter>&amp;L&amp;7COES, 2018&amp;C25&amp;R&amp;7Dirección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2B29-AA80-4581-A249-398768758A33}">
  <sheetPr>
    <tabColor theme="4"/>
  </sheetPr>
  <dimension ref="A1:J136"/>
  <sheetViews>
    <sheetView showGridLines="0" view="pageBreakPreview" zoomScale="145" zoomScaleNormal="100" zoomScaleSheetLayoutView="145" zoomScalePageLayoutView="145" workbookViewId="0">
      <selection activeCell="Q15" sqref="Q15"/>
    </sheetView>
  </sheetViews>
  <sheetFormatPr defaultRowHeight="9"/>
  <cols>
    <col min="1" max="1" width="16.1640625" style="408" customWidth="1"/>
    <col min="2" max="2" width="19.6640625" style="408" customWidth="1"/>
    <col min="3" max="3" width="12.16406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30" customHeight="1">
      <c r="A1" s="850" t="s">
        <v>284</v>
      </c>
      <c r="B1" s="851" t="s">
        <v>464</v>
      </c>
      <c r="C1" s="850" t="s">
        <v>453</v>
      </c>
      <c r="D1" s="852" t="s">
        <v>465</v>
      </c>
      <c r="E1" s="853" t="s">
        <v>466</v>
      </c>
      <c r="F1" s="853" t="s">
        <v>467</v>
      </c>
      <c r="G1" s="397"/>
      <c r="H1" s="409"/>
      <c r="I1" s="395"/>
    </row>
    <row r="2" spans="1:9" s="408" customFormat="1" ht="83.25" customHeight="1">
      <c r="A2" s="423" t="s">
        <v>469</v>
      </c>
      <c r="B2" s="423" t="s">
        <v>620</v>
      </c>
      <c r="C2" s="424">
        <v>43322.717361111114</v>
      </c>
      <c r="D2" s="559" t="s">
        <v>622</v>
      </c>
      <c r="E2" s="425">
        <v>1</v>
      </c>
      <c r="F2" s="425"/>
      <c r="G2" s="396"/>
      <c r="H2" s="396"/>
      <c r="I2" s="412"/>
    </row>
    <row r="3" spans="1:9" s="408" customFormat="1" ht="87" customHeight="1">
      <c r="A3" s="423" t="s">
        <v>469</v>
      </c>
      <c r="B3" s="423" t="s">
        <v>470</v>
      </c>
      <c r="C3" s="424">
        <v>43322.74722222222</v>
      </c>
      <c r="D3" s="559" t="s">
        <v>623</v>
      </c>
      <c r="E3" s="425">
        <v>3.5</v>
      </c>
      <c r="F3" s="425"/>
      <c r="G3" s="396"/>
      <c r="H3" s="396"/>
      <c r="I3" s="412"/>
    </row>
    <row r="4" spans="1:9" s="408" customFormat="1" ht="92.25" customHeight="1">
      <c r="A4" s="423" t="s">
        <v>471</v>
      </c>
      <c r="B4" s="423" t="s">
        <v>594</v>
      </c>
      <c r="C4" s="424">
        <v>43323.46597222222</v>
      </c>
      <c r="D4" s="559" t="s">
        <v>624</v>
      </c>
      <c r="E4" s="425">
        <v>10.9</v>
      </c>
      <c r="F4" s="425">
        <v>6</v>
      </c>
      <c r="G4" s="396"/>
      <c r="H4" s="396"/>
      <c r="I4" s="412"/>
    </row>
    <row r="5" spans="1:9" s="408" customFormat="1" ht="71.25" customHeight="1">
      <c r="A5" s="423" t="s">
        <v>625</v>
      </c>
      <c r="B5" s="423" t="s">
        <v>626</v>
      </c>
      <c r="C5" s="424">
        <v>43324.24722222222</v>
      </c>
      <c r="D5" s="559" t="s">
        <v>627</v>
      </c>
      <c r="E5" s="425">
        <v>1.79</v>
      </c>
      <c r="F5" s="425"/>
      <c r="G5" s="396"/>
      <c r="H5" s="396"/>
      <c r="I5" s="413"/>
    </row>
    <row r="6" spans="1:9" s="408" customFormat="1" ht="193.5" customHeight="1">
      <c r="A6" s="423" t="s">
        <v>628</v>
      </c>
      <c r="B6" s="423" t="s">
        <v>629</v>
      </c>
      <c r="C6" s="424">
        <v>43324.737500000003</v>
      </c>
      <c r="D6" s="559" t="s">
        <v>630</v>
      </c>
      <c r="E6" s="425">
        <v>8</v>
      </c>
      <c r="F6" s="425"/>
      <c r="G6" s="396"/>
      <c r="H6" s="396"/>
      <c r="I6" s="412"/>
    </row>
    <row r="7" spans="1:9" s="408" customFormat="1" ht="109.5" customHeight="1">
      <c r="A7" s="423" t="s">
        <v>472</v>
      </c>
      <c r="B7" s="423" t="s">
        <v>631</v>
      </c>
      <c r="C7" s="424">
        <v>43325.703472222223</v>
      </c>
      <c r="D7" s="559" t="s">
        <v>632</v>
      </c>
      <c r="E7" s="425">
        <v>15.96</v>
      </c>
      <c r="F7" s="425"/>
      <c r="G7" s="396"/>
      <c r="H7" s="396"/>
      <c r="I7" s="412"/>
    </row>
    <row r="8" spans="1:9" s="408" customFormat="1" ht="76.5" customHeight="1">
      <c r="A8" s="611"/>
      <c r="B8" s="611"/>
      <c r="C8" s="612"/>
      <c r="D8" s="613"/>
      <c r="E8" s="614"/>
      <c r="F8" s="614"/>
      <c r="G8" s="396"/>
      <c r="H8" s="396"/>
      <c r="I8" s="412"/>
    </row>
    <row r="9" spans="1:9" ht="80.25" customHeight="1">
      <c r="A9" s="611"/>
      <c r="B9" s="611"/>
      <c r="C9" s="612"/>
      <c r="D9" s="613"/>
      <c r="E9" s="614"/>
      <c r="F9" s="614"/>
    </row>
    <row r="10" spans="1:9">
      <c r="A10" s="416"/>
      <c r="B10" s="416"/>
      <c r="C10" s="416"/>
      <c r="D10" s="416"/>
      <c r="E10" s="415"/>
      <c r="F10" s="415"/>
    </row>
    <row r="11" spans="1:9">
      <c r="A11" s="416"/>
      <c r="B11" s="416"/>
      <c r="C11" s="416"/>
      <c r="D11" s="416"/>
      <c r="E11" s="415"/>
      <c r="F11" s="415"/>
    </row>
    <row r="12" spans="1:9">
      <c r="A12" s="416"/>
      <c r="B12" s="416"/>
      <c r="C12" s="416"/>
      <c r="D12" s="416"/>
      <c r="E12" s="415"/>
      <c r="F12" s="415"/>
    </row>
    <row r="13" spans="1:9">
      <c r="A13" s="416"/>
      <c r="B13" s="416"/>
      <c r="C13" s="416"/>
      <c r="D13" s="416"/>
      <c r="E13" s="415"/>
      <c r="F13" s="415"/>
    </row>
    <row r="14" spans="1:9">
      <c r="E14" s="418"/>
      <c r="F14" s="418"/>
    </row>
    <row r="15" spans="1:9">
      <c r="E15" s="418"/>
      <c r="F15" s="418"/>
    </row>
    <row r="16" spans="1:9">
      <c r="E16" s="418"/>
      <c r="F16" s="418"/>
    </row>
    <row r="17" spans="5:6">
      <c r="E17" s="418"/>
      <c r="F17" s="418"/>
    </row>
    <row r="18" spans="5:6">
      <c r="E18" s="418"/>
      <c r="F18" s="418"/>
    </row>
    <row r="19" spans="5:6">
      <c r="E19" s="418"/>
      <c r="F19" s="418"/>
    </row>
    <row r="20" spans="5:6">
      <c r="E20" s="418"/>
      <c r="F20" s="418"/>
    </row>
    <row r="21" spans="5:6">
      <c r="E21" s="418"/>
      <c r="F21" s="418"/>
    </row>
    <row r="22" spans="5:6">
      <c r="E22" s="418"/>
      <c r="F22" s="418"/>
    </row>
    <row r="23" spans="5:6">
      <c r="E23" s="418"/>
      <c r="F23" s="418"/>
    </row>
    <row r="24" spans="5:6">
      <c r="E24" s="418"/>
      <c r="F24" s="418"/>
    </row>
    <row r="25" spans="5:6">
      <c r="E25" s="418"/>
      <c r="F25" s="418"/>
    </row>
    <row r="26" spans="5:6">
      <c r="E26" s="418"/>
      <c r="F26" s="418"/>
    </row>
    <row r="27" spans="5:6">
      <c r="E27" s="418"/>
      <c r="F27" s="418"/>
    </row>
    <row r="28" spans="5:6">
      <c r="E28" s="418"/>
      <c r="F28" s="418"/>
    </row>
    <row r="29" spans="5:6">
      <c r="E29" s="418"/>
      <c r="F29" s="418"/>
    </row>
    <row r="30" spans="5:6">
      <c r="E30" s="418"/>
      <c r="F30" s="418"/>
    </row>
    <row r="31" spans="5:6">
      <c r="E31" s="418"/>
      <c r="F31" s="418"/>
    </row>
    <row r="32" spans="5:6">
      <c r="E32" s="418"/>
      <c r="F32" s="418"/>
    </row>
    <row r="33" spans="5:6">
      <c r="E33" s="418"/>
      <c r="F33" s="418"/>
    </row>
    <row r="34" spans="5:6">
      <c r="E34" s="418"/>
      <c r="F34" s="418"/>
    </row>
    <row r="35" spans="5:6">
      <c r="E35" s="418"/>
      <c r="F35" s="418"/>
    </row>
    <row r="36" spans="5:6">
      <c r="E36" s="418"/>
      <c r="F36" s="418"/>
    </row>
    <row r="37" spans="5:6">
      <c r="E37" s="418"/>
      <c r="F37" s="418"/>
    </row>
    <row r="38" spans="5:6">
      <c r="E38" s="418"/>
      <c r="F38" s="418"/>
    </row>
    <row r="39" spans="5:6">
      <c r="E39" s="418"/>
      <c r="F39" s="418"/>
    </row>
    <row r="40" spans="5:6">
      <c r="E40" s="418"/>
      <c r="F40" s="418"/>
    </row>
    <row r="41" spans="5:6">
      <c r="E41" s="418"/>
      <c r="F41" s="418"/>
    </row>
    <row r="42" spans="5:6">
      <c r="E42" s="418"/>
      <c r="F42" s="418"/>
    </row>
    <row r="43" spans="5:6">
      <c r="E43" s="418"/>
      <c r="F43" s="418"/>
    </row>
    <row r="44" spans="5:6">
      <c r="E44" s="418"/>
      <c r="F44" s="418"/>
    </row>
    <row r="45" spans="5:6">
      <c r="E45" s="418"/>
      <c r="F45" s="418"/>
    </row>
    <row r="46" spans="5:6">
      <c r="E46" s="418"/>
      <c r="F46" s="418"/>
    </row>
    <row r="47" spans="5:6">
      <c r="E47" s="418"/>
      <c r="F47" s="418"/>
    </row>
    <row r="48" spans="5:6">
      <c r="E48" s="418"/>
      <c r="F48" s="418"/>
    </row>
    <row r="49" spans="5:6">
      <c r="E49" s="418"/>
      <c r="F49" s="418"/>
    </row>
    <row r="50" spans="5:6">
      <c r="E50" s="418"/>
      <c r="F50" s="418"/>
    </row>
    <row r="51" spans="5:6">
      <c r="E51" s="418"/>
      <c r="F51" s="418"/>
    </row>
    <row r="52" spans="5:6">
      <c r="E52" s="418"/>
      <c r="F52" s="418"/>
    </row>
    <row r="53" spans="5:6">
      <c r="E53" s="418"/>
      <c r="F53" s="418"/>
    </row>
    <row r="54" spans="5:6">
      <c r="E54" s="418"/>
      <c r="F54" s="418"/>
    </row>
    <row r="55" spans="5:6">
      <c r="E55" s="418"/>
      <c r="F55" s="418"/>
    </row>
    <row r="56" spans="5:6">
      <c r="E56" s="418"/>
      <c r="F56" s="418"/>
    </row>
    <row r="57" spans="5:6">
      <c r="E57" s="418"/>
      <c r="F57" s="418"/>
    </row>
    <row r="58" spans="5:6">
      <c r="E58" s="418"/>
      <c r="F58" s="418"/>
    </row>
    <row r="59" spans="5:6">
      <c r="E59" s="418"/>
      <c r="F59" s="418"/>
    </row>
    <row r="60" spans="5:6">
      <c r="E60" s="418"/>
      <c r="F60" s="418"/>
    </row>
    <row r="61" spans="5:6">
      <c r="E61" s="418"/>
      <c r="F61" s="418"/>
    </row>
    <row r="62" spans="5:6">
      <c r="E62" s="418"/>
      <c r="F62" s="418"/>
    </row>
    <row r="63" spans="5:6">
      <c r="E63" s="418"/>
      <c r="F63" s="418"/>
    </row>
    <row r="64" spans="5:6">
      <c r="E64" s="418"/>
      <c r="F64" s="418"/>
    </row>
    <row r="65" spans="5:6">
      <c r="E65" s="418"/>
      <c r="F65" s="418"/>
    </row>
    <row r="66" spans="5:6">
      <c r="E66" s="418"/>
      <c r="F66" s="418"/>
    </row>
    <row r="67" spans="5:6">
      <c r="E67" s="418"/>
      <c r="F67" s="418"/>
    </row>
    <row r="68" spans="5:6">
      <c r="E68" s="418"/>
      <c r="F68" s="418"/>
    </row>
    <row r="69" spans="5:6">
      <c r="E69" s="418"/>
      <c r="F69" s="418"/>
    </row>
    <row r="70" spans="5:6">
      <c r="E70" s="418"/>
      <c r="F70" s="418"/>
    </row>
    <row r="71" spans="5:6">
      <c r="E71" s="418"/>
      <c r="F71" s="418"/>
    </row>
    <row r="72" spans="5:6">
      <c r="E72" s="418"/>
      <c r="F72" s="418"/>
    </row>
    <row r="73" spans="5:6">
      <c r="E73" s="418"/>
      <c r="F73" s="418"/>
    </row>
    <row r="74" spans="5:6">
      <c r="E74" s="418"/>
      <c r="F74" s="418"/>
    </row>
    <row r="75" spans="5:6">
      <c r="E75" s="418"/>
      <c r="F75" s="418"/>
    </row>
    <row r="76" spans="5:6">
      <c r="E76" s="418"/>
      <c r="F76" s="418"/>
    </row>
    <row r="77" spans="5:6">
      <c r="E77" s="418"/>
      <c r="F77" s="418"/>
    </row>
    <row r="78" spans="5:6">
      <c r="E78" s="418"/>
      <c r="F78" s="418"/>
    </row>
    <row r="79" spans="5:6">
      <c r="E79" s="418"/>
      <c r="F79" s="418"/>
    </row>
    <row r="80" spans="5:6">
      <c r="E80" s="418"/>
      <c r="F80" s="418"/>
    </row>
    <row r="81" spans="5:6">
      <c r="E81" s="418"/>
      <c r="F81" s="418"/>
    </row>
    <row r="82" spans="5:6">
      <c r="E82" s="418"/>
      <c r="F82" s="418"/>
    </row>
    <row r="83" spans="5:6">
      <c r="E83" s="418"/>
      <c r="F83" s="418"/>
    </row>
    <row r="84" spans="5:6">
      <c r="E84" s="418"/>
      <c r="F84" s="418"/>
    </row>
    <row r="85" spans="5:6">
      <c r="E85" s="418"/>
      <c r="F85" s="418"/>
    </row>
    <row r="86" spans="5:6">
      <c r="E86" s="418"/>
      <c r="F86" s="418"/>
    </row>
    <row r="87" spans="5:6">
      <c r="E87" s="418"/>
      <c r="F87" s="418"/>
    </row>
    <row r="88" spans="5:6">
      <c r="E88" s="418"/>
      <c r="F88" s="418"/>
    </row>
    <row r="89" spans="5:6">
      <c r="E89" s="418"/>
      <c r="F89" s="418"/>
    </row>
    <row r="90" spans="5:6">
      <c r="E90" s="418"/>
      <c r="F90" s="418"/>
    </row>
    <row r="91" spans="5:6">
      <c r="E91" s="418"/>
      <c r="F91" s="418"/>
    </row>
    <row r="92" spans="5:6">
      <c r="E92" s="418"/>
      <c r="F92" s="418"/>
    </row>
    <row r="93" spans="5:6">
      <c r="E93" s="418"/>
      <c r="F93" s="418"/>
    </row>
    <row r="94" spans="5:6">
      <c r="E94" s="418"/>
      <c r="F94" s="418"/>
    </row>
    <row r="95" spans="5:6">
      <c r="E95" s="418"/>
      <c r="F95" s="418"/>
    </row>
    <row r="96" spans="5:6">
      <c r="E96" s="418"/>
      <c r="F96" s="418"/>
    </row>
    <row r="97" spans="5:6">
      <c r="E97" s="418"/>
      <c r="F97" s="418"/>
    </row>
    <row r="98" spans="5:6">
      <c r="E98" s="418"/>
      <c r="F98" s="418"/>
    </row>
    <row r="99" spans="5:6">
      <c r="E99" s="418"/>
      <c r="F99" s="418"/>
    </row>
    <row r="100" spans="5:6">
      <c r="E100" s="418"/>
      <c r="F100" s="418"/>
    </row>
    <row r="101" spans="5:6">
      <c r="E101" s="418"/>
      <c r="F101" s="418"/>
    </row>
    <row r="102" spans="5:6">
      <c r="E102" s="418"/>
      <c r="F102" s="418"/>
    </row>
    <row r="103" spans="5:6">
      <c r="E103" s="418"/>
      <c r="F103" s="418"/>
    </row>
    <row r="104" spans="5:6">
      <c r="E104" s="418"/>
      <c r="F104" s="418"/>
    </row>
    <row r="105" spans="5:6">
      <c r="E105" s="418"/>
      <c r="F105" s="418"/>
    </row>
    <row r="106" spans="5:6">
      <c r="E106" s="418"/>
      <c r="F106" s="418"/>
    </row>
    <row r="107" spans="5:6">
      <c r="E107" s="418"/>
      <c r="F107" s="418"/>
    </row>
    <row r="108" spans="5:6">
      <c r="E108" s="418"/>
      <c r="F108" s="418"/>
    </row>
    <row r="109" spans="5:6">
      <c r="E109" s="418"/>
      <c r="F109" s="418"/>
    </row>
    <row r="110" spans="5:6">
      <c r="E110" s="418"/>
      <c r="F110" s="418"/>
    </row>
    <row r="111" spans="5:6">
      <c r="E111" s="418"/>
      <c r="F111" s="418"/>
    </row>
    <row r="112" spans="5:6">
      <c r="E112" s="418"/>
      <c r="F112" s="418"/>
    </row>
    <row r="113" spans="5:6">
      <c r="E113" s="418"/>
      <c r="F113" s="418"/>
    </row>
    <row r="114" spans="5:6">
      <c r="E114" s="418"/>
      <c r="F114" s="418"/>
    </row>
    <row r="115" spans="5:6">
      <c r="E115" s="418"/>
      <c r="F115" s="418"/>
    </row>
    <row r="116" spans="5:6">
      <c r="E116" s="418"/>
      <c r="F116" s="418"/>
    </row>
    <row r="117" spans="5:6">
      <c r="E117" s="418"/>
      <c r="F117" s="418"/>
    </row>
    <row r="118" spans="5:6">
      <c r="E118" s="418"/>
      <c r="F118" s="418"/>
    </row>
    <row r="119" spans="5:6">
      <c r="E119" s="418"/>
      <c r="F119" s="418"/>
    </row>
    <row r="120" spans="5:6">
      <c r="E120" s="418"/>
      <c r="F120" s="418"/>
    </row>
    <row r="121" spans="5:6">
      <c r="E121" s="418"/>
      <c r="F121" s="418"/>
    </row>
    <row r="122" spans="5:6">
      <c r="E122" s="418"/>
      <c r="F122" s="418"/>
    </row>
    <row r="123" spans="5:6">
      <c r="E123" s="418"/>
      <c r="F123" s="418"/>
    </row>
    <row r="124" spans="5:6">
      <c r="E124" s="418"/>
      <c r="F124" s="418"/>
    </row>
    <row r="125" spans="5:6">
      <c r="E125" s="418"/>
      <c r="F125" s="418"/>
    </row>
    <row r="126" spans="5:6">
      <c r="E126" s="418"/>
      <c r="F126" s="418"/>
    </row>
    <row r="127" spans="5:6">
      <c r="E127" s="418"/>
      <c r="F127" s="418"/>
    </row>
    <row r="128" spans="5:6">
      <c r="E128" s="418"/>
      <c r="F128" s="418"/>
    </row>
    <row r="129" spans="5:6">
      <c r="E129" s="418"/>
      <c r="F129" s="418"/>
    </row>
    <row r="130" spans="5:6">
      <c r="E130" s="418"/>
      <c r="F130" s="418"/>
    </row>
    <row r="131" spans="5:6">
      <c r="E131" s="418"/>
      <c r="F131" s="418"/>
    </row>
    <row r="132" spans="5:6">
      <c r="E132" s="418"/>
      <c r="F132" s="418"/>
    </row>
    <row r="133" spans="5:6">
      <c r="E133" s="418"/>
      <c r="F133" s="418"/>
    </row>
    <row r="134" spans="5:6">
      <c r="E134" s="418"/>
      <c r="F134" s="418"/>
    </row>
    <row r="135" spans="5:6">
      <c r="E135" s="418"/>
      <c r="F135" s="418"/>
    </row>
    <row r="136" spans="5:6">
      <c r="E136" s="418"/>
      <c r="F136" s="418"/>
    </row>
  </sheetData>
  <pageMargins left="0.7" right="0.51432291666666663" top="0.86956521739130432" bottom="0.61458333333333337" header="0.3" footer="0.3"/>
  <pageSetup orientation="portrait" r:id="rId1"/>
  <headerFooter>
    <oddHeader>&amp;R&amp;7Informe de la Operación Mensual - Agosto 2018
INFSGI-MES-08-2018
10/09/2018
Versión: 01</oddHeader>
    <oddFooter>&amp;L&amp;7COES, 2018&amp;C26&amp;R&amp;7Dirección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48C0E-AD5A-486C-961F-0EB626B94238}">
  <sheetPr>
    <tabColor theme="4"/>
  </sheetPr>
  <dimension ref="A1:J118"/>
  <sheetViews>
    <sheetView showGridLines="0" view="pageBreakPreview" zoomScale="160" zoomScaleNormal="100" zoomScaleSheetLayoutView="160" zoomScalePageLayoutView="145" workbookViewId="0">
      <selection activeCell="Q15" sqref="Q15"/>
    </sheetView>
  </sheetViews>
  <sheetFormatPr defaultRowHeight="9"/>
  <cols>
    <col min="1" max="1" width="16.1640625" style="408" customWidth="1"/>
    <col min="2" max="2" width="19.6640625" style="408" customWidth="1"/>
    <col min="3" max="3" width="12.16406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30" customHeight="1">
      <c r="A1" s="850" t="s">
        <v>284</v>
      </c>
      <c r="B1" s="851" t="s">
        <v>464</v>
      </c>
      <c r="C1" s="850" t="s">
        <v>453</v>
      </c>
      <c r="D1" s="852" t="s">
        <v>465</v>
      </c>
      <c r="E1" s="853" t="s">
        <v>466</v>
      </c>
      <c r="F1" s="853" t="s">
        <v>467</v>
      </c>
      <c r="G1" s="397"/>
      <c r="H1" s="409"/>
      <c r="I1" s="395"/>
    </row>
    <row r="2" spans="1:9" s="408" customFormat="1" ht="190.5" customHeight="1">
      <c r="A2" s="423" t="s">
        <v>633</v>
      </c>
      <c r="B2" s="423" t="s">
        <v>634</v>
      </c>
      <c r="C2" s="424">
        <v>43329.447916666664</v>
      </c>
      <c r="D2" s="559" t="s">
        <v>635</v>
      </c>
      <c r="E2" s="425">
        <v>44.63</v>
      </c>
      <c r="F2" s="425"/>
      <c r="G2" s="396"/>
      <c r="H2" s="396"/>
      <c r="I2" s="412"/>
    </row>
    <row r="3" spans="1:9" s="408" customFormat="1" ht="151.5" customHeight="1">
      <c r="A3" s="423" t="s">
        <v>628</v>
      </c>
      <c r="B3" s="423" t="s">
        <v>636</v>
      </c>
      <c r="C3" s="424">
        <v>43330.644444444442</v>
      </c>
      <c r="D3" s="559" t="s">
        <v>637</v>
      </c>
      <c r="E3" s="425">
        <v>9.44</v>
      </c>
      <c r="F3" s="425"/>
      <c r="G3" s="396"/>
      <c r="H3" s="396"/>
      <c r="I3" s="412"/>
    </row>
    <row r="4" spans="1:9" s="408" customFormat="1" ht="72.75" customHeight="1">
      <c r="A4" s="423" t="s">
        <v>595</v>
      </c>
      <c r="B4" s="423" t="s">
        <v>638</v>
      </c>
      <c r="C4" s="424">
        <v>43333.052083333336</v>
      </c>
      <c r="D4" s="559" t="s">
        <v>639</v>
      </c>
      <c r="E4" s="425">
        <v>1</v>
      </c>
      <c r="F4" s="425"/>
      <c r="G4" s="396"/>
      <c r="H4" s="396"/>
      <c r="I4" s="412"/>
    </row>
    <row r="5" spans="1:9" s="408" customFormat="1" ht="114.75" customHeight="1">
      <c r="A5" s="423" t="s">
        <v>640</v>
      </c>
      <c r="B5" s="423" t="s">
        <v>641</v>
      </c>
      <c r="C5" s="424">
        <v>43333.318055555559</v>
      </c>
      <c r="D5" s="559" t="s">
        <v>642</v>
      </c>
      <c r="E5" s="425">
        <v>4.53</v>
      </c>
      <c r="F5" s="425"/>
      <c r="G5" s="396"/>
      <c r="H5" s="396"/>
      <c r="I5" s="412"/>
    </row>
    <row r="6" spans="1:9" s="408" customFormat="1" ht="94.5" customHeight="1">
      <c r="A6" s="423" t="s">
        <v>472</v>
      </c>
      <c r="B6" s="423" t="s">
        <v>643</v>
      </c>
      <c r="C6" s="424">
        <v>43334.70416666667</v>
      </c>
      <c r="D6" s="559" t="s">
        <v>644</v>
      </c>
      <c r="E6" s="425"/>
      <c r="F6" s="425">
        <v>15</v>
      </c>
      <c r="G6" s="396"/>
      <c r="H6" s="396"/>
      <c r="I6" s="414"/>
    </row>
    <row r="7" spans="1:9" s="408" customFormat="1" ht="92.25" customHeight="1">
      <c r="A7" s="423" t="s">
        <v>95</v>
      </c>
      <c r="B7" s="423" t="s">
        <v>593</v>
      </c>
      <c r="C7" s="424">
        <v>43336.329861111109</v>
      </c>
      <c r="D7" s="559" t="s">
        <v>645</v>
      </c>
      <c r="E7" s="425">
        <v>0.38</v>
      </c>
      <c r="F7" s="425"/>
      <c r="G7" s="396"/>
      <c r="H7" s="396"/>
      <c r="I7" s="412"/>
    </row>
    <row r="8" spans="1:9" ht="64.5" customHeight="1">
      <c r="A8" s="611"/>
      <c r="B8" s="611"/>
      <c r="C8" s="612"/>
      <c r="D8" s="613"/>
      <c r="E8" s="614"/>
      <c r="F8" s="614"/>
    </row>
    <row r="9" spans="1:9">
      <c r="E9" s="418"/>
      <c r="F9" s="418"/>
    </row>
    <row r="10" spans="1:9">
      <c r="E10" s="418"/>
      <c r="F10" s="418"/>
    </row>
    <row r="11" spans="1:9">
      <c r="E11" s="418"/>
      <c r="F11" s="418"/>
    </row>
    <row r="12" spans="1:9">
      <c r="E12" s="418"/>
      <c r="F12" s="418"/>
    </row>
    <row r="13" spans="1:9">
      <c r="E13" s="418"/>
      <c r="F13" s="418"/>
    </row>
    <row r="14" spans="1:9">
      <c r="E14" s="418"/>
      <c r="F14" s="418"/>
    </row>
    <row r="15" spans="1:9">
      <c r="E15" s="418"/>
      <c r="F15" s="418"/>
    </row>
    <row r="16" spans="1:9">
      <c r="E16" s="418"/>
      <c r="F16" s="418"/>
    </row>
    <row r="17" spans="5:6">
      <c r="E17" s="418"/>
      <c r="F17" s="418"/>
    </row>
    <row r="18" spans="5:6">
      <c r="E18" s="418"/>
      <c r="F18" s="418"/>
    </row>
    <row r="19" spans="5:6">
      <c r="E19" s="418"/>
      <c r="F19" s="418"/>
    </row>
    <row r="20" spans="5:6">
      <c r="E20" s="418"/>
      <c r="F20" s="418"/>
    </row>
    <row r="21" spans="5:6">
      <c r="E21" s="418"/>
      <c r="F21" s="418"/>
    </row>
    <row r="22" spans="5:6">
      <c r="E22" s="418"/>
      <c r="F22" s="418"/>
    </row>
    <row r="23" spans="5:6">
      <c r="E23" s="418"/>
      <c r="F23" s="418"/>
    </row>
    <row r="24" spans="5:6">
      <c r="E24" s="418"/>
      <c r="F24" s="418"/>
    </row>
    <row r="25" spans="5:6">
      <c r="E25" s="418"/>
      <c r="F25" s="418"/>
    </row>
    <row r="26" spans="5:6">
      <c r="E26" s="418"/>
      <c r="F26" s="418"/>
    </row>
    <row r="27" spans="5:6">
      <c r="E27" s="418"/>
      <c r="F27" s="418"/>
    </row>
    <row r="28" spans="5:6">
      <c r="E28" s="418"/>
      <c r="F28" s="418"/>
    </row>
    <row r="29" spans="5:6">
      <c r="E29" s="418"/>
      <c r="F29" s="418"/>
    </row>
    <row r="30" spans="5:6">
      <c r="E30" s="418"/>
      <c r="F30" s="418"/>
    </row>
    <row r="31" spans="5:6">
      <c r="E31" s="418"/>
      <c r="F31" s="418"/>
    </row>
    <row r="32" spans="5:6">
      <c r="E32" s="418"/>
      <c r="F32" s="418"/>
    </row>
    <row r="33" spans="5:6">
      <c r="E33" s="418"/>
      <c r="F33" s="418"/>
    </row>
    <row r="34" spans="5:6">
      <c r="E34" s="418"/>
      <c r="F34" s="418"/>
    </row>
    <row r="35" spans="5:6">
      <c r="E35" s="418"/>
      <c r="F35" s="418"/>
    </row>
    <row r="36" spans="5:6">
      <c r="E36" s="418"/>
      <c r="F36" s="418"/>
    </row>
    <row r="37" spans="5:6">
      <c r="E37" s="418"/>
      <c r="F37" s="418"/>
    </row>
    <row r="38" spans="5:6">
      <c r="E38" s="418"/>
      <c r="F38" s="418"/>
    </row>
    <row r="39" spans="5:6">
      <c r="E39" s="418"/>
      <c r="F39" s="418"/>
    </row>
    <row r="40" spans="5:6">
      <c r="E40" s="418"/>
      <c r="F40" s="418"/>
    </row>
    <row r="41" spans="5:6">
      <c r="E41" s="418"/>
      <c r="F41" s="418"/>
    </row>
    <row r="42" spans="5:6">
      <c r="E42" s="418"/>
      <c r="F42" s="418"/>
    </row>
    <row r="43" spans="5:6">
      <c r="E43" s="418"/>
      <c r="F43" s="418"/>
    </row>
    <row r="44" spans="5:6">
      <c r="E44" s="418"/>
      <c r="F44" s="418"/>
    </row>
    <row r="45" spans="5:6">
      <c r="E45" s="418"/>
      <c r="F45" s="418"/>
    </row>
    <row r="46" spans="5:6">
      <c r="E46" s="418"/>
      <c r="F46" s="418"/>
    </row>
    <row r="47" spans="5:6">
      <c r="E47" s="418"/>
      <c r="F47" s="418"/>
    </row>
    <row r="48" spans="5:6">
      <c r="E48" s="418"/>
      <c r="F48" s="418"/>
    </row>
    <row r="49" spans="5:6">
      <c r="E49" s="418"/>
      <c r="F49" s="418"/>
    </row>
    <row r="50" spans="5:6">
      <c r="E50" s="418"/>
      <c r="F50" s="418"/>
    </row>
    <row r="51" spans="5:6">
      <c r="E51" s="418"/>
      <c r="F51" s="418"/>
    </row>
    <row r="52" spans="5:6">
      <c r="E52" s="418"/>
      <c r="F52" s="418"/>
    </row>
    <row r="53" spans="5:6">
      <c r="E53" s="418"/>
      <c r="F53" s="418"/>
    </row>
    <row r="54" spans="5:6">
      <c r="E54" s="418"/>
      <c r="F54" s="418"/>
    </row>
    <row r="55" spans="5:6">
      <c r="E55" s="418"/>
      <c r="F55" s="418"/>
    </row>
    <row r="56" spans="5:6">
      <c r="E56" s="418"/>
      <c r="F56" s="418"/>
    </row>
    <row r="57" spans="5:6">
      <c r="E57" s="418"/>
      <c r="F57" s="418"/>
    </row>
    <row r="58" spans="5:6">
      <c r="E58" s="418"/>
      <c r="F58" s="418"/>
    </row>
    <row r="59" spans="5:6">
      <c r="E59" s="418"/>
      <c r="F59" s="418"/>
    </row>
    <row r="60" spans="5:6">
      <c r="E60" s="418"/>
      <c r="F60" s="418"/>
    </row>
    <row r="61" spans="5:6">
      <c r="E61" s="418"/>
      <c r="F61" s="418"/>
    </row>
    <row r="62" spans="5:6">
      <c r="E62" s="418"/>
      <c r="F62" s="418"/>
    </row>
    <row r="63" spans="5:6">
      <c r="E63" s="418"/>
      <c r="F63" s="418"/>
    </row>
    <row r="64" spans="5:6">
      <c r="E64" s="418"/>
      <c r="F64" s="418"/>
    </row>
    <row r="65" spans="5:6">
      <c r="E65" s="418"/>
      <c r="F65" s="418"/>
    </row>
    <row r="66" spans="5:6">
      <c r="E66" s="418"/>
      <c r="F66" s="418"/>
    </row>
    <row r="67" spans="5:6">
      <c r="E67" s="418"/>
      <c r="F67" s="418"/>
    </row>
    <row r="68" spans="5:6">
      <c r="E68" s="418"/>
      <c r="F68" s="418"/>
    </row>
    <row r="69" spans="5:6">
      <c r="E69" s="418"/>
      <c r="F69" s="418"/>
    </row>
    <row r="70" spans="5:6">
      <c r="E70" s="418"/>
      <c r="F70" s="418"/>
    </row>
    <row r="71" spans="5:6">
      <c r="E71" s="418"/>
      <c r="F71" s="418"/>
    </row>
    <row r="72" spans="5:6">
      <c r="E72" s="418"/>
      <c r="F72" s="418"/>
    </row>
    <row r="73" spans="5:6">
      <c r="E73" s="418"/>
      <c r="F73" s="418"/>
    </row>
    <row r="74" spans="5:6">
      <c r="E74" s="418"/>
      <c r="F74" s="418"/>
    </row>
    <row r="75" spans="5:6">
      <c r="E75" s="418"/>
      <c r="F75" s="418"/>
    </row>
    <row r="76" spans="5:6">
      <c r="E76" s="418"/>
      <c r="F76" s="418"/>
    </row>
    <row r="77" spans="5:6">
      <c r="E77" s="418"/>
      <c r="F77" s="418"/>
    </row>
    <row r="78" spans="5:6">
      <c r="E78" s="418"/>
      <c r="F78" s="418"/>
    </row>
    <row r="79" spans="5:6">
      <c r="E79" s="418"/>
      <c r="F79" s="418"/>
    </row>
    <row r="80" spans="5:6">
      <c r="E80" s="418"/>
      <c r="F80" s="418"/>
    </row>
    <row r="81" spans="5:6">
      <c r="E81" s="418"/>
      <c r="F81" s="418"/>
    </row>
    <row r="82" spans="5:6">
      <c r="E82" s="418"/>
      <c r="F82" s="418"/>
    </row>
    <row r="83" spans="5:6">
      <c r="E83" s="418"/>
      <c r="F83" s="418"/>
    </row>
    <row r="84" spans="5:6">
      <c r="E84" s="418"/>
      <c r="F84" s="418"/>
    </row>
    <row r="85" spans="5:6">
      <c r="E85" s="418"/>
      <c r="F85" s="418"/>
    </row>
    <row r="86" spans="5:6">
      <c r="E86" s="418"/>
      <c r="F86" s="418"/>
    </row>
    <row r="87" spans="5:6">
      <c r="E87" s="418"/>
      <c r="F87" s="418"/>
    </row>
    <row r="88" spans="5:6">
      <c r="E88" s="418"/>
      <c r="F88" s="418"/>
    </row>
    <row r="89" spans="5:6">
      <c r="E89" s="418"/>
      <c r="F89" s="418"/>
    </row>
    <row r="90" spans="5:6">
      <c r="E90" s="418"/>
      <c r="F90" s="418"/>
    </row>
    <row r="91" spans="5:6">
      <c r="E91" s="418"/>
      <c r="F91" s="418"/>
    </row>
    <row r="92" spans="5:6">
      <c r="E92" s="418"/>
      <c r="F92" s="418"/>
    </row>
    <row r="93" spans="5:6">
      <c r="E93" s="418"/>
      <c r="F93" s="418"/>
    </row>
    <row r="94" spans="5:6">
      <c r="E94" s="418"/>
      <c r="F94" s="418"/>
    </row>
    <row r="95" spans="5:6">
      <c r="E95" s="418"/>
      <c r="F95" s="418"/>
    </row>
    <row r="96" spans="5:6">
      <c r="E96" s="418"/>
      <c r="F96" s="418"/>
    </row>
    <row r="97" spans="5:6">
      <c r="E97" s="418"/>
      <c r="F97" s="418"/>
    </row>
    <row r="98" spans="5:6">
      <c r="E98" s="418"/>
      <c r="F98" s="418"/>
    </row>
    <row r="99" spans="5:6">
      <c r="E99" s="418"/>
      <c r="F99" s="418"/>
    </row>
    <row r="100" spans="5:6">
      <c r="E100" s="418"/>
      <c r="F100" s="418"/>
    </row>
    <row r="101" spans="5:6">
      <c r="E101" s="418"/>
      <c r="F101" s="418"/>
    </row>
    <row r="102" spans="5:6">
      <c r="E102" s="418"/>
      <c r="F102" s="418"/>
    </row>
    <row r="103" spans="5:6">
      <c r="E103" s="418"/>
      <c r="F103" s="418"/>
    </row>
    <row r="104" spans="5:6">
      <c r="E104" s="418"/>
      <c r="F104" s="418"/>
    </row>
    <row r="105" spans="5:6">
      <c r="E105" s="418"/>
      <c r="F105" s="418"/>
    </row>
    <row r="106" spans="5:6">
      <c r="E106" s="418"/>
      <c r="F106" s="418"/>
    </row>
    <row r="107" spans="5:6">
      <c r="E107" s="418"/>
      <c r="F107" s="418"/>
    </row>
    <row r="108" spans="5:6">
      <c r="E108" s="418"/>
      <c r="F108" s="418"/>
    </row>
    <row r="109" spans="5:6">
      <c r="E109" s="418"/>
      <c r="F109" s="418"/>
    </row>
    <row r="110" spans="5:6">
      <c r="E110" s="418"/>
      <c r="F110" s="418"/>
    </row>
    <row r="111" spans="5:6">
      <c r="E111" s="418"/>
      <c r="F111" s="418"/>
    </row>
    <row r="112" spans="5:6">
      <c r="E112" s="418"/>
      <c r="F112" s="418"/>
    </row>
    <row r="113" spans="5:6">
      <c r="E113" s="418"/>
      <c r="F113" s="418"/>
    </row>
    <row r="114" spans="5:6">
      <c r="E114" s="418"/>
      <c r="F114" s="418"/>
    </row>
    <row r="115" spans="5:6">
      <c r="E115" s="418"/>
      <c r="F115" s="418"/>
    </row>
    <row r="116" spans="5:6">
      <c r="E116" s="418"/>
      <c r="F116" s="418"/>
    </row>
    <row r="117" spans="5:6">
      <c r="E117" s="418"/>
      <c r="F117" s="418"/>
    </row>
    <row r="118" spans="5:6">
      <c r="E118" s="418"/>
      <c r="F118" s="418"/>
    </row>
  </sheetData>
  <pageMargins left="0.7" right="0.51432291666666663" top="0.86956521739130432" bottom="0.61458333333333337" header="0.3" footer="0.3"/>
  <pageSetup orientation="portrait" r:id="rId1"/>
  <headerFooter>
    <oddHeader>&amp;R&amp;7Informe de la Operación Mensual - Agosto 2018
INFSGI-MES-08-2018
10/09/2018
Versión: 01</oddHeader>
    <oddFooter>&amp;L&amp;7COES, 2018&amp;C27&amp;R&amp;7Dirección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E7E1-8BF2-40B7-8695-3BE9B4A6D9E6}">
  <sheetPr>
    <tabColor theme="4"/>
  </sheetPr>
  <dimension ref="A1:W67"/>
  <sheetViews>
    <sheetView showGridLines="0" view="pageBreakPreview" zoomScale="115" zoomScaleNormal="100" zoomScaleSheetLayoutView="115" zoomScalePageLayoutView="145" workbookViewId="0">
      <selection activeCell="Q15" sqref="Q15"/>
    </sheetView>
  </sheetViews>
  <sheetFormatPr defaultRowHeight="11.25"/>
  <cols>
    <col min="1" max="1" width="7.5" style="61" customWidth="1"/>
    <col min="2" max="9" width="9.33203125" style="61"/>
    <col min="10" max="11" width="9.33203125" style="61" customWidth="1"/>
    <col min="12" max="12" width="10.33203125" style="61" customWidth="1"/>
    <col min="13" max="13" width="9.33203125" style="61"/>
    <col min="14" max="14" width="9.33203125" style="430"/>
    <col min="15" max="16" width="10.1640625" style="476" bestFit="1" customWidth="1"/>
    <col min="17" max="17" width="11.5" style="476" customWidth="1"/>
    <col min="18" max="23" width="9.33203125" style="476"/>
    <col min="24" max="16384" width="9.33203125" style="61"/>
  </cols>
  <sheetData>
    <row r="1" spans="1:20" ht="27.75" customHeight="1">
      <c r="A1" s="874" t="s">
        <v>22</v>
      </c>
      <c r="B1" s="874"/>
      <c r="C1" s="874"/>
      <c r="D1" s="874"/>
      <c r="E1" s="874"/>
      <c r="F1" s="874"/>
      <c r="G1" s="874"/>
      <c r="H1" s="874"/>
      <c r="I1" s="874"/>
      <c r="J1" s="874"/>
      <c r="K1" s="874"/>
      <c r="L1" s="874"/>
      <c r="M1" s="874"/>
      <c r="N1" s="429"/>
      <c r="O1" s="475"/>
      <c r="P1" s="475"/>
      <c r="Q1" s="475"/>
    </row>
    <row r="2" spans="1:20" ht="11.25" customHeight="1">
      <c r="A2" s="52"/>
      <c r="B2" s="53"/>
      <c r="C2" s="82"/>
      <c r="D2" s="82"/>
      <c r="E2" s="82"/>
      <c r="F2" s="82"/>
      <c r="G2" s="82"/>
      <c r="H2" s="82"/>
      <c r="I2" s="82"/>
      <c r="J2" s="82"/>
      <c r="K2" s="53"/>
      <c r="L2" s="53"/>
      <c r="M2" s="53"/>
      <c r="N2" s="431"/>
      <c r="O2" s="477"/>
      <c r="P2" s="477"/>
      <c r="Q2" s="477"/>
    </row>
    <row r="3" spans="1:20" ht="21.75" customHeight="1">
      <c r="A3" s="53"/>
      <c r="B3" s="54"/>
      <c r="C3" s="882" t="str">
        <f>+UPPER(Q4)&amp;" "&amp;Q5</f>
        <v>AGOSTO 2018</v>
      </c>
      <c r="D3" s="874"/>
      <c r="E3" s="874"/>
      <c r="F3" s="874"/>
      <c r="G3" s="874"/>
      <c r="H3" s="874"/>
      <c r="I3" s="874"/>
      <c r="J3" s="874"/>
      <c r="K3" s="53"/>
      <c r="L3" s="53"/>
      <c r="M3" s="53"/>
      <c r="N3" s="431"/>
      <c r="O3" s="477"/>
      <c r="P3" s="477"/>
      <c r="Q3" s="477"/>
      <c r="R3" s="478"/>
      <c r="S3" s="478"/>
      <c r="T3" s="478"/>
    </row>
    <row r="4" spans="1:20" ht="11.25" customHeight="1">
      <c r="A4" s="51"/>
      <c r="B4" s="54"/>
      <c r="C4" s="51"/>
      <c r="D4" s="51"/>
      <c r="E4" s="51"/>
      <c r="F4" s="51"/>
      <c r="G4" s="51"/>
      <c r="H4" s="51"/>
      <c r="I4" s="51"/>
      <c r="J4" s="51"/>
      <c r="K4" s="51"/>
      <c r="L4" s="51"/>
      <c r="M4" s="51"/>
      <c r="N4" s="432"/>
      <c r="O4" s="479"/>
      <c r="P4" s="475" t="s">
        <v>226</v>
      </c>
      <c r="Q4" s="480" t="s">
        <v>605</v>
      </c>
      <c r="R4" s="478"/>
      <c r="S4" s="478"/>
      <c r="T4" s="478"/>
    </row>
    <row r="5" spans="1:20" ht="11.25" customHeight="1">
      <c r="A5" s="62"/>
      <c r="B5" s="63"/>
      <c r="C5" s="64"/>
      <c r="D5" s="64"/>
      <c r="E5" s="64"/>
      <c r="F5" s="64"/>
      <c r="G5" s="64"/>
      <c r="H5" s="64"/>
      <c r="I5" s="64"/>
      <c r="J5" s="64"/>
      <c r="K5" s="64"/>
      <c r="L5" s="64"/>
      <c r="M5" s="51"/>
      <c r="N5" s="432"/>
      <c r="O5" s="479"/>
      <c r="P5" s="475" t="s">
        <v>227</v>
      </c>
      <c r="Q5" s="479">
        <v>2018</v>
      </c>
      <c r="R5" s="478"/>
      <c r="S5" s="478"/>
      <c r="T5" s="478"/>
    </row>
    <row r="6" spans="1:20" ht="17.25" customHeight="1">
      <c r="A6" s="77" t="s">
        <v>510</v>
      </c>
      <c r="B6" s="51"/>
      <c r="C6" s="51"/>
      <c r="D6" s="51"/>
      <c r="E6" s="51"/>
      <c r="F6" s="51"/>
      <c r="G6" s="51"/>
      <c r="H6" s="51"/>
      <c r="I6" s="51"/>
      <c r="J6" s="51"/>
      <c r="K6" s="51"/>
      <c r="L6" s="51"/>
      <c r="M6" s="51"/>
      <c r="N6" s="429"/>
      <c r="O6" s="475"/>
      <c r="P6" s="475"/>
      <c r="Q6" s="489">
        <v>43313</v>
      </c>
      <c r="R6" s="478"/>
      <c r="S6" s="478"/>
      <c r="T6" s="478"/>
    </row>
    <row r="7" spans="1:20" ht="11.25" customHeight="1">
      <c r="A7" s="51"/>
      <c r="B7" s="51"/>
      <c r="C7" s="51"/>
      <c r="D7" s="51"/>
      <c r="E7" s="51"/>
      <c r="F7" s="51"/>
      <c r="G7" s="51"/>
      <c r="H7" s="51"/>
      <c r="I7" s="51"/>
      <c r="J7" s="51"/>
      <c r="K7" s="51"/>
      <c r="L7" s="51"/>
      <c r="M7" s="51"/>
      <c r="N7" s="429"/>
      <c r="O7" s="475"/>
      <c r="P7" s="475"/>
      <c r="Q7" s="475">
        <v>31</v>
      </c>
      <c r="R7" s="478"/>
      <c r="S7" s="478"/>
      <c r="T7" s="478"/>
    </row>
    <row r="8" spans="1:20" ht="11.25" customHeight="1">
      <c r="A8" s="55"/>
      <c r="B8" s="55"/>
      <c r="C8" s="55"/>
      <c r="D8" s="55"/>
      <c r="E8" s="55"/>
      <c r="F8" s="55"/>
      <c r="G8" s="55"/>
      <c r="H8" s="55"/>
      <c r="I8" s="55"/>
      <c r="J8" s="55"/>
      <c r="K8" s="55"/>
      <c r="L8" s="55"/>
      <c r="M8" s="55"/>
      <c r="N8" s="433"/>
      <c r="O8" s="481"/>
      <c r="P8" s="481"/>
      <c r="Q8" s="481"/>
      <c r="R8" s="478"/>
      <c r="S8" s="478"/>
      <c r="T8" s="478"/>
    </row>
    <row r="9" spans="1:20" ht="11.25" customHeight="1">
      <c r="A9" s="53" t="str">
        <f>"1.1. Producción de energía eléctrica en "&amp;LOWER(Q4)&amp;" "&amp;Q5&amp;" en comparación al mismo mes del año anterior"</f>
        <v>1.1. Producción de energía eléctrica en agosto 2018 en comparación al mismo mes del año anterior</v>
      </c>
      <c r="B9" s="53"/>
      <c r="C9" s="53"/>
      <c r="D9" s="53"/>
      <c r="E9" s="53"/>
      <c r="F9" s="53"/>
      <c r="G9" s="53"/>
      <c r="H9" s="53"/>
      <c r="I9" s="53"/>
      <c r="J9" s="53"/>
      <c r="K9" s="53"/>
      <c r="L9" s="53"/>
      <c r="M9" s="53"/>
      <c r="N9" s="431"/>
      <c r="O9" s="477"/>
      <c r="P9" s="477"/>
      <c r="Q9" s="477"/>
      <c r="R9" s="478"/>
      <c r="S9" s="478"/>
      <c r="T9" s="478"/>
    </row>
    <row r="10" spans="1:20" ht="11.25" customHeight="1">
      <c r="A10" s="62"/>
      <c r="B10" s="56"/>
      <c r="C10" s="56"/>
      <c r="D10" s="56"/>
      <c r="E10" s="56"/>
      <c r="F10" s="56"/>
      <c r="G10" s="56"/>
      <c r="H10" s="56"/>
      <c r="I10" s="56"/>
      <c r="J10" s="56"/>
      <c r="K10" s="56"/>
      <c r="L10" s="56"/>
      <c r="M10" s="56"/>
      <c r="N10" s="432"/>
      <c r="O10" s="479"/>
      <c r="P10" s="479"/>
      <c r="Q10" s="479"/>
      <c r="R10" s="478"/>
      <c r="S10" s="478"/>
      <c r="T10" s="478"/>
    </row>
    <row r="11" spans="1:20" ht="11.25" customHeight="1">
      <c r="A11" s="65"/>
      <c r="B11" s="65"/>
      <c r="C11" s="65"/>
      <c r="D11" s="65"/>
      <c r="E11" s="65"/>
      <c r="F11" s="65"/>
      <c r="G11" s="65"/>
      <c r="H11" s="65"/>
      <c r="I11" s="65"/>
      <c r="J11" s="65"/>
      <c r="K11" s="65"/>
      <c r="L11" s="65"/>
      <c r="M11" s="65"/>
      <c r="N11" s="434"/>
      <c r="O11" s="482"/>
      <c r="P11" s="482"/>
      <c r="Q11" s="482"/>
    </row>
    <row r="12" spans="1:20" ht="26.25" customHeight="1">
      <c r="A12" s="79" t="s">
        <v>23</v>
      </c>
      <c r="B12" s="881" t="s">
        <v>709</v>
      </c>
      <c r="C12" s="881"/>
      <c r="D12" s="881"/>
      <c r="E12" s="881"/>
      <c r="F12" s="881"/>
      <c r="G12" s="881"/>
      <c r="H12" s="881"/>
      <c r="I12" s="881"/>
      <c r="J12" s="881"/>
      <c r="K12" s="881"/>
      <c r="L12" s="881"/>
      <c r="M12" s="881"/>
      <c r="N12" s="432"/>
      <c r="O12" s="479"/>
      <c r="P12" s="479"/>
      <c r="Q12" s="479"/>
    </row>
    <row r="13" spans="1:20" ht="12.75" customHeight="1">
      <c r="A13" s="51"/>
      <c r="B13" s="81"/>
      <c r="C13" s="81"/>
      <c r="D13" s="81"/>
      <c r="E13" s="81"/>
      <c r="F13" s="81"/>
      <c r="G13" s="81"/>
      <c r="H13" s="81"/>
      <c r="I13" s="81"/>
      <c r="J13" s="81"/>
      <c r="K13" s="81"/>
      <c r="L13" s="81"/>
      <c r="M13" s="56"/>
      <c r="N13" s="432"/>
      <c r="O13" s="479"/>
      <c r="P13" s="479"/>
      <c r="Q13" s="479"/>
    </row>
    <row r="14" spans="1:20" ht="28.5" customHeight="1">
      <c r="A14" s="79" t="s">
        <v>23</v>
      </c>
      <c r="B14" s="881" t="s">
        <v>710</v>
      </c>
      <c r="C14" s="881"/>
      <c r="D14" s="881"/>
      <c r="E14" s="881"/>
      <c r="F14" s="881"/>
      <c r="G14" s="881"/>
      <c r="H14" s="881"/>
      <c r="I14" s="881"/>
      <c r="J14" s="881"/>
      <c r="K14" s="881"/>
      <c r="L14" s="881"/>
      <c r="M14" s="881"/>
      <c r="N14" s="432"/>
      <c r="O14" s="479"/>
      <c r="P14" s="479"/>
      <c r="Q14" s="479"/>
    </row>
    <row r="15" spans="1:20" ht="15" customHeight="1">
      <c r="A15" s="80"/>
      <c r="B15" s="81"/>
      <c r="C15" s="81"/>
      <c r="D15" s="81"/>
      <c r="E15" s="81"/>
      <c r="F15" s="81"/>
      <c r="G15" s="81"/>
      <c r="H15" s="81"/>
      <c r="I15" s="81"/>
      <c r="J15" s="81"/>
      <c r="K15" s="81"/>
      <c r="L15" s="81"/>
      <c r="M15" s="56"/>
      <c r="N15" s="432"/>
      <c r="O15" s="479"/>
      <c r="P15" s="479"/>
      <c r="Q15" s="479"/>
    </row>
    <row r="16" spans="1:20" ht="59.25" customHeight="1">
      <c r="A16" s="79" t="s">
        <v>23</v>
      </c>
      <c r="B16" s="881" t="s">
        <v>711</v>
      </c>
      <c r="C16" s="881"/>
      <c r="D16" s="881"/>
      <c r="E16" s="881"/>
      <c r="F16" s="881"/>
      <c r="G16" s="881"/>
      <c r="H16" s="881"/>
      <c r="I16" s="881"/>
      <c r="J16" s="881"/>
      <c r="K16" s="881"/>
      <c r="L16" s="881"/>
      <c r="M16" s="881"/>
      <c r="N16" s="432"/>
      <c r="O16" s="479"/>
      <c r="P16" s="479"/>
      <c r="Q16" s="479"/>
    </row>
    <row r="17" spans="1:18" ht="17.25" customHeight="1">
      <c r="A17" s="56"/>
      <c r="B17" s="56"/>
      <c r="C17" s="56"/>
      <c r="D17" s="56"/>
      <c r="E17" s="56"/>
      <c r="F17" s="56"/>
      <c r="G17" s="56"/>
      <c r="H17" s="56"/>
      <c r="I17" s="56"/>
      <c r="J17" s="56"/>
      <c r="K17" s="56"/>
      <c r="L17" s="56"/>
      <c r="M17" s="56"/>
      <c r="N17" s="432"/>
      <c r="O17" s="479"/>
      <c r="P17" s="479"/>
      <c r="Q17" s="479"/>
    </row>
    <row r="18" spans="1:18" ht="25.5" customHeight="1">
      <c r="A18" s="78" t="s">
        <v>23</v>
      </c>
      <c r="B18" s="880" t="s">
        <v>712</v>
      </c>
      <c r="C18" s="880"/>
      <c r="D18" s="880"/>
      <c r="E18" s="880"/>
      <c r="F18" s="880"/>
      <c r="G18" s="880"/>
      <c r="H18" s="880"/>
      <c r="I18" s="880"/>
      <c r="J18" s="880"/>
      <c r="K18" s="880"/>
      <c r="L18" s="880"/>
      <c r="M18" s="880"/>
      <c r="N18" s="432"/>
      <c r="O18" s="479"/>
      <c r="P18" s="479"/>
      <c r="Q18" s="479"/>
    </row>
    <row r="19" spans="1:18" ht="11.25" customHeight="1">
      <c r="A19" s="56"/>
      <c r="B19" s="56"/>
      <c r="C19" s="56"/>
      <c r="D19" s="56"/>
      <c r="E19" s="56"/>
      <c r="F19" s="56"/>
      <c r="G19" s="56"/>
      <c r="H19" s="56"/>
      <c r="I19" s="56"/>
      <c r="J19" s="56"/>
      <c r="K19" s="56"/>
      <c r="L19" s="56"/>
      <c r="M19" s="56"/>
      <c r="N19" s="432"/>
      <c r="O19" s="479"/>
      <c r="P19" s="479"/>
      <c r="Q19" s="479"/>
    </row>
    <row r="20" spans="1:18" ht="15.75" customHeight="1">
      <c r="A20" s="56"/>
      <c r="B20" s="56"/>
      <c r="C20" s="876" t="str">
        <f>+UPPER(Q4)&amp;" "&amp;Q5</f>
        <v>AGOSTO 2018</v>
      </c>
      <c r="D20" s="877"/>
      <c r="E20" s="51"/>
      <c r="F20" s="51"/>
      <c r="G20" s="51"/>
      <c r="H20" s="51"/>
      <c r="I20" s="876" t="str">
        <f>+UPPER(Q4)&amp;" "&amp;Q5-1</f>
        <v>AGOSTO 2017</v>
      </c>
      <c r="J20" s="876"/>
      <c r="K20" s="876"/>
      <c r="L20" s="56"/>
      <c r="M20" s="56"/>
      <c r="Q20" s="479"/>
    </row>
    <row r="21" spans="1:18" ht="11.25" customHeight="1">
      <c r="A21" s="56"/>
      <c r="B21" s="56"/>
      <c r="C21" s="56"/>
      <c r="D21" s="56"/>
      <c r="E21" s="56"/>
      <c r="F21" s="56"/>
      <c r="G21" s="56"/>
      <c r="H21" s="56"/>
      <c r="I21" s="56"/>
      <c r="J21" s="56"/>
      <c r="K21" s="56"/>
      <c r="L21" s="56"/>
      <c r="M21" s="56"/>
      <c r="Q21" s="479"/>
    </row>
    <row r="22" spans="1:18" ht="11.25" customHeight="1">
      <c r="A22" s="66"/>
      <c r="B22" s="67"/>
      <c r="C22" s="67"/>
      <c r="D22" s="67"/>
      <c r="E22" s="67"/>
      <c r="F22" s="67"/>
      <c r="G22" s="67"/>
      <c r="H22" s="67"/>
      <c r="I22" s="67"/>
      <c r="J22" s="67"/>
      <c r="K22" s="67"/>
      <c r="L22" s="67"/>
      <c r="M22" s="67"/>
      <c r="N22" s="523" t="s">
        <v>31</v>
      </c>
      <c r="O22" s="483">
        <v>43282</v>
      </c>
      <c r="P22" s="483">
        <v>42917</v>
      </c>
    </row>
    <row r="23" spans="1:18" ht="11.25" customHeight="1">
      <c r="A23" s="66"/>
      <c r="B23" s="67"/>
      <c r="C23" s="67"/>
      <c r="D23" s="67"/>
      <c r="E23" s="67"/>
      <c r="F23" s="67"/>
      <c r="G23" s="67"/>
      <c r="H23" s="67"/>
      <c r="I23" s="67"/>
      <c r="J23" s="67"/>
      <c r="K23" s="67"/>
      <c r="L23" s="67"/>
      <c r="M23" s="67"/>
      <c r="N23" s="523" t="s">
        <v>24</v>
      </c>
      <c r="O23" s="484">
        <v>1974.104242622501</v>
      </c>
      <c r="P23" s="484">
        <v>1758.1679867319565</v>
      </c>
      <c r="Q23" s="485"/>
    </row>
    <row r="24" spans="1:18" ht="11.25" customHeight="1">
      <c r="A24" s="56"/>
      <c r="B24" s="56"/>
      <c r="C24" s="56"/>
      <c r="D24" s="56"/>
      <c r="E24" s="60"/>
      <c r="F24" s="68"/>
      <c r="G24" s="68"/>
      <c r="H24" s="68"/>
      <c r="I24" s="68"/>
      <c r="J24" s="68"/>
      <c r="K24" s="68"/>
      <c r="L24" s="68"/>
      <c r="M24" s="60"/>
      <c r="N24" s="524" t="s">
        <v>25</v>
      </c>
      <c r="O24" s="486">
        <v>2005.2863001550004</v>
      </c>
      <c r="P24" s="486">
        <v>1959.0563843998168</v>
      </c>
      <c r="Q24" s="484"/>
      <c r="R24" s="484"/>
    </row>
    <row r="25" spans="1:18" ht="11.25" customHeight="1">
      <c r="A25" s="56"/>
      <c r="B25" s="56"/>
      <c r="C25" s="56"/>
      <c r="D25" s="56"/>
      <c r="E25" s="56"/>
      <c r="F25" s="56"/>
      <c r="G25" s="56"/>
      <c r="H25" s="56"/>
      <c r="I25" s="56"/>
      <c r="J25" s="69"/>
      <c r="K25" s="69"/>
      <c r="L25" s="56"/>
      <c r="M25" s="56"/>
      <c r="N25" s="524" t="s">
        <v>26</v>
      </c>
      <c r="O25" s="486">
        <v>5.4412924199999999</v>
      </c>
      <c r="P25" s="486">
        <v>95.228329028320317</v>
      </c>
      <c r="Q25" s="487"/>
    </row>
    <row r="26" spans="1:18" ht="11.25" customHeight="1">
      <c r="A26" s="56"/>
      <c r="B26" s="56"/>
      <c r="C26" s="56"/>
      <c r="D26" s="56"/>
      <c r="E26" s="56"/>
      <c r="F26" s="56"/>
      <c r="G26" s="56"/>
      <c r="H26" s="56"/>
      <c r="I26" s="56"/>
      <c r="J26" s="69"/>
      <c r="K26" s="69"/>
      <c r="L26" s="56"/>
      <c r="M26" s="56"/>
      <c r="N26" s="525" t="s">
        <v>27</v>
      </c>
      <c r="O26" s="484">
        <v>27.489297522499996</v>
      </c>
      <c r="P26" s="484">
        <v>162.36942742107396</v>
      </c>
      <c r="Q26" s="487"/>
    </row>
    <row r="27" spans="1:18" ht="11.25" customHeight="1">
      <c r="A27" s="56"/>
      <c r="B27" s="56"/>
      <c r="C27" s="56"/>
      <c r="D27" s="56"/>
      <c r="E27" s="56"/>
      <c r="F27" s="56"/>
      <c r="G27" s="56"/>
      <c r="H27" s="56"/>
      <c r="I27" s="56"/>
      <c r="J27" s="69"/>
      <c r="K27" s="56"/>
      <c r="L27" s="56"/>
      <c r="M27" s="56"/>
      <c r="N27" s="523" t="s">
        <v>28</v>
      </c>
      <c r="O27" s="484">
        <v>10.118653032500001</v>
      </c>
      <c r="P27" s="484">
        <v>11.028651049632273</v>
      </c>
      <c r="Q27" s="487"/>
    </row>
    <row r="28" spans="1:18" ht="11.25" customHeight="1">
      <c r="A28" s="56"/>
      <c r="B28" s="56"/>
      <c r="C28" s="69"/>
      <c r="D28" s="69"/>
      <c r="E28" s="69"/>
      <c r="F28" s="69"/>
      <c r="G28" s="69"/>
      <c r="H28" s="69"/>
      <c r="I28" s="69"/>
      <c r="J28" s="69"/>
      <c r="K28" s="69"/>
      <c r="L28" s="56"/>
      <c r="M28" s="56"/>
      <c r="N28" s="523" t="s">
        <v>29</v>
      </c>
      <c r="O28" s="484">
        <v>134.3830846825</v>
      </c>
      <c r="P28" s="484">
        <v>111.42214168834684</v>
      </c>
      <c r="Q28" s="487"/>
    </row>
    <row r="29" spans="1:18" ht="11.25" customHeight="1">
      <c r="A29" s="56"/>
      <c r="B29" s="56"/>
      <c r="C29" s="69"/>
      <c r="D29" s="69"/>
      <c r="E29" s="69"/>
      <c r="F29" s="69"/>
      <c r="G29" s="69"/>
      <c r="H29" s="69"/>
      <c r="I29" s="69"/>
      <c r="J29" s="69"/>
      <c r="K29" s="69"/>
      <c r="L29" s="56"/>
      <c r="M29" s="56"/>
      <c r="N29" s="523" t="s">
        <v>30</v>
      </c>
      <c r="O29" s="484">
        <v>65.050804804999999</v>
      </c>
      <c r="P29" s="484">
        <v>19.500341649968</v>
      </c>
      <c r="Q29" s="487"/>
    </row>
    <row r="30" spans="1:18" ht="11.25" customHeight="1">
      <c r="A30" s="56"/>
      <c r="B30" s="56"/>
      <c r="C30" s="69"/>
      <c r="D30" s="69"/>
      <c r="E30" s="69"/>
      <c r="F30" s="69"/>
      <c r="G30" s="69"/>
      <c r="H30" s="69"/>
      <c r="I30" s="69"/>
      <c r="J30" s="69"/>
      <c r="K30" s="69"/>
      <c r="L30" s="56"/>
      <c r="M30" s="56"/>
      <c r="N30" s="526"/>
      <c r="O30" s="488"/>
      <c r="P30" s="488"/>
      <c r="Q30" s="487"/>
    </row>
    <row r="31" spans="1:18" ht="11.25" customHeight="1">
      <c r="A31" s="56"/>
      <c r="B31" s="56"/>
      <c r="C31" s="69"/>
      <c r="D31" s="69"/>
      <c r="E31" s="69"/>
      <c r="F31" s="69"/>
      <c r="G31" s="69"/>
      <c r="H31" s="69"/>
      <c r="I31" s="69"/>
      <c r="J31" s="69"/>
      <c r="K31" s="69"/>
      <c r="L31" s="56"/>
      <c r="M31" s="56"/>
      <c r="O31" s="551"/>
      <c r="P31" s="551"/>
      <c r="Q31" s="552"/>
    </row>
    <row r="32" spans="1:18" ht="11.25" customHeight="1">
      <c r="A32" s="56"/>
      <c r="B32" s="56"/>
      <c r="C32" s="69"/>
      <c r="D32" s="69"/>
      <c r="E32" s="69"/>
      <c r="F32" s="69"/>
      <c r="G32" s="69"/>
      <c r="H32" s="69"/>
      <c r="I32" s="69"/>
      <c r="J32" s="69"/>
      <c r="K32" s="69"/>
      <c r="L32" s="56"/>
      <c r="M32" s="56"/>
      <c r="Q32" s="479"/>
    </row>
    <row r="33" spans="1:17" ht="11.25" customHeight="1">
      <c r="A33" s="56"/>
      <c r="B33" s="56"/>
      <c r="C33" s="69"/>
      <c r="D33" s="69"/>
      <c r="E33" s="69"/>
      <c r="F33" s="69"/>
      <c r="G33" s="69"/>
      <c r="H33" s="69"/>
      <c r="I33" s="69"/>
      <c r="J33" s="69"/>
      <c r="K33" s="69"/>
      <c r="L33" s="56"/>
      <c r="M33" s="56"/>
      <c r="Q33" s="479"/>
    </row>
    <row r="34" spans="1:17" ht="11.25" customHeight="1">
      <c r="A34" s="56"/>
      <c r="B34" s="56"/>
      <c r="C34" s="69"/>
      <c r="D34" s="69"/>
      <c r="E34" s="69"/>
      <c r="F34" s="69"/>
      <c r="G34" s="69"/>
      <c r="H34" s="69"/>
      <c r="I34" s="69"/>
      <c r="J34" s="69"/>
      <c r="K34" s="69"/>
      <c r="L34" s="56"/>
      <c r="M34" s="56"/>
      <c r="Q34" s="479"/>
    </row>
    <row r="35" spans="1:17" ht="11.25" customHeight="1">
      <c r="A35" s="70"/>
      <c r="B35" s="70"/>
      <c r="C35" s="71"/>
      <c r="D35" s="71"/>
      <c r="E35" s="71"/>
      <c r="F35" s="71"/>
      <c r="G35" s="71"/>
      <c r="H35" s="71"/>
      <c r="I35" s="71"/>
      <c r="J35" s="70"/>
      <c r="K35" s="70"/>
      <c r="L35" s="70"/>
      <c r="M35" s="70"/>
      <c r="Q35" s="479"/>
    </row>
    <row r="36" spans="1:17" ht="11.25" customHeight="1">
      <c r="A36" s="70"/>
      <c r="B36" s="70"/>
      <c r="C36" s="71"/>
      <c r="D36" s="71"/>
      <c r="E36" s="71"/>
      <c r="F36" s="71"/>
      <c r="G36" s="71"/>
      <c r="H36" s="71"/>
      <c r="I36" s="71"/>
      <c r="J36" s="70"/>
      <c r="K36" s="70"/>
      <c r="L36" s="70"/>
      <c r="M36" s="70"/>
      <c r="Q36" s="479"/>
    </row>
    <row r="37" spans="1:17" ht="11.25" customHeight="1">
      <c r="A37" s="70"/>
      <c r="B37" s="70"/>
      <c r="C37" s="71"/>
      <c r="D37" s="71"/>
      <c r="E37" s="71"/>
      <c r="F37" s="71"/>
      <c r="G37" s="71"/>
      <c r="H37" s="71"/>
      <c r="I37" s="71"/>
      <c r="J37" s="70"/>
      <c r="K37" s="70"/>
      <c r="L37" s="70"/>
      <c r="M37" s="70"/>
      <c r="N37" s="432"/>
      <c r="O37" s="479"/>
      <c r="P37" s="479"/>
      <c r="Q37" s="479"/>
    </row>
    <row r="38" spans="1:17" ht="11.25" customHeight="1">
      <c r="A38" s="70"/>
      <c r="B38" s="70"/>
      <c r="C38" s="71"/>
      <c r="D38" s="71"/>
      <c r="E38" s="71"/>
      <c r="F38" s="71"/>
      <c r="G38" s="71"/>
      <c r="H38" s="71"/>
      <c r="I38" s="71"/>
      <c r="J38" s="70"/>
      <c r="K38" s="70"/>
      <c r="L38" s="70"/>
      <c r="M38" s="70"/>
      <c r="N38" s="432"/>
      <c r="O38" s="479"/>
      <c r="P38" s="479"/>
      <c r="Q38" s="479"/>
    </row>
    <row r="39" spans="1:17" ht="11.25" customHeight="1">
      <c r="A39" s="70"/>
      <c r="B39" s="70"/>
      <c r="C39" s="71"/>
      <c r="D39" s="71"/>
      <c r="E39" s="71"/>
      <c r="F39" s="71"/>
      <c r="G39" s="71"/>
      <c r="H39" s="71"/>
      <c r="I39" s="71"/>
      <c r="J39" s="70"/>
      <c r="K39" s="70"/>
      <c r="L39" s="70"/>
      <c r="M39" s="70"/>
      <c r="N39" s="432"/>
      <c r="O39" s="479"/>
      <c r="P39" s="479"/>
      <c r="Q39" s="479"/>
    </row>
    <row r="40" spans="1:17" ht="11.25" customHeight="1">
      <c r="A40" s="70"/>
      <c r="B40" s="70"/>
      <c r="C40" s="71"/>
      <c r="D40" s="71"/>
      <c r="E40" s="71"/>
      <c r="F40" s="71"/>
      <c r="G40" s="71"/>
      <c r="H40" s="71"/>
      <c r="I40" s="71"/>
      <c r="J40" s="70"/>
      <c r="K40" s="70"/>
      <c r="L40" s="70"/>
      <c r="M40" s="70"/>
      <c r="N40" s="432"/>
      <c r="O40" s="479"/>
      <c r="P40" s="479"/>
      <c r="Q40" s="479"/>
    </row>
    <row r="41" spans="1:17" ht="11.25" customHeight="1">
      <c r="A41" s="70"/>
      <c r="B41" s="70"/>
      <c r="C41" s="70"/>
      <c r="D41" s="71"/>
      <c r="E41" s="71"/>
      <c r="F41" s="71"/>
      <c r="G41" s="71"/>
      <c r="H41" s="70"/>
      <c r="I41" s="70"/>
      <c r="J41" s="70"/>
      <c r="K41" s="70"/>
      <c r="L41" s="70"/>
      <c r="M41" s="70"/>
      <c r="N41" s="432"/>
      <c r="O41" s="479"/>
      <c r="P41" s="479"/>
      <c r="Q41" s="479"/>
    </row>
    <row r="42" spans="1:17" ht="11.25" customHeight="1">
      <c r="A42" s="70"/>
      <c r="B42" s="70"/>
      <c r="C42" s="71"/>
      <c r="D42" s="71"/>
      <c r="E42" s="71"/>
      <c r="F42" s="71"/>
      <c r="G42" s="71"/>
      <c r="H42" s="71"/>
      <c r="I42" s="71"/>
      <c r="J42" s="70"/>
      <c r="K42" s="70"/>
      <c r="L42" s="70"/>
      <c r="M42" s="70"/>
      <c r="N42" s="432"/>
      <c r="O42" s="479"/>
      <c r="P42" s="479"/>
      <c r="Q42" s="479"/>
    </row>
    <row r="43" spans="1:17" ht="11.25" customHeight="1">
      <c r="A43" s="70"/>
      <c r="B43" s="70"/>
      <c r="C43" s="71"/>
      <c r="D43" s="71"/>
      <c r="E43" s="71"/>
      <c r="F43" s="71"/>
      <c r="G43" s="71"/>
      <c r="H43" s="71"/>
      <c r="I43" s="71"/>
      <c r="J43" s="70"/>
      <c r="K43" s="70"/>
      <c r="L43" s="70"/>
      <c r="M43" s="70"/>
      <c r="N43" s="432"/>
      <c r="O43" s="479"/>
      <c r="P43" s="479"/>
      <c r="Q43" s="479"/>
    </row>
    <row r="44" spans="1:17" ht="11.25" customHeight="1">
      <c r="A44" s="70"/>
      <c r="B44" s="70"/>
      <c r="C44" s="71"/>
      <c r="D44" s="71"/>
      <c r="E44" s="71"/>
      <c r="F44" s="71"/>
      <c r="G44" s="71"/>
      <c r="H44" s="71"/>
      <c r="I44" s="71"/>
      <c r="J44" s="70"/>
      <c r="K44" s="70"/>
      <c r="L44" s="70"/>
      <c r="M44" s="70"/>
      <c r="N44" s="432"/>
      <c r="O44" s="479"/>
      <c r="P44" s="479"/>
      <c r="Q44" s="479"/>
    </row>
    <row r="45" spans="1:17" ht="11.25" customHeight="1">
      <c r="A45" s="70"/>
      <c r="B45" s="70"/>
      <c r="C45" s="71"/>
      <c r="D45" s="71"/>
      <c r="E45" s="71"/>
      <c r="F45" s="71"/>
      <c r="G45" s="71"/>
      <c r="H45" s="71"/>
      <c r="I45" s="71"/>
      <c r="J45" s="70"/>
      <c r="K45" s="70"/>
      <c r="L45" s="70"/>
      <c r="M45" s="70"/>
      <c r="N45" s="432"/>
      <c r="O45" s="479"/>
      <c r="P45" s="479"/>
      <c r="Q45" s="479"/>
    </row>
    <row r="46" spans="1:17" ht="11.25" customHeight="1">
      <c r="A46" s="70"/>
      <c r="B46" s="70"/>
      <c r="C46" s="70"/>
      <c r="D46" s="70"/>
      <c r="E46" s="70"/>
      <c r="F46" s="70"/>
      <c r="G46" s="70"/>
      <c r="H46" s="70"/>
      <c r="I46" s="70"/>
      <c r="J46" s="70"/>
      <c r="K46" s="70"/>
      <c r="L46" s="70"/>
      <c r="M46" s="70"/>
      <c r="N46" s="432"/>
      <c r="O46" s="479"/>
      <c r="P46" s="479"/>
      <c r="Q46" s="479"/>
    </row>
    <row r="47" spans="1:17" ht="16.5" customHeight="1">
      <c r="A47" s="70"/>
      <c r="B47" s="879" t="str">
        <f>"Total = "&amp;TEXT(ROUND(SUM(O23:O29),2),"0 000,00")&amp;" GWh"</f>
        <v>Total = 4 221,87 GWh</v>
      </c>
      <c r="C47" s="879"/>
      <c r="D47" s="879"/>
      <c r="E47" s="879"/>
      <c r="F47" s="70"/>
      <c r="G47" s="70"/>
      <c r="H47" s="878" t="str">
        <f>"Total = "&amp;TEXT(ROUND(SUM(P23:P29),2),"0 000,00")&amp;" GWh"</f>
        <v>Total = 4 116,77 GWh</v>
      </c>
      <c r="I47" s="878"/>
      <c r="J47" s="878"/>
      <c r="K47" s="878"/>
      <c r="L47" s="70"/>
      <c r="M47" s="70"/>
      <c r="N47" s="432"/>
      <c r="O47" s="479"/>
      <c r="P47" s="479"/>
      <c r="Q47" s="479"/>
    </row>
    <row r="48" spans="1:17" ht="11.25" customHeight="1">
      <c r="H48" s="70"/>
      <c r="I48" s="70"/>
      <c r="J48" s="70"/>
      <c r="K48" s="70"/>
      <c r="L48" s="70"/>
      <c r="M48" s="70"/>
      <c r="N48" s="432"/>
      <c r="O48" s="479"/>
      <c r="P48" s="479"/>
      <c r="Q48" s="479"/>
    </row>
    <row r="49" spans="1:17" ht="11.25" customHeight="1">
      <c r="B49" s="875" t="str">
        <f>"Gráfico 1: Comparación de producción mensual de electricidad en "&amp;Q4&amp;" por tipo de recurso energético"</f>
        <v>Gráfico 1: Comparación de producción mensual de electricidad en agosto por tipo de recurso energético</v>
      </c>
      <c r="C49" s="875"/>
      <c r="D49" s="875"/>
      <c r="E49" s="875"/>
      <c r="F49" s="875"/>
      <c r="G49" s="875"/>
      <c r="H49" s="875"/>
      <c r="I49" s="875"/>
      <c r="J49" s="875"/>
      <c r="K49" s="875"/>
      <c r="L49" s="875"/>
      <c r="M49" s="317"/>
      <c r="N49" s="435"/>
      <c r="O49" s="479"/>
      <c r="P49" s="479"/>
      <c r="Q49" s="479"/>
    </row>
    <row r="50" spans="1:17" ht="11.25" customHeight="1">
      <c r="A50" s="70"/>
      <c r="B50" s="70"/>
      <c r="C50" s="57"/>
      <c r="D50" s="57"/>
      <c r="E50" s="70"/>
      <c r="F50" s="70"/>
      <c r="G50" s="70"/>
      <c r="H50" s="70"/>
      <c r="I50" s="70"/>
      <c r="J50" s="70"/>
      <c r="K50" s="70"/>
      <c r="L50" s="70"/>
      <c r="M50" s="70"/>
      <c r="N50" s="432"/>
      <c r="O50" s="479"/>
      <c r="P50" s="479"/>
      <c r="Q50" s="479"/>
    </row>
    <row r="51" spans="1:17" ht="11.25" customHeight="1">
      <c r="A51" s="70"/>
      <c r="B51" s="70"/>
      <c r="C51" s="70"/>
      <c r="D51" s="70"/>
      <c r="E51" s="70"/>
      <c r="F51" s="70"/>
      <c r="G51" s="70"/>
      <c r="H51" s="70"/>
      <c r="I51" s="70"/>
      <c r="J51" s="70"/>
      <c r="K51" s="70"/>
      <c r="L51" s="70"/>
      <c r="M51" s="70"/>
      <c r="N51" s="432"/>
      <c r="O51" s="479"/>
      <c r="P51" s="479"/>
      <c r="Q51" s="479"/>
    </row>
    <row r="52" spans="1:17" ht="11.25" customHeight="1">
      <c r="A52" s="70"/>
      <c r="B52" s="70"/>
      <c r="C52" s="70"/>
      <c r="D52" s="70"/>
      <c r="E52" s="70"/>
      <c r="F52" s="70"/>
      <c r="G52" s="70"/>
      <c r="H52" s="70"/>
      <c r="I52" s="70"/>
      <c r="J52" s="70"/>
      <c r="K52" s="70"/>
      <c r="L52" s="70"/>
      <c r="M52" s="70"/>
      <c r="N52" s="432"/>
      <c r="O52" s="479"/>
      <c r="P52" s="479"/>
      <c r="Q52" s="479"/>
    </row>
    <row r="53" spans="1:17" ht="11.25" customHeight="1">
      <c r="A53" s="70"/>
      <c r="B53" s="70"/>
      <c r="C53" s="70"/>
      <c r="D53" s="70"/>
      <c r="E53" s="70"/>
      <c r="F53" s="70"/>
      <c r="G53" s="70"/>
      <c r="H53" s="70"/>
      <c r="I53" s="70"/>
      <c r="J53" s="70"/>
      <c r="K53" s="70"/>
      <c r="L53" s="70"/>
      <c r="M53" s="70"/>
      <c r="N53" s="432"/>
      <c r="O53" s="479"/>
      <c r="P53" s="479"/>
      <c r="Q53" s="479"/>
    </row>
    <row r="54" spans="1:17" ht="11.25" customHeight="1">
      <c r="A54" s="11"/>
      <c r="B54" s="72"/>
      <c r="C54" s="72"/>
      <c r="D54" s="72"/>
      <c r="E54" s="72"/>
      <c r="F54" s="72"/>
      <c r="G54" s="72"/>
      <c r="H54" s="72"/>
      <c r="I54" s="72"/>
      <c r="J54" s="72"/>
      <c r="K54" s="73"/>
      <c r="L54" s="74"/>
    </row>
    <row r="55" spans="1:17" ht="11.25" customHeight="1">
      <c r="A55" s="11"/>
      <c r="B55" s="72"/>
      <c r="C55" s="72"/>
      <c r="D55" s="72"/>
      <c r="E55" s="72"/>
      <c r="F55" s="72"/>
      <c r="G55" s="72"/>
      <c r="H55" s="72"/>
      <c r="I55" s="72"/>
      <c r="J55" s="72"/>
      <c r="K55" s="73"/>
      <c r="L55" s="74"/>
    </row>
    <row r="56" spans="1:17" ht="11.25" customHeight="1">
      <c r="A56" s="75"/>
      <c r="B56" s="75"/>
      <c r="C56" s="75"/>
      <c r="D56" s="75"/>
      <c r="E56" s="75"/>
      <c r="F56" s="75"/>
      <c r="G56" s="75"/>
      <c r="H56" s="75"/>
      <c r="I56" s="75"/>
      <c r="J56" s="75"/>
      <c r="K56" s="75"/>
      <c r="L56" s="75"/>
    </row>
    <row r="57" spans="1:17" ht="11.25" customHeight="1">
      <c r="A57" s="76"/>
      <c r="B57" s="76"/>
      <c r="C57" s="76"/>
      <c r="D57" s="76"/>
      <c r="E57" s="76"/>
      <c r="F57" s="76"/>
      <c r="G57" s="76"/>
      <c r="H57" s="76"/>
      <c r="I57" s="76"/>
      <c r="J57" s="76"/>
      <c r="K57" s="76"/>
      <c r="L57" s="76"/>
    </row>
    <row r="58" spans="1:17" ht="11.25" customHeight="1">
      <c r="A58" s="76"/>
      <c r="B58" s="76"/>
      <c r="C58" s="76"/>
      <c r="D58" s="76"/>
      <c r="E58" s="76"/>
      <c r="F58" s="76"/>
      <c r="G58" s="76"/>
      <c r="H58" s="76"/>
      <c r="I58" s="76"/>
      <c r="J58" s="76"/>
      <c r="K58" s="76"/>
      <c r="L58" s="76"/>
    </row>
    <row r="59" spans="1:17" ht="11.25" customHeight="1">
      <c r="A59" s="76"/>
      <c r="B59" s="76"/>
      <c r="C59" s="76"/>
      <c r="D59" s="76"/>
      <c r="E59" s="76"/>
      <c r="F59" s="76"/>
      <c r="G59" s="76"/>
      <c r="H59" s="76"/>
      <c r="I59" s="76"/>
      <c r="J59" s="76"/>
      <c r="K59" s="76"/>
      <c r="L59" s="76"/>
    </row>
    <row r="60" spans="1:17" ht="11.25" customHeight="1">
      <c r="A60" s="76"/>
      <c r="B60" s="76"/>
      <c r="C60" s="76"/>
      <c r="D60" s="76"/>
      <c r="E60" s="76"/>
      <c r="F60" s="76"/>
      <c r="G60" s="76"/>
      <c r="H60" s="76"/>
      <c r="I60" s="76"/>
      <c r="J60" s="76"/>
      <c r="K60" s="76"/>
      <c r="L60" s="76"/>
    </row>
    <row r="61" spans="1:17" ht="12">
      <c r="A61" s="76"/>
      <c r="B61" s="76"/>
      <c r="C61" s="76"/>
      <c r="D61" s="76"/>
      <c r="E61" s="76"/>
      <c r="F61" s="76"/>
      <c r="G61" s="76"/>
      <c r="H61" s="76"/>
      <c r="I61" s="76"/>
      <c r="J61" s="76"/>
      <c r="K61" s="76"/>
      <c r="L61" s="76"/>
    </row>
    <row r="62" spans="1:17" ht="12">
      <c r="A62" s="76"/>
      <c r="B62" s="76"/>
      <c r="C62" s="76"/>
      <c r="D62" s="76"/>
      <c r="E62" s="76"/>
      <c r="F62" s="76"/>
      <c r="G62" s="76"/>
      <c r="H62" s="76"/>
      <c r="I62" s="76"/>
      <c r="J62" s="76"/>
      <c r="K62" s="76"/>
      <c r="L62" s="76"/>
    </row>
    <row r="63" spans="1:17" ht="12">
      <c r="A63" s="76"/>
      <c r="B63" s="76"/>
      <c r="C63" s="76"/>
      <c r="D63" s="76"/>
      <c r="E63" s="76"/>
      <c r="F63" s="76"/>
      <c r="G63" s="76"/>
      <c r="H63" s="76"/>
      <c r="I63" s="76"/>
      <c r="J63" s="76"/>
      <c r="K63" s="76"/>
      <c r="L63" s="76"/>
    </row>
    <row r="64" spans="1:17" ht="12">
      <c r="A64" s="76"/>
      <c r="B64" s="76"/>
      <c r="C64" s="76"/>
      <c r="D64" s="76"/>
      <c r="E64" s="76"/>
      <c r="F64" s="76"/>
      <c r="G64" s="76"/>
      <c r="H64" s="76"/>
      <c r="I64" s="76"/>
      <c r="J64" s="76"/>
      <c r="K64" s="76"/>
      <c r="L64" s="76"/>
    </row>
    <row r="65" spans="1:12" ht="12">
      <c r="A65" s="76"/>
      <c r="B65" s="76"/>
      <c r="C65" s="76"/>
      <c r="D65" s="76"/>
      <c r="E65" s="76"/>
      <c r="F65" s="76"/>
      <c r="G65" s="76"/>
      <c r="H65" s="76"/>
      <c r="I65" s="76"/>
      <c r="J65" s="76"/>
      <c r="K65" s="76"/>
      <c r="L65" s="76"/>
    </row>
    <row r="66" spans="1:12" ht="12">
      <c r="A66" s="76"/>
      <c r="B66" s="76"/>
      <c r="C66" s="76"/>
      <c r="D66" s="76"/>
      <c r="E66" s="76"/>
      <c r="F66" s="76"/>
      <c r="G66" s="76"/>
      <c r="H66" s="76"/>
      <c r="I66" s="76"/>
      <c r="J66" s="76"/>
      <c r="K66" s="76"/>
      <c r="L66" s="76"/>
    </row>
    <row r="67" spans="1:12" ht="12">
      <c r="A67" s="76"/>
      <c r="B67" s="76"/>
      <c r="C67" s="76"/>
      <c r="D67" s="76"/>
      <c r="E67" s="76"/>
      <c r="F67" s="76"/>
      <c r="G67" s="76"/>
      <c r="H67" s="76"/>
      <c r="I67" s="76"/>
      <c r="J67" s="76"/>
      <c r="K67" s="76"/>
      <c r="L67" s="76"/>
    </row>
  </sheetData>
  <mergeCells count="11">
    <mergeCell ref="A1:M1"/>
    <mergeCell ref="B49:L49"/>
    <mergeCell ref="C20:D20"/>
    <mergeCell ref="H47:K47"/>
    <mergeCell ref="B47:E47"/>
    <mergeCell ref="I20:K20"/>
    <mergeCell ref="B18:M18"/>
    <mergeCell ref="B12:M12"/>
    <mergeCell ref="B14:M14"/>
    <mergeCell ref="B16:M16"/>
    <mergeCell ref="C3:J3"/>
  </mergeCells>
  <pageMargins left="0.5803571428571429" right="0.38690476190476192" top="0.83333333333333337" bottom="0.64950980392156865" header="0.3" footer="0.3"/>
  <pageSetup orientation="portrait" r:id="rId1"/>
  <headerFooter>
    <oddHeader>&amp;R&amp;7Informe de la Operación Mensual - Agosto 2018
INFSGI-MES-08-2018
10/09/2018
Versión: 01</oddHeader>
    <oddFooter>&amp;LCOES, 2018&amp;C1&amp;RDirección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30917-C62A-4DA6-967C-AD9CC3FC7C9B}">
  <sheetPr>
    <tabColor theme="4"/>
  </sheetPr>
  <dimension ref="A1:J143"/>
  <sheetViews>
    <sheetView showGridLines="0" view="pageBreakPreview" zoomScale="145" zoomScaleNormal="100" zoomScaleSheetLayoutView="145" zoomScalePageLayoutView="145" workbookViewId="0">
      <selection activeCell="Q15" sqref="Q15"/>
    </sheetView>
  </sheetViews>
  <sheetFormatPr defaultRowHeight="9"/>
  <cols>
    <col min="1" max="1" width="16.1640625" style="408" customWidth="1"/>
    <col min="2" max="2" width="19.6640625" style="408" customWidth="1"/>
    <col min="3" max="3" width="12.16406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30" customHeight="1">
      <c r="A1" s="850" t="s">
        <v>284</v>
      </c>
      <c r="B1" s="851" t="s">
        <v>464</v>
      </c>
      <c r="C1" s="850" t="s">
        <v>453</v>
      </c>
      <c r="D1" s="852" t="s">
        <v>465</v>
      </c>
      <c r="E1" s="853" t="s">
        <v>466</v>
      </c>
      <c r="F1" s="853" t="s">
        <v>467</v>
      </c>
      <c r="G1" s="397"/>
      <c r="H1" s="409"/>
      <c r="I1" s="395"/>
    </row>
    <row r="2" spans="1:9" s="408" customFormat="1" ht="89.25" customHeight="1">
      <c r="A2" s="423" t="s">
        <v>97</v>
      </c>
      <c r="B2" s="423" t="s">
        <v>646</v>
      </c>
      <c r="C2" s="424">
        <v>43337.636805555558</v>
      </c>
      <c r="D2" s="559" t="s">
        <v>647</v>
      </c>
      <c r="E2" s="425"/>
      <c r="F2" s="425">
        <v>9.9</v>
      </c>
      <c r="G2" s="396"/>
      <c r="H2" s="396"/>
      <c r="I2" s="414"/>
    </row>
    <row r="3" spans="1:9" s="408" customFormat="1" ht="92.25" customHeight="1">
      <c r="A3" s="423" t="s">
        <v>472</v>
      </c>
      <c r="B3" s="423" t="s">
        <v>648</v>
      </c>
      <c r="C3" s="424">
        <v>43338.511111111111</v>
      </c>
      <c r="D3" s="559" t="s">
        <v>649</v>
      </c>
      <c r="E3" s="425">
        <v>0.97</v>
      </c>
      <c r="F3" s="425"/>
      <c r="G3" s="396"/>
      <c r="H3" s="396"/>
      <c r="I3" s="412"/>
    </row>
    <row r="4" spans="1:9" s="408" customFormat="1" ht="93.75" customHeight="1">
      <c r="A4" s="423" t="s">
        <v>472</v>
      </c>
      <c r="B4" s="423" t="s">
        <v>648</v>
      </c>
      <c r="C4" s="424">
        <v>43338.525000000001</v>
      </c>
      <c r="D4" s="559" t="s">
        <v>650</v>
      </c>
      <c r="E4" s="425">
        <v>1.29</v>
      </c>
      <c r="F4" s="425"/>
      <c r="G4" s="396"/>
      <c r="H4" s="396"/>
      <c r="I4" s="412"/>
    </row>
    <row r="5" spans="1:9" s="408" customFormat="1" ht="86.25" customHeight="1">
      <c r="A5" s="423" t="s">
        <v>472</v>
      </c>
      <c r="B5" s="423" t="s">
        <v>648</v>
      </c>
      <c r="C5" s="424">
        <v>43338.573611111111</v>
      </c>
      <c r="D5" s="559" t="s">
        <v>651</v>
      </c>
      <c r="E5" s="425">
        <v>1.25</v>
      </c>
      <c r="F5" s="425"/>
      <c r="G5" s="396"/>
      <c r="H5" s="396"/>
      <c r="I5" s="412"/>
    </row>
    <row r="6" spans="1:9" s="408" customFormat="1" ht="102.75" customHeight="1">
      <c r="A6" s="423" t="s">
        <v>472</v>
      </c>
      <c r="B6" s="423" t="s">
        <v>648</v>
      </c>
      <c r="C6" s="424">
        <v>43338.584722222222</v>
      </c>
      <c r="D6" s="559" t="s">
        <v>652</v>
      </c>
      <c r="E6" s="425">
        <v>0.69</v>
      </c>
      <c r="F6" s="425"/>
      <c r="G6" s="396"/>
      <c r="H6" s="396"/>
      <c r="I6" s="412"/>
    </row>
    <row r="7" spans="1:9" s="408" customFormat="1" ht="112.5" customHeight="1">
      <c r="A7" s="423" t="s">
        <v>653</v>
      </c>
      <c r="B7" s="423" t="s">
        <v>654</v>
      </c>
      <c r="C7" s="424">
        <v>43339.03402777778</v>
      </c>
      <c r="D7" s="559" t="s">
        <v>655</v>
      </c>
      <c r="E7" s="425">
        <v>13.52</v>
      </c>
      <c r="F7" s="425"/>
      <c r="G7" s="396"/>
      <c r="H7" s="398"/>
      <c r="I7" s="412"/>
    </row>
    <row r="8" spans="1:9" ht="94.5" customHeight="1">
      <c r="A8" s="423" t="s">
        <v>656</v>
      </c>
      <c r="B8" s="423" t="s">
        <v>657</v>
      </c>
      <c r="C8" s="424">
        <v>43339.484722222223</v>
      </c>
      <c r="D8" s="559" t="s">
        <v>658</v>
      </c>
      <c r="E8" s="425">
        <v>0.26</v>
      </c>
      <c r="F8" s="425"/>
    </row>
    <row r="9" spans="1:9">
      <c r="E9" s="418"/>
      <c r="F9" s="418"/>
    </row>
    <row r="10" spans="1:9">
      <c r="E10" s="418"/>
      <c r="F10" s="418"/>
    </row>
    <row r="11" spans="1:9">
      <c r="E11" s="418"/>
      <c r="F11" s="418"/>
    </row>
    <row r="12" spans="1:9">
      <c r="E12" s="418"/>
      <c r="F12" s="418"/>
    </row>
    <row r="13" spans="1:9">
      <c r="E13" s="418"/>
      <c r="F13" s="418"/>
    </row>
    <row r="14" spans="1:9">
      <c r="E14" s="418"/>
      <c r="F14" s="418"/>
    </row>
    <row r="15" spans="1:9">
      <c r="E15" s="418"/>
      <c r="F15" s="418"/>
    </row>
    <row r="16" spans="1:9">
      <c r="E16" s="418"/>
      <c r="F16" s="418"/>
    </row>
    <row r="17" spans="5:6">
      <c r="E17" s="418"/>
      <c r="F17" s="418"/>
    </row>
    <row r="18" spans="5:6">
      <c r="E18" s="418"/>
      <c r="F18" s="418"/>
    </row>
    <row r="19" spans="5:6">
      <c r="E19" s="418"/>
      <c r="F19" s="418"/>
    </row>
    <row r="20" spans="5:6">
      <c r="E20" s="418"/>
      <c r="F20" s="418"/>
    </row>
    <row r="21" spans="5:6">
      <c r="E21" s="418"/>
      <c r="F21" s="418"/>
    </row>
    <row r="22" spans="5:6">
      <c r="E22" s="418"/>
      <c r="F22" s="418"/>
    </row>
    <row r="23" spans="5:6">
      <c r="E23" s="418"/>
      <c r="F23" s="418"/>
    </row>
    <row r="24" spans="5:6">
      <c r="E24" s="418"/>
      <c r="F24" s="418"/>
    </row>
    <row r="25" spans="5:6">
      <c r="E25" s="418"/>
      <c r="F25" s="418"/>
    </row>
    <row r="26" spans="5:6">
      <c r="E26" s="418"/>
      <c r="F26" s="418"/>
    </row>
    <row r="27" spans="5:6">
      <c r="E27" s="418"/>
      <c r="F27" s="418"/>
    </row>
    <row r="28" spans="5:6">
      <c r="E28" s="418"/>
      <c r="F28" s="418"/>
    </row>
    <row r="29" spans="5:6">
      <c r="E29" s="418"/>
      <c r="F29" s="418"/>
    </row>
    <row r="30" spans="5:6">
      <c r="E30" s="418"/>
      <c r="F30" s="418"/>
    </row>
    <row r="31" spans="5:6">
      <c r="E31" s="418"/>
      <c r="F31" s="418"/>
    </row>
    <row r="32" spans="5:6">
      <c r="E32" s="418"/>
      <c r="F32" s="418"/>
    </row>
    <row r="33" spans="5:6">
      <c r="E33" s="418"/>
      <c r="F33" s="418"/>
    </row>
    <row r="34" spans="5:6">
      <c r="E34" s="418"/>
      <c r="F34" s="418"/>
    </row>
    <row r="35" spans="5:6">
      <c r="E35" s="418"/>
      <c r="F35" s="418"/>
    </row>
    <row r="36" spans="5:6">
      <c r="E36" s="418"/>
      <c r="F36" s="418"/>
    </row>
    <row r="37" spans="5:6">
      <c r="E37" s="418"/>
      <c r="F37" s="418"/>
    </row>
    <row r="38" spans="5:6">
      <c r="E38" s="418"/>
      <c r="F38" s="418"/>
    </row>
    <row r="39" spans="5:6">
      <c r="E39" s="418"/>
      <c r="F39" s="418"/>
    </row>
    <row r="40" spans="5:6">
      <c r="E40" s="418"/>
      <c r="F40" s="418"/>
    </row>
    <row r="41" spans="5:6">
      <c r="E41" s="418"/>
      <c r="F41" s="418"/>
    </row>
    <row r="42" spans="5:6">
      <c r="E42" s="418"/>
      <c r="F42" s="418"/>
    </row>
    <row r="43" spans="5:6">
      <c r="E43" s="418"/>
      <c r="F43" s="418"/>
    </row>
    <row r="44" spans="5:6">
      <c r="E44" s="418"/>
      <c r="F44" s="418"/>
    </row>
    <row r="45" spans="5:6">
      <c r="E45" s="418"/>
      <c r="F45" s="418"/>
    </row>
    <row r="46" spans="5:6">
      <c r="E46" s="418"/>
      <c r="F46" s="418"/>
    </row>
    <row r="47" spans="5:6">
      <c r="E47" s="418"/>
      <c r="F47" s="418"/>
    </row>
    <row r="48" spans="5:6">
      <c r="E48" s="418"/>
      <c r="F48" s="418"/>
    </row>
    <row r="49" spans="5:6">
      <c r="E49" s="418"/>
      <c r="F49" s="418"/>
    </row>
    <row r="50" spans="5:6">
      <c r="E50" s="418"/>
      <c r="F50" s="418"/>
    </row>
    <row r="51" spans="5:6">
      <c r="E51" s="418"/>
      <c r="F51" s="418"/>
    </row>
    <row r="52" spans="5:6">
      <c r="E52" s="418"/>
      <c r="F52" s="418"/>
    </row>
    <row r="53" spans="5:6">
      <c r="E53" s="418"/>
      <c r="F53" s="418"/>
    </row>
    <row r="54" spans="5:6">
      <c r="E54" s="418"/>
      <c r="F54" s="418"/>
    </row>
    <row r="55" spans="5:6">
      <c r="E55" s="418"/>
      <c r="F55" s="418"/>
    </row>
    <row r="56" spans="5:6">
      <c r="E56" s="418"/>
      <c r="F56" s="418"/>
    </row>
    <row r="57" spans="5:6">
      <c r="E57" s="418"/>
      <c r="F57" s="418"/>
    </row>
    <row r="58" spans="5:6">
      <c r="E58" s="418"/>
      <c r="F58" s="418"/>
    </row>
    <row r="59" spans="5:6">
      <c r="E59" s="418"/>
      <c r="F59" s="418"/>
    </row>
    <row r="60" spans="5:6">
      <c r="E60" s="418"/>
      <c r="F60" s="418"/>
    </row>
    <row r="61" spans="5:6">
      <c r="E61" s="418"/>
      <c r="F61" s="418"/>
    </row>
    <row r="62" spans="5:6">
      <c r="E62" s="418"/>
      <c r="F62" s="418"/>
    </row>
    <row r="63" spans="5:6">
      <c r="E63" s="418"/>
      <c r="F63" s="418"/>
    </row>
    <row r="64" spans="5:6">
      <c r="E64" s="418"/>
      <c r="F64" s="418"/>
    </row>
    <row r="65" spans="5:6">
      <c r="E65" s="418"/>
      <c r="F65" s="418"/>
    </row>
    <row r="66" spans="5:6">
      <c r="E66" s="418"/>
      <c r="F66" s="418"/>
    </row>
    <row r="67" spans="5:6">
      <c r="E67" s="418"/>
      <c r="F67" s="418"/>
    </row>
    <row r="68" spans="5:6">
      <c r="E68" s="418"/>
      <c r="F68" s="418"/>
    </row>
    <row r="69" spans="5:6">
      <c r="E69" s="418"/>
      <c r="F69" s="418"/>
    </row>
    <row r="70" spans="5:6">
      <c r="E70" s="418"/>
      <c r="F70" s="418"/>
    </row>
    <row r="71" spans="5:6">
      <c r="E71" s="418"/>
      <c r="F71" s="418"/>
    </row>
    <row r="72" spans="5:6">
      <c r="E72" s="418"/>
      <c r="F72" s="418"/>
    </row>
    <row r="73" spans="5:6">
      <c r="E73" s="418"/>
      <c r="F73" s="418"/>
    </row>
    <row r="74" spans="5:6">
      <c r="E74" s="418"/>
      <c r="F74" s="418"/>
    </row>
    <row r="75" spans="5:6">
      <c r="E75" s="418"/>
      <c r="F75" s="418"/>
    </row>
    <row r="76" spans="5:6">
      <c r="E76" s="418"/>
      <c r="F76" s="418"/>
    </row>
    <row r="77" spans="5:6">
      <c r="E77" s="418"/>
      <c r="F77" s="418"/>
    </row>
    <row r="78" spans="5:6">
      <c r="E78" s="418"/>
      <c r="F78" s="418"/>
    </row>
    <row r="79" spans="5:6">
      <c r="E79" s="418"/>
      <c r="F79" s="418"/>
    </row>
    <row r="80" spans="5:6">
      <c r="E80" s="418"/>
      <c r="F80" s="418"/>
    </row>
    <row r="81" spans="5:6">
      <c r="E81" s="418"/>
      <c r="F81" s="418"/>
    </row>
    <row r="82" spans="5:6">
      <c r="E82" s="418"/>
      <c r="F82" s="418"/>
    </row>
    <row r="83" spans="5:6">
      <c r="E83" s="418"/>
      <c r="F83" s="418"/>
    </row>
    <row r="84" spans="5:6">
      <c r="E84" s="418"/>
      <c r="F84" s="418"/>
    </row>
    <row r="85" spans="5:6">
      <c r="E85" s="418"/>
      <c r="F85" s="418"/>
    </row>
    <row r="86" spans="5:6">
      <c r="E86" s="418"/>
      <c r="F86" s="418"/>
    </row>
    <row r="87" spans="5:6">
      <c r="E87" s="418"/>
      <c r="F87" s="418"/>
    </row>
    <row r="88" spans="5:6">
      <c r="E88" s="418"/>
      <c r="F88" s="418"/>
    </row>
    <row r="89" spans="5:6">
      <c r="E89" s="418"/>
      <c r="F89" s="418"/>
    </row>
    <row r="90" spans="5:6">
      <c r="E90" s="418"/>
      <c r="F90" s="418"/>
    </row>
    <row r="91" spans="5:6">
      <c r="E91" s="418"/>
      <c r="F91" s="418"/>
    </row>
    <row r="92" spans="5:6">
      <c r="E92" s="418"/>
      <c r="F92" s="418"/>
    </row>
    <row r="93" spans="5:6">
      <c r="E93" s="418"/>
      <c r="F93" s="418"/>
    </row>
    <row r="94" spans="5:6">
      <c r="E94" s="418"/>
      <c r="F94" s="418"/>
    </row>
    <row r="95" spans="5:6">
      <c r="E95" s="418"/>
      <c r="F95" s="418"/>
    </row>
    <row r="96" spans="5:6">
      <c r="E96" s="418"/>
      <c r="F96" s="418"/>
    </row>
    <row r="97" spans="5:6">
      <c r="E97" s="418"/>
      <c r="F97" s="418"/>
    </row>
    <row r="98" spans="5:6">
      <c r="E98" s="418"/>
      <c r="F98" s="418"/>
    </row>
    <row r="99" spans="5:6">
      <c r="E99" s="418"/>
      <c r="F99" s="418"/>
    </row>
    <row r="100" spans="5:6">
      <c r="E100" s="418"/>
      <c r="F100" s="418"/>
    </row>
    <row r="101" spans="5:6">
      <c r="E101" s="418"/>
      <c r="F101" s="418"/>
    </row>
    <row r="102" spans="5:6">
      <c r="E102" s="418"/>
      <c r="F102" s="418"/>
    </row>
    <row r="103" spans="5:6">
      <c r="E103" s="418"/>
      <c r="F103" s="418"/>
    </row>
    <row r="104" spans="5:6">
      <c r="E104" s="418"/>
      <c r="F104" s="418"/>
    </row>
    <row r="105" spans="5:6">
      <c r="E105" s="418"/>
      <c r="F105" s="418"/>
    </row>
    <row r="106" spans="5:6">
      <c r="E106" s="418"/>
      <c r="F106" s="418"/>
    </row>
    <row r="107" spans="5:6">
      <c r="E107" s="418"/>
      <c r="F107" s="418"/>
    </row>
    <row r="108" spans="5:6">
      <c r="E108" s="418"/>
      <c r="F108" s="418"/>
    </row>
    <row r="109" spans="5:6">
      <c r="E109" s="418"/>
      <c r="F109" s="418"/>
    </row>
    <row r="110" spans="5:6">
      <c r="E110" s="418"/>
      <c r="F110" s="418"/>
    </row>
    <row r="111" spans="5:6">
      <c r="E111" s="418"/>
      <c r="F111" s="418"/>
    </row>
    <row r="112" spans="5:6">
      <c r="E112" s="418"/>
      <c r="F112" s="418"/>
    </row>
    <row r="113" spans="5:6">
      <c r="E113" s="418"/>
      <c r="F113" s="418"/>
    </row>
    <row r="114" spans="5:6">
      <c r="E114" s="418"/>
      <c r="F114" s="418"/>
    </row>
    <row r="115" spans="5:6">
      <c r="E115" s="418"/>
      <c r="F115" s="418"/>
    </row>
    <row r="116" spans="5:6">
      <c r="E116" s="418"/>
      <c r="F116" s="418"/>
    </row>
    <row r="117" spans="5:6">
      <c r="E117" s="418"/>
      <c r="F117" s="418"/>
    </row>
    <row r="118" spans="5:6">
      <c r="E118" s="418"/>
      <c r="F118" s="418"/>
    </row>
    <row r="119" spans="5:6">
      <c r="E119" s="418"/>
      <c r="F119" s="418"/>
    </row>
    <row r="120" spans="5:6">
      <c r="E120" s="418"/>
      <c r="F120" s="418"/>
    </row>
    <row r="121" spans="5:6">
      <c r="E121" s="418"/>
      <c r="F121" s="418"/>
    </row>
    <row r="122" spans="5:6">
      <c r="E122" s="418"/>
      <c r="F122" s="418"/>
    </row>
    <row r="123" spans="5:6">
      <c r="E123" s="418"/>
      <c r="F123" s="418"/>
    </row>
    <row r="124" spans="5:6">
      <c r="E124" s="418"/>
      <c r="F124" s="418"/>
    </row>
    <row r="125" spans="5:6">
      <c r="E125" s="418"/>
      <c r="F125" s="418"/>
    </row>
    <row r="126" spans="5:6">
      <c r="E126" s="418"/>
      <c r="F126" s="418"/>
    </row>
    <row r="127" spans="5:6">
      <c r="E127" s="418"/>
      <c r="F127" s="418"/>
    </row>
    <row r="128" spans="5:6">
      <c r="E128" s="418"/>
      <c r="F128" s="418"/>
    </row>
    <row r="129" spans="5:6">
      <c r="E129" s="418"/>
      <c r="F129" s="418"/>
    </row>
    <row r="130" spans="5:6">
      <c r="E130" s="418"/>
      <c r="F130" s="418"/>
    </row>
    <row r="131" spans="5:6">
      <c r="E131" s="418"/>
      <c r="F131" s="418"/>
    </row>
    <row r="132" spans="5:6">
      <c r="E132" s="418"/>
      <c r="F132" s="418"/>
    </row>
    <row r="133" spans="5:6">
      <c r="E133" s="418"/>
      <c r="F133" s="418"/>
    </row>
    <row r="134" spans="5:6">
      <c r="E134" s="418"/>
      <c r="F134" s="418"/>
    </row>
    <row r="135" spans="5:6">
      <c r="E135" s="418"/>
      <c r="F135" s="418"/>
    </row>
    <row r="136" spans="5:6">
      <c r="E136" s="418"/>
      <c r="F136" s="418"/>
    </row>
    <row r="137" spans="5:6">
      <c r="E137" s="418"/>
      <c r="F137" s="418"/>
    </row>
    <row r="138" spans="5:6">
      <c r="E138" s="418"/>
      <c r="F138" s="418"/>
    </row>
    <row r="139" spans="5:6">
      <c r="E139" s="418"/>
      <c r="F139" s="418"/>
    </row>
    <row r="140" spans="5:6">
      <c r="E140" s="418"/>
      <c r="F140" s="418"/>
    </row>
    <row r="141" spans="5:6">
      <c r="E141" s="418"/>
      <c r="F141" s="418"/>
    </row>
    <row r="142" spans="5:6">
      <c r="E142" s="418"/>
      <c r="F142" s="418"/>
    </row>
    <row r="143" spans="5:6">
      <c r="E143" s="418"/>
      <c r="F143" s="418"/>
    </row>
  </sheetData>
  <pageMargins left="0.7" right="0.51432291666666663" top="0.86956521739130432" bottom="0.61458333333333337" header="0.3" footer="0.3"/>
  <pageSetup orientation="portrait" r:id="rId1"/>
  <headerFooter>
    <oddHeader>&amp;R&amp;7Informe de la Operación Mensual - Agosto 2018
INFSGI-MES-08-2018
10/09/2018
Versión: 01</oddHeader>
    <oddFooter>&amp;L&amp;7COES, 2018&amp;C28&amp;R&amp;7Dirección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10DEA-92F4-4DE2-8E70-52B58FC201E2}">
  <sheetPr>
    <tabColor theme="4"/>
  </sheetPr>
  <dimension ref="A1:J149"/>
  <sheetViews>
    <sheetView showGridLines="0" view="pageBreakPreview" zoomScale="145" zoomScaleNormal="100" zoomScaleSheetLayoutView="145" zoomScalePageLayoutView="145" workbookViewId="0">
      <selection activeCell="Q15" sqref="Q15"/>
    </sheetView>
  </sheetViews>
  <sheetFormatPr defaultRowHeight="9"/>
  <cols>
    <col min="1" max="1" width="16.1640625" style="408" customWidth="1"/>
    <col min="2" max="2" width="19.6640625" style="408" customWidth="1"/>
    <col min="3" max="3" width="12.16406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30" customHeight="1">
      <c r="A1" s="850" t="s">
        <v>284</v>
      </c>
      <c r="B1" s="851" t="s">
        <v>464</v>
      </c>
      <c r="C1" s="850" t="s">
        <v>453</v>
      </c>
      <c r="D1" s="852" t="s">
        <v>465</v>
      </c>
      <c r="E1" s="853" t="s">
        <v>466</v>
      </c>
      <c r="F1" s="853" t="s">
        <v>467</v>
      </c>
      <c r="G1" s="397"/>
      <c r="H1" s="409"/>
      <c r="I1" s="395"/>
    </row>
    <row r="2" spans="1:9" s="408" customFormat="1" ht="93" customHeight="1">
      <c r="A2" s="423" t="s">
        <v>659</v>
      </c>
      <c r="B2" s="423" t="s">
        <v>660</v>
      </c>
      <c r="C2" s="424">
        <v>43341.315972222219</v>
      </c>
      <c r="D2" s="559" t="s">
        <v>661</v>
      </c>
      <c r="E2" s="425">
        <v>4.5</v>
      </c>
      <c r="F2" s="425"/>
      <c r="G2" s="396"/>
      <c r="H2" s="398"/>
      <c r="I2" s="412"/>
    </row>
    <row r="3" spans="1:9" s="408" customFormat="1" ht="93" customHeight="1">
      <c r="A3" s="423" t="s">
        <v>97</v>
      </c>
      <c r="B3" s="423" t="s">
        <v>662</v>
      </c>
      <c r="C3" s="424">
        <v>43341.421527777777</v>
      </c>
      <c r="D3" s="559" t="s">
        <v>663</v>
      </c>
      <c r="E3" s="425"/>
      <c r="F3" s="425">
        <v>2.38</v>
      </c>
      <c r="G3" s="396"/>
      <c r="H3" s="398"/>
      <c r="I3" s="412"/>
    </row>
    <row r="4" spans="1:9" s="408" customFormat="1" ht="102" customHeight="1">
      <c r="A4" s="423" t="s">
        <v>472</v>
      </c>
      <c r="B4" s="423" t="s">
        <v>664</v>
      </c>
      <c r="C4" s="424">
        <v>43342.29791666667</v>
      </c>
      <c r="D4" s="559" t="s">
        <v>665</v>
      </c>
      <c r="E4" s="425">
        <v>0.79</v>
      </c>
      <c r="F4" s="425"/>
      <c r="G4" s="396"/>
      <c r="H4" s="398"/>
      <c r="I4" s="412"/>
    </row>
    <row r="5" spans="1:9" s="408" customFormat="1" ht="101.25" customHeight="1">
      <c r="A5" s="423" t="s">
        <v>472</v>
      </c>
      <c r="B5" s="423" t="s">
        <v>666</v>
      </c>
      <c r="C5" s="424">
        <v>43342.509722222225</v>
      </c>
      <c r="D5" s="559" t="s">
        <v>667</v>
      </c>
      <c r="E5" s="425"/>
      <c r="F5" s="425">
        <v>2</v>
      </c>
      <c r="G5" s="396"/>
      <c r="H5" s="398"/>
      <c r="I5" s="412"/>
    </row>
    <row r="6" spans="1:9" s="408" customFormat="1" ht="106.5" customHeight="1">
      <c r="A6" s="423" t="s">
        <v>472</v>
      </c>
      <c r="B6" s="423" t="s">
        <v>664</v>
      </c>
      <c r="C6" s="424">
        <v>43343.656944444447</v>
      </c>
      <c r="D6" s="559" t="s">
        <v>668</v>
      </c>
      <c r="E6" s="425">
        <v>1.2</v>
      </c>
      <c r="F6" s="425"/>
      <c r="G6" s="396"/>
      <c r="H6" s="398"/>
      <c r="I6" s="415"/>
    </row>
    <row r="7" spans="1:9" s="408" customFormat="1" ht="13.5" customHeight="1">
      <c r="A7" s="611"/>
      <c r="B7" s="611"/>
      <c r="C7" s="612"/>
      <c r="D7" s="613"/>
      <c r="E7" s="614"/>
      <c r="F7" s="614"/>
      <c r="G7" s="396"/>
      <c r="H7" s="398"/>
      <c r="I7" s="412"/>
    </row>
    <row r="8" spans="1:9" ht="13.5" customHeight="1">
      <c r="A8" s="611"/>
      <c r="B8" s="611"/>
      <c r="C8" s="612"/>
      <c r="D8" s="613"/>
      <c r="E8" s="614"/>
      <c r="F8" s="614"/>
    </row>
    <row r="9" spans="1:9" ht="13.5" customHeight="1">
      <c r="A9" s="611"/>
      <c r="B9" s="611"/>
      <c r="C9" s="612"/>
      <c r="D9" s="613"/>
      <c r="E9" s="614"/>
      <c r="F9" s="614"/>
    </row>
    <row r="10" spans="1:9" ht="13.5" customHeight="1">
      <c r="A10" s="416"/>
      <c r="B10" s="416"/>
      <c r="C10" s="416"/>
      <c r="D10" s="416"/>
      <c r="E10" s="415"/>
      <c r="F10" s="415"/>
    </row>
    <row r="11" spans="1:9" ht="13.5" customHeight="1">
      <c r="A11" s="416"/>
      <c r="B11" s="416"/>
      <c r="C11" s="416"/>
      <c r="D11" s="416"/>
      <c r="E11" s="415"/>
      <c r="F11" s="415"/>
    </row>
    <row r="12" spans="1:9" ht="13.5" customHeight="1">
      <c r="A12" s="416"/>
      <c r="B12" s="416"/>
      <c r="C12" s="416"/>
      <c r="D12" s="416"/>
      <c r="E12" s="415"/>
      <c r="F12" s="415"/>
    </row>
    <row r="13" spans="1:9" ht="13.5" customHeight="1">
      <c r="A13" s="416"/>
      <c r="B13" s="416"/>
      <c r="C13" s="416"/>
      <c r="D13" s="416"/>
      <c r="E13" s="415"/>
      <c r="F13" s="415"/>
    </row>
    <row r="14" spans="1:9">
      <c r="A14" s="416"/>
      <c r="B14" s="416"/>
      <c r="C14" s="416"/>
      <c r="D14" s="416"/>
      <c r="E14" s="415"/>
      <c r="F14" s="415"/>
    </row>
    <row r="15" spans="1:9">
      <c r="A15" s="416"/>
      <c r="B15" s="416"/>
      <c r="C15" s="416"/>
      <c r="D15" s="416"/>
      <c r="E15" s="415"/>
      <c r="F15" s="415"/>
    </row>
    <row r="16" spans="1:9">
      <c r="A16" s="416"/>
      <c r="B16" s="416"/>
      <c r="C16" s="416"/>
      <c r="D16" s="416"/>
      <c r="E16" s="415"/>
      <c r="F16" s="415"/>
    </row>
    <row r="17" spans="1:6">
      <c r="A17" s="416"/>
      <c r="B17" s="416"/>
      <c r="C17" s="416"/>
      <c r="D17" s="416"/>
      <c r="E17" s="415"/>
      <c r="F17" s="415"/>
    </row>
    <row r="18" spans="1:6">
      <c r="A18" s="416"/>
      <c r="B18" s="416"/>
      <c r="C18" s="416"/>
      <c r="D18" s="416"/>
      <c r="E18" s="415"/>
      <c r="F18" s="415"/>
    </row>
    <row r="19" spans="1:6">
      <c r="A19" s="416"/>
      <c r="B19" s="416"/>
      <c r="C19" s="416"/>
      <c r="D19" s="416"/>
      <c r="E19" s="415"/>
      <c r="F19" s="415"/>
    </row>
    <row r="20" spans="1:6">
      <c r="E20" s="418"/>
      <c r="F20" s="418"/>
    </row>
    <row r="21" spans="1:6">
      <c r="E21" s="418"/>
      <c r="F21" s="418"/>
    </row>
    <row r="22" spans="1:6">
      <c r="E22" s="418"/>
      <c r="F22" s="418"/>
    </row>
    <row r="23" spans="1:6">
      <c r="E23" s="418"/>
      <c r="F23" s="418"/>
    </row>
    <row r="24" spans="1:6">
      <c r="E24" s="418"/>
      <c r="F24" s="418"/>
    </row>
    <row r="25" spans="1:6">
      <c r="E25" s="418"/>
      <c r="F25" s="418"/>
    </row>
    <row r="26" spans="1:6">
      <c r="E26" s="418"/>
      <c r="F26" s="418"/>
    </row>
    <row r="27" spans="1:6">
      <c r="E27" s="418"/>
      <c r="F27" s="418"/>
    </row>
    <row r="28" spans="1:6">
      <c r="E28" s="418"/>
      <c r="F28" s="418"/>
    </row>
    <row r="29" spans="1:6">
      <c r="E29" s="418"/>
      <c r="F29" s="418"/>
    </row>
    <row r="30" spans="1:6">
      <c r="E30" s="418"/>
      <c r="F30" s="418"/>
    </row>
    <row r="31" spans="1:6">
      <c r="E31" s="418"/>
      <c r="F31" s="418"/>
    </row>
    <row r="32" spans="1:6">
      <c r="E32" s="418"/>
      <c r="F32" s="418"/>
    </row>
    <row r="33" spans="5:6">
      <c r="E33" s="418"/>
      <c r="F33" s="418"/>
    </row>
    <row r="34" spans="5:6">
      <c r="E34" s="418"/>
      <c r="F34" s="418"/>
    </row>
    <row r="35" spans="5:6">
      <c r="E35" s="418"/>
      <c r="F35" s="418"/>
    </row>
    <row r="36" spans="5:6">
      <c r="E36" s="418"/>
      <c r="F36" s="418"/>
    </row>
    <row r="37" spans="5:6">
      <c r="E37" s="418"/>
      <c r="F37" s="418"/>
    </row>
    <row r="38" spans="5:6">
      <c r="E38" s="418"/>
      <c r="F38" s="418"/>
    </row>
    <row r="39" spans="5:6">
      <c r="E39" s="418"/>
      <c r="F39" s="418"/>
    </row>
    <row r="40" spans="5:6">
      <c r="E40" s="418"/>
      <c r="F40" s="418"/>
    </row>
    <row r="41" spans="5:6">
      <c r="E41" s="418"/>
      <c r="F41" s="418"/>
    </row>
    <row r="42" spans="5:6">
      <c r="E42" s="418"/>
      <c r="F42" s="418"/>
    </row>
    <row r="43" spans="5:6">
      <c r="E43" s="418"/>
      <c r="F43" s="418"/>
    </row>
    <row r="44" spans="5:6">
      <c r="E44" s="418"/>
      <c r="F44" s="418"/>
    </row>
    <row r="45" spans="5:6">
      <c r="E45" s="418"/>
      <c r="F45" s="418"/>
    </row>
    <row r="46" spans="5:6">
      <c r="E46" s="418"/>
      <c r="F46" s="418"/>
    </row>
    <row r="47" spans="5:6">
      <c r="E47" s="418"/>
      <c r="F47" s="418"/>
    </row>
    <row r="48" spans="5:6">
      <c r="E48" s="418"/>
      <c r="F48" s="418"/>
    </row>
    <row r="49" spans="5:6">
      <c r="E49" s="418"/>
      <c r="F49" s="418"/>
    </row>
    <row r="50" spans="5:6">
      <c r="E50" s="418"/>
      <c r="F50" s="418"/>
    </row>
    <row r="51" spans="5:6">
      <c r="E51" s="418"/>
      <c r="F51" s="418"/>
    </row>
    <row r="52" spans="5:6">
      <c r="E52" s="418"/>
      <c r="F52" s="418"/>
    </row>
    <row r="53" spans="5:6">
      <c r="E53" s="418"/>
      <c r="F53" s="418"/>
    </row>
    <row r="54" spans="5:6">
      <c r="E54" s="418"/>
      <c r="F54" s="418"/>
    </row>
    <row r="55" spans="5:6">
      <c r="E55" s="418"/>
      <c r="F55" s="418"/>
    </row>
    <row r="56" spans="5:6">
      <c r="E56" s="418"/>
      <c r="F56" s="418"/>
    </row>
    <row r="57" spans="5:6">
      <c r="E57" s="418"/>
      <c r="F57" s="418"/>
    </row>
    <row r="58" spans="5:6">
      <c r="E58" s="418"/>
      <c r="F58" s="418"/>
    </row>
    <row r="59" spans="5:6">
      <c r="E59" s="418"/>
      <c r="F59" s="418"/>
    </row>
    <row r="60" spans="5:6">
      <c r="E60" s="418"/>
      <c r="F60" s="418"/>
    </row>
    <row r="61" spans="5:6">
      <c r="E61" s="418"/>
      <c r="F61" s="418"/>
    </row>
    <row r="62" spans="5:6">
      <c r="E62" s="418"/>
      <c r="F62" s="418"/>
    </row>
    <row r="63" spans="5:6">
      <c r="E63" s="418"/>
      <c r="F63" s="418"/>
    </row>
    <row r="64" spans="5:6">
      <c r="E64" s="418"/>
      <c r="F64" s="418"/>
    </row>
    <row r="65" spans="5:6">
      <c r="E65" s="418"/>
      <c r="F65" s="418"/>
    </row>
    <row r="66" spans="5:6">
      <c r="E66" s="418"/>
      <c r="F66" s="418"/>
    </row>
    <row r="67" spans="5:6">
      <c r="E67" s="418"/>
      <c r="F67" s="418"/>
    </row>
    <row r="68" spans="5:6">
      <c r="E68" s="418"/>
      <c r="F68" s="418"/>
    </row>
    <row r="69" spans="5:6">
      <c r="E69" s="418"/>
      <c r="F69" s="418"/>
    </row>
    <row r="70" spans="5:6">
      <c r="E70" s="418"/>
      <c r="F70" s="418"/>
    </row>
    <row r="71" spans="5:6">
      <c r="E71" s="418"/>
      <c r="F71" s="418"/>
    </row>
    <row r="72" spans="5:6">
      <c r="E72" s="418"/>
      <c r="F72" s="418"/>
    </row>
    <row r="73" spans="5:6">
      <c r="E73" s="418"/>
      <c r="F73" s="418"/>
    </row>
    <row r="74" spans="5:6">
      <c r="E74" s="418"/>
      <c r="F74" s="418"/>
    </row>
    <row r="75" spans="5:6">
      <c r="E75" s="418"/>
      <c r="F75" s="418"/>
    </row>
    <row r="76" spans="5:6">
      <c r="E76" s="418"/>
      <c r="F76" s="418"/>
    </row>
    <row r="77" spans="5:6">
      <c r="E77" s="418"/>
      <c r="F77" s="418"/>
    </row>
    <row r="78" spans="5:6">
      <c r="E78" s="418"/>
      <c r="F78" s="418"/>
    </row>
    <row r="79" spans="5:6">
      <c r="E79" s="418"/>
      <c r="F79" s="418"/>
    </row>
    <row r="80" spans="5:6">
      <c r="E80" s="418"/>
      <c r="F80" s="418"/>
    </row>
    <row r="81" spans="5:6">
      <c r="E81" s="418"/>
      <c r="F81" s="418"/>
    </row>
    <row r="82" spans="5:6">
      <c r="E82" s="418"/>
      <c r="F82" s="418"/>
    </row>
    <row r="83" spans="5:6">
      <c r="E83" s="418"/>
      <c r="F83" s="418"/>
    </row>
    <row r="84" spans="5:6">
      <c r="E84" s="418"/>
      <c r="F84" s="418"/>
    </row>
    <row r="85" spans="5:6">
      <c r="E85" s="418"/>
      <c r="F85" s="418"/>
    </row>
    <row r="86" spans="5:6">
      <c r="E86" s="418"/>
      <c r="F86" s="418"/>
    </row>
    <row r="87" spans="5:6">
      <c r="E87" s="418"/>
      <c r="F87" s="418"/>
    </row>
    <row r="88" spans="5:6">
      <c r="E88" s="418"/>
      <c r="F88" s="418"/>
    </row>
    <row r="89" spans="5:6">
      <c r="E89" s="418"/>
      <c r="F89" s="418"/>
    </row>
    <row r="90" spans="5:6">
      <c r="E90" s="418"/>
      <c r="F90" s="418"/>
    </row>
    <row r="91" spans="5:6">
      <c r="E91" s="418"/>
      <c r="F91" s="418"/>
    </row>
    <row r="92" spans="5:6">
      <c r="E92" s="418"/>
      <c r="F92" s="418"/>
    </row>
    <row r="93" spans="5:6">
      <c r="E93" s="418"/>
      <c r="F93" s="418"/>
    </row>
    <row r="94" spans="5:6">
      <c r="E94" s="418"/>
      <c r="F94" s="418"/>
    </row>
    <row r="95" spans="5:6">
      <c r="E95" s="418"/>
      <c r="F95" s="418"/>
    </row>
    <row r="96" spans="5:6">
      <c r="E96" s="418"/>
      <c r="F96" s="418"/>
    </row>
    <row r="97" spans="5:6">
      <c r="E97" s="418"/>
      <c r="F97" s="418"/>
    </row>
    <row r="98" spans="5:6">
      <c r="E98" s="418"/>
      <c r="F98" s="418"/>
    </row>
    <row r="99" spans="5:6">
      <c r="E99" s="418"/>
      <c r="F99" s="418"/>
    </row>
    <row r="100" spans="5:6">
      <c r="E100" s="418"/>
      <c r="F100" s="418"/>
    </row>
    <row r="101" spans="5:6">
      <c r="E101" s="418"/>
      <c r="F101" s="418"/>
    </row>
    <row r="102" spans="5:6">
      <c r="E102" s="418"/>
      <c r="F102" s="418"/>
    </row>
    <row r="103" spans="5:6">
      <c r="E103" s="418"/>
      <c r="F103" s="418"/>
    </row>
    <row r="104" spans="5:6">
      <c r="E104" s="418"/>
      <c r="F104" s="418"/>
    </row>
    <row r="105" spans="5:6">
      <c r="E105" s="418"/>
      <c r="F105" s="418"/>
    </row>
    <row r="106" spans="5:6">
      <c r="E106" s="418"/>
      <c r="F106" s="418"/>
    </row>
    <row r="107" spans="5:6">
      <c r="E107" s="418"/>
      <c r="F107" s="418"/>
    </row>
    <row r="108" spans="5:6">
      <c r="E108" s="418"/>
      <c r="F108" s="418"/>
    </row>
    <row r="109" spans="5:6">
      <c r="E109" s="418"/>
      <c r="F109" s="418"/>
    </row>
    <row r="110" spans="5:6">
      <c r="E110" s="418"/>
      <c r="F110" s="418"/>
    </row>
    <row r="111" spans="5:6">
      <c r="E111" s="418"/>
      <c r="F111" s="418"/>
    </row>
    <row r="112" spans="5:6">
      <c r="E112" s="418"/>
      <c r="F112" s="418"/>
    </row>
    <row r="113" spans="5:6">
      <c r="E113" s="418"/>
      <c r="F113" s="418"/>
    </row>
    <row r="114" spans="5:6">
      <c r="E114" s="418"/>
      <c r="F114" s="418"/>
    </row>
    <row r="115" spans="5:6">
      <c r="E115" s="418"/>
      <c r="F115" s="418"/>
    </row>
    <row r="116" spans="5:6">
      <c r="E116" s="418"/>
      <c r="F116" s="418"/>
    </row>
    <row r="117" spans="5:6">
      <c r="E117" s="418"/>
      <c r="F117" s="418"/>
    </row>
    <row r="118" spans="5:6">
      <c r="E118" s="418"/>
      <c r="F118" s="418"/>
    </row>
    <row r="119" spans="5:6">
      <c r="E119" s="418"/>
      <c r="F119" s="418"/>
    </row>
    <row r="120" spans="5:6">
      <c r="E120" s="418"/>
      <c r="F120" s="418"/>
    </row>
    <row r="121" spans="5:6">
      <c r="E121" s="418"/>
      <c r="F121" s="418"/>
    </row>
    <row r="122" spans="5:6">
      <c r="E122" s="418"/>
      <c r="F122" s="418"/>
    </row>
    <row r="123" spans="5:6">
      <c r="E123" s="418"/>
      <c r="F123" s="418"/>
    </row>
    <row r="124" spans="5:6">
      <c r="E124" s="418"/>
      <c r="F124" s="418"/>
    </row>
    <row r="125" spans="5:6">
      <c r="E125" s="418"/>
      <c r="F125" s="418"/>
    </row>
    <row r="126" spans="5:6">
      <c r="E126" s="418"/>
      <c r="F126" s="418"/>
    </row>
    <row r="127" spans="5:6">
      <c r="E127" s="418"/>
      <c r="F127" s="418"/>
    </row>
    <row r="128" spans="5:6">
      <c r="E128" s="418"/>
      <c r="F128" s="418"/>
    </row>
    <row r="129" spans="5:6">
      <c r="E129" s="418"/>
      <c r="F129" s="418"/>
    </row>
    <row r="130" spans="5:6">
      <c r="E130" s="418"/>
      <c r="F130" s="418"/>
    </row>
    <row r="131" spans="5:6">
      <c r="E131" s="418"/>
      <c r="F131" s="418"/>
    </row>
    <row r="132" spans="5:6">
      <c r="E132" s="418"/>
      <c r="F132" s="418"/>
    </row>
    <row r="133" spans="5:6">
      <c r="E133" s="418"/>
      <c r="F133" s="418"/>
    </row>
    <row r="134" spans="5:6">
      <c r="E134" s="418"/>
      <c r="F134" s="418"/>
    </row>
    <row r="135" spans="5:6">
      <c r="E135" s="418"/>
      <c r="F135" s="418"/>
    </row>
    <row r="136" spans="5:6">
      <c r="E136" s="418"/>
      <c r="F136" s="418"/>
    </row>
    <row r="137" spans="5:6">
      <c r="E137" s="418"/>
      <c r="F137" s="418"/>
    </row>
    <row r="138" spans="5:6">
      <c r="E138" s="418"/>
      <c r="F138" s="418"/>
    </row>
    <row r="139" spans="5:6">
      <c r="E139" s="418"/>
      <c r="F139" s="418"/>
    </row>
    <row r="140" spans="5:6">
      <c r="E140" s="418"/>
      <c r="F140" s="418"/>
    </row>
    <row r="141" spans="5:6">
      <c r="E141" s="418"/>
      <c r="F141" s="418"/>
    </row>
    <row r="142" spans="5:6">
      <c r="E142" s="418"/>
      <c r="F142" s="418"/>
    </row>
    <row r="143" spans="5:6">
      <c r="E143" s="418"/>
      <c r="F143" s="418"/>
    </row>
    <row r="144" spans="5:6">
      <c r="E144" s="418"/>
      <c r="F144" s="418"/>
    </row>
    <row r="145" spans="5:6">
      <c r="E145" s="418"/>
      <c r="F145" s="418"/>
    </row>
    <row r="146" spans="5:6">
      <c r="E146" s="418"/>
      <c r="F146" s="418"/>
    </row>
    <row r="147" spans="5:6">
      <c r="E147" s="418"/>
      <c r="F147" s="418"/>
    </row>
    <row r="148" spans="5:6">
      <c r="E148" s="418"/>
      <c r="F148" s="418"/>
    </row>
    <row r="149" spans="5:6">
      <c r="E149" s="418"/>
      <c r="F149" s="418"/>
    </row>
  </sheetData>
  <pageMargins left="0.7" right="0.51432291666666663" top="0.86956521739130432" bottom="0.61458333333333337" header="0.3" footer="0.3"/>
  <pageSetup orientation="portrait" r:id="rId1"/>
  <headerFooter>
    <oddHeader>&amp;R&amp;7Informe de la Operación Mensual - Agosto 2018
INFSGI-MES-08-2018
10/09/2018
Versión: 01</oddHeader>
    <oddFooter>&amp;L&amp;7COES, 2018&amp;C29&amp;R&amp;7Dirección Ejecutiva
Sub Dirección de Gestión de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7843-A189-4542-93CA-C7D6C8C67ECB}">
  <dimension ref="A1:J147"/>
  <sheetViews>
    <sheetView showGridLines="0" view="pageBreakPreview" topLeftCell="B1" zoomScale="145" zoomScaleNormal="100" zoomScaleSheetLayoutView="145" zoomScalePageLayoutView="145" workbookViewId="0">
      <selection activeCell="I6" sqref="I6"/>
    </sheetView>
  </sheetViews>
  <sheetFormatPr defaultRowHeight="9"/>
  <cols>
    <col min="1" max="1" width="16.1640625" style="408" customWidth="1"/>
    <col min="2" max="2" width="19.6640625" style="408" customWidth="1"/>
    <col min="3" max="3" width="1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30" customHeight="1">
      <c r="A1" s="419" t="s">
        <v>284</v>
      </c>
      <c r="B1" s="420" t="s">
        <v>464</v>
      </c>
      <c r="C1" s="419" t="s">
        <v>453</v>
      </c>
      <c r="D1" s="421" t="s">
        <v>465</v>
      </c>
      <c r="E1" s="422" t="s">
        <v>466</v>
      </c>
      <c r="F1" s="422" t="s">
        <v>467</v>
      </c>
      <c r="G1" s="397"/>
      <c r="H1" s="409"/>
      <c r="I1" s="395"/>
    </row>
    <row r="2" spans="1:9" s="408" customFormat="1" ht="72.75" customHeight="1">
      <c r="A2" s="423" t="s">
        <v>469</v>
      </c>
      <c r="B2" s="423"/>
      <c r="C2" s="424"/>
      <c r="D2" s="559"/>
      <c r="E2" s="425"/>
      <c r="F2" s="425"/>
      <c r="G2" s="396"/>
      <c r="H2" s="398"/>
      <c r="I2" s="412"/>
    </row>
    <row r="3" spans="1:9" s="408" customFormat="1" ht="66" customHeight="1">
      <c r="A3" s="423" t="s">
        <v>471</v>
      </c>
      <c r="B3" s="423"/>
      <c r="C3" s="424"/>
      <c r="D3" s="559"/>
      <c r="E3" s="425"/>
      <c r="F3" s="425"/>
      <c r="G3" s="396"/>
      <c r="H3" s="398"/>
      <c r="I3" s="412"/>
    </row>
    <row r="4" spans="1:9" s="408" customFormat="1" ht="76.5" customHeight="1">
      <c r="A4" s="423" t="s">
        <v>471</v>
      </c>
      <c r="B4" s="423"/>
      <c r="C4" s="424"/>
      <c r="D4" s="559"/>
      <c r="E4" s="425"/>
      <c r="F4" s="425"/>
      <c r="G4" s="396"/>
      <c r="H4" s="398"/>
      <c r="I4" s="412"/>
    </row>
    <row r="5" spans="1:9" s="408" customFormat="1" ht="83.25" customHeight="1">
      <c r="A5" s="423" t="s">
        <v>468</v>
      </c>
      <c r="B5" s="423"/>
      <c r="C5" s="424"/>
      <c r="D5" s="559"/>
      <c r="E5" s="425"/>
      <c r="F5" s="425"/>
      <c r="G5" s="396"/>
      <c r="H5" s="398"/>
      <c r="I5" s="416"/>
    </row>
    <row r="6" spans="1:9" s="408" customFormat="1" ht="100.5" customHeight="1">
      <c r="A6" s="423" t="s">
        <v>471</v>
      </c>
      <c r="B6" s="423"/>
      <c r="C6" s="424"/>
      <c r="D6" s="559"/>
      <c r="E6" s="425"/>
      <c r="F6" s="425"/>
      <c r="G6" s="396"/>
      <c r="H6" s="398"/>
    </row>
    <row r="7" spans="1:9" s="408" customFormat="1" ht="70.5" customHeight="1">
      <c r="A7" s="423" t="s">
        <v>95</v>
      </c>
      <c r="B7" s="423"/>
      <c r="C7" s="424"/>
      <c r="D7" s="559"/>
      <c r="E7" s="425"/>
      <c r="F7" s="425"/>
      <c r="G7" s="396"/>
      <c r="H7" s="398"/>
    </row>
    <row r="8" spans="1:9" s="408" customFormat="1" ht="100.5" customHeight="1">
      <c r="A8" s="423" t="s">
        <v>547</v>
      </c>
      <c r="B8" s="423"/>
      <c r="C8" s="424"/>
      <c r="D8" s="559"/>
      <c r="E8" s="425"/>
      <c r="F8" s="425"/>
      <c r="G8" s="396"/>
      <c r="H8" s="398"/>
    </row>
    <row r="9" spans="1:9" s="408" customFormat="1" ht="83.25" customHeight="1">
      <c r="A9" s="423" t="s">
        <v>471</v>
      </c>
      <c r="B9" s="423"/>
      <c r="C9" s="424"/>
      <c r="D9" s="559"/>
      <c r="E9" s="425"/>
      <c r="F9" s="425"/>
    </row>
    <row r="10" spans="1:9" s="408" customFormat="1">
      <c r="A10" s="611"/>
      <c r="B10" s="611"/>
      <c r="C10" s="612"/>
      <c r="D10" s="613"/>
      <c r="E10" s="614"/>
      <c r="F10" s="614"/>
    </row>
    <row r="11" spans="1:9" s="408" customFormat="1">
      <c r="A11" s="611"/>
      <c r="B11" s="611"/>
      <c r="C11" s="612"/>
      <c r="D11" s="613"/>
      <c r="E11" s="614"/>
      <c r="F11" s="614"/>
    </row>
    <row r="12" spans="1:9" s="408" customFormat="1">
      <c r="A12" s="611"/>
      <c r="B12" s="611"/>
      <c r="C12" s="612"/>
      <c r="D12" s="613"/>
      <c r="E12" s="614"/>
      <c r="F12" s="614"/>
    </row>
    <row r="13" spans="1:9" s="408" customFormat="1">
      <c r="A13" s="611"/>
      <c r="B13" s="611"/>
      <c r="C13" s="612"/>
      <c r="D13" s="613"/>
      <c r="E13" s="614"/>
      <c r="F13" s="614"/>
    </row>
    <row r="14" spans="1:9" s="408" customFormat="1">
      <c r="A14" s="611"/>
      <c r="B14" s="611"/>
      <c r="C14" s="612"/>
      <c r="D14" s="613"/>
      <c r="E14" s="614"/>
      <c r="F14" s="614"/>
    </row>
    <row r="15" spans="1:9" s="408" customFormat="1">
      <c r="E15" s="418"/>
      <c r="F15" s="418"/>
    </row>
    <row r="16" spans="1:9" s="408" customFormat="1">
      <c r="E16" s="418"/>
      <c r="F16" s="418"/>
    </row>
    <row r="17" spans="5:6" s="408" customFormat="1">
      <c r="E17" s="418"/>
      <c r="F17" s="418"/>
    </row>
    <row r="18" spans="5:6" s="408" customFormat="1">
      <c r="E18" s="418"/>
      <c r="F18" s="418"/>
    </row>
    <row r="19" spans="5:6" s="408" customFormat="1">
      <c r="E19" s="418"/>
      <c r="F19" s="418"/>
    </row>
    <row r="20" spans="5:6" s="408" customFormat="1">
      <c r="E20" s="418"/>
      <c r="F20" s="418"/>
    </row>
    <row r="21" spans="5:6" s="408" customFormat="1">
      <c r="E21" s="418"/>
      <c r="F21" s="418"/>
    </row>
    <row r="22" spans="5:6" s="408" customFormat="1">
      <c r="E22" s="418"/>
      <c r="F22" s="418"/>
    </row>
    <row r="23" spans="5:6" s="408" customFormat="1">
      <c r="E23" s="418"/>
      <c r="F23" s="418"/>
    </row>
    <row r="24" spans="5:6" s="408" customFormat="1">
      <c r="E24" s="418"/>
      <c r="F24" s="418"/>
    </row>
    <row r="25" spans="5:6" s="408" customFormat="1">
      <c r="E25" s="418"/>
      <c r="F25" s="418"/>
    </row>
    <row r="26" spans="5:6" s="408" customFormat="1">
      <c r="E26" s="418"/>
      <c r="F26" s="418"/>
    </row>
    <row r="27" spans="5:6" s="408" customFormat="1">
      <c r="E27" s="418"/>
      <c r="F27" s="418"/>
    </row>
    <row r="28" spans="5:6" s="408" customFormat="1">
      <c r="E28" s="418"/>
      <c r="F28" s="418"/>
    </row>
    <row r="29" spans="5:6" s="408" customFormat="1">
      <c r="E29" s="418"/>
      <c r="F29" s="418"/>
    </row>
    <row r="30" spans="5:6" s="408" customFormat="1">
      <c r="E30" s="418"/>
      <c r="F30" s="418"/>
    </row>
    <row r="31" spans="5:6" s="408" customFormat="1">
      <c r="E31" s="418"/>
      <c r="F31" s="418"/>
    </row>
    <row r="32" spans="5:6" s="408" customFormat="1">
      <c r="E32" s="418"/>
      <c r="F32" s="418"/>
    </row>
    <row r="33" spans="5:6" s="408" customFormat="1">
      <c r="E33" s="418"/>
      <c r="F33" s="418"/>
    </row>
    <row r="34" spans="5:6" s="408" customFormat="1">
      <c r="E34" s="418"/>
      <c r="F34" s="418"/>
    </row>
    <row r="35" spans="5:6" s="408" customFormat="1">
      <c r="E35" s="418"/>
      <c r="F35" s="418"/>
    </row>
    <row r="36" spans="5:6" s="408" customFormat="1">
      <c r="E36" s="418"/>
      <c r="F36" s="418"/>
    </row>
    <row r="37" spans="5:6" s="408" customFormat="1">
      <c r="E37" s="418"/>
      <c r="F37" s="418"/>
    </row>
    <row r="38" spans="5:6" s="408" customFormat="1">
      <c r="E38" s="418"/>
      <c r="F38" s="418"/>
    </row>
    <row r="39" spans="5:6" s="408" customFormat="1">
      <c r="E39" s="418"/>
      <c r="F39" s="418"/>
    </row>
    <row r="40" spans="5:6" s="408" customFormat="1">
      <c r="E40" s="418"/>
      <c r="F40" s="418"/>
    </row>
    <row r="41" spans="5:6" s="408" customFormat="1">
      <c r="E41" s="418"/>
      <c r="F41" s="418"/>
    </row>
    <row r="42" spans="5:6" s="408" customFormat="1">
      <c r="E42" s="418"/>
      <c r="F42" s="418"/>
    </row>
    <row r="43" spans="5:6" s="408" customFormat="1">
      <c r="E43" s="418"/>
      <c r="F43" s="418"/>
    </row>
    <row r="44" spans="5:6" s="408" customFormat="1">
      <c r="E44" s="418"/>
      <c r="F44" s="418"/>
    </row>
    <row r="45" spans="5:6" s="408" customFormat="1">
      <c r="E45" s="418"/>
      <c r="F45" s="418"/>
    </row>
    <row r="46" spans="5:6" s="408" customFormat="1">
      <c r="E46" s="418"/>
      <c r="F46" s="418"/>
    </row>
    <row r="47" spans="5:6" s="408" customFormat="1">
      <c r="E47" s="418"/>
      <c r="F47" s="418"/>
    </row>
    <row r="48" spans="5:6" s="408" customFormat="1">
      <c r="E48" s="418"/>
      <c r="F48" s="418"/>
    </row>
    <row r="49" spans="5:6" s="408" customFormat="1">
      <c r="E49" s="418"/>
      <c r="F49" s="418"/>
    </row>
    <row r="50" spans="5:6" s="408" customFormat="1">
      <c r="E50" s="418"/>
      <c r="F50" s="418"/>
    </row>
    <row r="51" spans="5:6" s="408" customFormat="1">
      <c r="E51" s="418"/>
      <c r="F51" s="418"/>
    </row>
    <row r="52" spans="5:6" s="408" customFormat="1">
      <c r="E52" s="418"/>
      <c r="F52" s="418"/>
    </row>
    <row r="53" spans="5:6" s="408" customFormat="1">
      <c r="E53" s="418"/>
      <c r="F53" s="418"/>
    </row>
    <row r="54" spans="5:6" s="408" customFormat="1">
      <c r="E54" s="418"/>
      <c r="F54" s="418"/>
    </row>
    <row r="55" spans="5:6" s="408" customFormat="1">
      <c r="E55" s="418"/>
      <c r="F55" s="418"/>
    </row>
    <row r="56" spans="5:6" s="408" customFormat="1">
      <c r="E56" s="418"/>
      <c r="F56" s="418"/>
    </row>
    <row r="57" spans="5:6" s="408" customFormat="1">
      <c r="E57" s="418"/>
      <c r="F57" s="418"/>
    </row>
    <row r="58" spans="5:6" s="408" customFormat="1">
      <c r="E58" s="418"/>
      <c r="F58" s="418"/>
    </row>
    <row r="59" spans="5:6" s="408" customFormat="1">
      <c r="E59" s="418"/>
      <c r="F59" s="418"/>
    </row>
    <row r="60" spans="5:6" s="408" customFormat="1">
      <c r="E60" s="418"/>
      <c r="F60" s="418"/>
    </row>
    <row r="61" spans="5:6" s="408" customFormat="1">
      <c r="E61" s="418"/>
      <c r="F61" s="418"/>
    </row>
    <row r="62" spans="5:6" s="408" customFormat="1">
      <c r="E62" s="418"/>
      <c r="F62" s="418"/>
    </row>
    <row r="63" spans="5:6" s="408" customFormat="1">
      <c r="E63" s="418"/>
      <c r="F63" s="418"/>
    </row>
    <row r="64" spans="5:6" s="408" customFormat="1">
      <c r="E64" s="418"/>
      <c r="F64" s="418"/>
    </row>
    <row r="65" spans="5:6" s="408" customFormat="1">
      <c r="E65" s="418"/>
      <c r="F65" s="418"/>
    </row>
    <row r="66" spans="5:6" s="408" customFormat="1">
      <c r="E66" s="418"/>
      <c r="F66" s="418"/>
    </row>
    <row r="67" spans="5:6" s="408" customFormat="1">
      <c r="E67" s="418"/>
      <c r="F67" s="418"/>
    </row>
    <row r="68" spans="5:6" s="408" customFormat="1">
      <c r="E68" s="418"/>
      <c r="F68" s="418"/>
    </row>
    <row r="69" spans="5:6" s="408" customFormat="1">
      <c r="E69" s="418"/>
      <c r="F69" s="418"/>
    </row>
    <row r="70" spans="5:6" s="408" customFormat="1">
      <c r="E70" s="418"/>
      <c r="F70" s="418"/>
    </row>
    <row r="71" spans="5:6" s="408" customFormat="1">
      <c r="E71" s="418"/>
      <c r="F71" s="418"/>
    </row>
    <row r="72" spans="5:6" s="408" customFormat="1">
      <c r="E72" s="418"/>
      <c r="F72" s="418"/>
    </row>
    <row r="73" spans="5:6" s="408" customFormat="1">
      <c r="E73" s="418"/>
      <c r="F73" s="418"/>
    </row>
    <row r="74" spans="5:6" s="408" customFormat="1">
      <c r="E74" s="418"/>
      <c r="F74" s="418"/>
    </row>
    <row r="75" spans="5:6" s="408" customFormat="1">
      <c r="E75" s="418"/>
      <c r="F75" s="418"/>
    </row>
    <row r="76" spans="5:6" s="408" customFormat="1">
      <c r="E76" s="418"/>
      <c r="F76" s="418"/>
    </row>
    <row r="77" spans="5:6" s="408" customFormat="1">
      <c r="E77" s="418"/>
      <c r="F77" s="418"/>
    </row>
    <row r="78" spans="5:6" s="408" customFormat="1">
      <c r="E78" s="418"/>
      <c r="F78" s="418"/>
    </row>
    <row r="79" spans="5:6" s="408" customFormat="1">
      <c r="E79" s="418"/>
      <c r="F79" s="418"/>
    </row>
    <row r="80" spans="5:6" s="408" customFormat="1">
      <c r="E80" s="418"/>
      <c r="F80" s="418"/>
    </row>
    <row r="81" spans="5:6" s="408" customFormat="1">
      <c r="E81" s="418"/>
      <c r="F81" s="418"/>
    </row>
    <row r="82" spans="5:6" s="408" customFormat="1">
      <c r="E82" s="418"/>
      <c r="F82" s="418"/>
    </row>
    <row r="83" spans="5:6" s="408" customFormat="1">
      <c r="E83" s="418"/>
      <c r="F83" s="418"/>
    </row>
    <row r="84" spans="5:6" s="408" customFormat="1">
      <c r="E84" s="418"/>
      <c r="F84" s="418"/>
    </row>
    <row r="85" spans="5:6" s="408" customFormat="1">
      <c r="E85" s="418"/>
      <c r="F85" s="418"/>
    </row>
    <row r="86" spans="5:6" s="408" customFormat="1">
      <c r="E86" s="418"/>
      <c r="F86" s="418"/>
    </row>
    <row r="87" spans="5:6" s="408" customFormat="1">
      <c r="E87" s="418"/>
      <c r="F87" s="418"/>
    </row>
    <row r="88" spans="5:6" s="408" customFormat="1">
      <c r="E88" s="418"/>
      <c r="F88" s="418"/>
    </row>
    <row r="89" spans="5:6" s="408" customFormat="1">
      <c r="E89" s="418"/>
      <c r="F89" s="418"/>
    </row>
    <row r="90" spans="5:6" s="408" customFormat="1">
      <c r="E90" s="418"/>
      <c r="F90" s="418"/>
    </row>
    <row r="91" spans="5:6" s="408" customFormat="1">
      <c r="E91" s="418"/>
      <c r="F91" s="418"/>
    </row>
    <row r="92" spans="5:6" s="408" customFormat="1">
      <c r="E92" s="418"/>
      <c r="F92" s="418"/>
    </row>
    <row r="93" spans="5:6" s="408" customFormat="1">
      <c r="E93" s="418"/>
      <c r="F93" s="418"/>
    </row>
    <row r="94" spans="5:6" s="408" customFormat="1">
      <c r="E94" s="418"/>
      <c r="F94" s="418"/>
    </row>
    <row r="95" spans="5:6" s="408" customFormat="1">
      <c r="E95" s="418"/>
      <c r="F95" s="418"/>
    </row>
    <row r="96" spans="5:6" s="408" customFormat="1">
      <c r="E96" s="418"/>
      <c r="F96" s="418"/>
    </row>
    <row r="97" spans="5:6" s="408" customFormat="1">
      <c r="E97" s="418"/>
      <c r="F97" s="418"/>
    </row>
    <row r="98" spans="5:6" s="408" customFormat="1">
      <c r="E98" s="418"/>
      <c r="F98" s="418"/>
    </row>
    <row r="99" spans="5:6" s="408" customFormat="1">
      <c r="E99" s="418"/>
      <c r="F99" s="418"/>
    </row>
    <row r="100" spans="5:6" s="408" customFormat="1">
      <c r="E100" s="418"/>
      <c r="F100" s="418"/>
    </row>
    <row r="101" spans="5:6" s="408" customFormat="1">
      <c r="E101" s="418"/>
      <c r="F101" s="418"/>
    </row>
    <row r="102" spans="5:6" s="408" customFormat="1">
      <c r="E102" s="418"/>
      <c r="F102" s="418"/>
    </row>
    <row r="103" spans="5:6" s="408" customFormat="1">
      <c r="E103" s="418"/>
      <c r="F103" s="418"/>
    </row>
    <row r="104" spans="5:6" s="408" customFormat="1">
      <c r="E104" s="418"/>
      <c r="F104" s="418"/>
    </row>
    <row r="105" spans="5:6" s="408" customFormat="1">
      <c r="E105" s="418"/>
      <c r="F105" s="418"/>
    </row>
    <row r="106" spans="5:6" s="408" customFormat="1">
      <c r="E106" s="418"/>
      <c r="F106" s="418"/>
    </row>
    <row r="107" spans="5:6" s="408" customFormat="1">
      <c r="E107" s="418"/>
      <c r="F107" s="418"/>
    </row>
    <row r="108" spans="5:6" s="408" customFormat="1">
      <c r="E108" s="418"/>
      <c r="F108" s="418"/>
    </row>
    <row r="109" spans="5:6" s="408" customFormat="1">
      <c r="E109" s="418"/>
      <c r="F109" s="418"/>
    </row>
    <row r="110" spans="5:6" s="408" customFormat="1">
      <c r="E110" s="418"/>
      <c r="F110" s="418"/>
    </row>
    <row r="111" spans="5:6" s="408" customFormat="1">
      <c r="E111" s="418"/>
      <c r="F111" s="418"/>
    </row>
    <row r="112" spans="5:6" s="408" customFormat="1">
      <c r="E112" s="418"/>
      <c r="F112" s="418"/>
    </row>
    <row r="113" spans="5:6" s="408" customFormat="1">
      <c r="E113" s="418"/>
      <c r="F113" s="418"/>
    </row>
    <row r="114" spans="5:6" s="408" customFormat="1">
      <c r="E114" s="418"/>
      <c r="F114" s="418"/>
    </row>
    <row r="115" spans="5:6" s="408" customFormat="1">
      <c r="E115" s="418"/>
      <c r="F115" s="418"/>
    </row>
    <row r="116" spans="5:6" s="408" customFormat="1">
      <c r="E116" s="418"/>
      <c r="F116" s="418"/>
    </row>
    <row r="117" spans="5:6" s="408" customFormat="1">
      <c r="E117" s="418"/>
      <c r="F117" s="418"/>
    </row>
    <row r="118" spans="5:6" s="408" customFormat="1">
      <c r="E118" s="418"/>
      <c r="F118" s="418"/>
    </row>
    <row r="119" spans="5:6" s="408" customFormat="1">
      <c r="E119" s="418"/>
      <c r="F119" s="418"/>
    </row>
    <row r="120" spans="5:6" s="408" customFormat="1">
      <c r="E120" s="418"/>
      <c r="F120" s="418"/>
    </row>
    <row r="121" spans="5:6" s="408" customFormat="1">
      <c r="E121" s="418"/>
      <c r="F121" s="418"/>
    </row>
    <row r="122" spans="5:6" s="408" customFormat="1">
      <c r="E122" s="418"/>
      <c r="F122" s="418"/>
    </row>
    <row r="123" spans="5:6" s="408" customFormat="1">
      <c r="E123" s="418"/>
      <c r="F123" s="418"/>
    </row>
    <row r="124" spans="5:6" s="408" customFormat="1">
      <c r="E124" s="418"/>
      <c r="F124" s="418"/>
    </row>
    <row r="125" spans="5:6" s="408" customFormat="1">
      <c r="E125" s="418"/>
      <c r="F125" s="418"/>
    </row>
    <row r="126" spans="5:6" s="408" customFormat="1">
      <c r="E126" s="418"/>
      <c r="F126" s="418"/>
    </row>
    <row r="127" spans="5:6" s="408" customFormat="1">
      <c r="E127" s="418"/>
      <c r="F127" s="418"/>
    </row>
    <row r="128" spans="5:6" s="408" customFormat="1">
      <c r="E128" s="418"/>
      <c r="F128" s="418"/>
    </row>
    <row r="129" spans="5:6" s="408" customFormat="1">
      <c r="E129" s="418"/>
      <c r="F129" s="418"/>
    </row>
    <row r="130" spans="5:6" s="408" customFormat="1">
      <c r="E130" s="418"/>
      <c r="F130" s="418"/>
    </row>
    <row r="131" spans="5:6" s="408" customFormat="1">
      <c r="E131" s="418"/>
      <c r="F131" s="418"/>
    </row>
    <row r="132" spans="5:6" s="408" customFormat="1">
      <c r="E132" s="418"/>
      <c r="F132" s="418"/>
    </row>
    <row r="133" spans="5:6" s="408" customFormat="1">
      <c r="E133" s="418"/>
      <c r="F133" s="418"/>
    </row>
    <row r="134" spans="5:6" s="408" customFormat="1">
      <c r="E134" s="418"/>
      <c r="F134" s="418"/>
    </row>
    <row r="135" spans="5:6" s="408" customFormat="1">
      <c r="E135" s="418"/>
      <c r="F135" s="418"/>
    </row>
    <row r="136" spans="5:6" s="408" customFormat="1">
      <c r="E136" s="418"/>
      <c r="F136" s="418"/>
    </row>
    <row r="137" spans="5:6" s="408" customFormat="1">
      <c r="E137" s="418"/>
      <c r="F137" s="418"/>
    </row>
    <row r="138" spans="5:6" s="408" customFormat="1">
      <c r="E138" s="418"/>
      <c r="F138" s="418"/>
    </row>
    <row r="139" spans="5:6" s="408" customFormat="1">
      <c r="E139" s="418"/>
      <c r="F139" s="418"/>
    </row>
    <row r="140" spans="5:6" s="408" customFormat="1">
      <c r="E140" s="418"/>
      <c r="F140" s="418"/>
    </row>
    <row r="141" spans="5:6" s="408" customFormat="1">
      <c r="E141" s="418"/>
      <c r="F141" s="418"/>
    </row>
    <row r="142" spans="5:6" s="408" customFormat="1">
      <c r="E142" s="418"/>
      <c r="F142" s="418"/>
    </row>
    <row r="143" spans="5:6" s="408" customFormat="1">
      <c r="E143" s="418"/>
      <c r="F143" s="418"/>
    </row>
    <row r="144" spans="5:6" s="408" customFormat="1">
      <c r="E144" s="418"/>
      <c r="F144" s="418"/>
    </row>
    <row r="145" spans="5:6" s="408" customFormat="1">
      <c r="E145" s="418"/>
      <c r="F145" s="418"/>
    </row>
    <row r="146" spans="5:6" s="408" customFormat="1">
      <c r="E146" s="418"/>
      <c r="F146" s="418"/>
    </row>
    <row r="147" spans="5:6" s="408" customFormat="1">
      <c r="E147" s="418"/>
      <c r="F147" s="418"/>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&amp;C30&amp;R&amp;7Dirección Ejecutiva
Sub Dirección de Gestión de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4D7C7-3912-4BF5-8840-22D7E1433002}">
  <dimension ref="A1:J162"/>
  <sheetViews>
    <sheetView showGridLines="0" view="pageBreakPreview" zoomScale="145" zoomScaleNormal="100" zoomScaleSheetLayoutView="145" zoomScalePageLayoutView="145" workbookViewId="0">
      <selection activeCell="I6" sqref="I6"/>
    </sheetView>
  </sheetViews>
  <sheetFormatPr defaultRowHeight="9"/>
  <cols>
    <col min="1" max="1" width="16.1640625" style="408" customWidth="1"/>
    <col min="2" max="2" width="19.6640625" style="408" customWidth="1"/>
    <col min="3" max="3" width="1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30" customHeight="1">
      <c r="A1" s="419" t="s">
        <v>284</v>
      </c>
      <c r="B1" s="420" t="s">
        <v>464</v>
      </c>
      <c r="C1" s="419" t="s">
        <v>453</v>
      </c>
      <c r="D1" s="421" t="s">
        <v>465</v>
      </c>
      <c r="E1" s="422" t="s">
        <v>466</v>
      </c>
      <c r="F1" s="422" t="s">
        <v>467</v>
      </c>
      <c r="G1" s="397"/>
      <c r="H1" s="409"/>
      <c r="I1" s="395"/>
    </row>
    <row r="2" spans="1:9" s="408" customFormat="1" ht="90" customHeight="1">
      <c r="A2" s="423"/>
      <c r="B2" s="423"/>
      <c r="C2" s="424"/>
      <c r="D2" s="559"/>
      <c r="E2" s="425"/>
      <c r="F2" s="425"/>
      <c r="G2" s="396"/>
      <c r="H2" s="398"/>
    </row>
    <row r="3" spans="1:9" s="408" customFormat="1" ht="73.5" customHeight="1">
      <c r="A3" s="423"/>
      <c r="B3" s="423"/>
      <c r="C3" s="424"/>
      <c r="D3" s="559"/>
      <c r="E3" s="425"/>
      <c r="F3" s="425"/>
      <c r="G3" s="396"/>
      <c r="H3" s="398"/>
    </row>
    <row r="4" spans="1:9" s="408" customFormat="1" ht="93" customHeight="1">
      <c r="A4" s="423"/>
      <c r="B4" s="423"/>
      <c r="C4" s="424"/>
      <c r="D4" s="559"/>
      <c r="E4" s="425"/>
      <c r="F4" s="425"/>
      <c r="G4" s="396"/>
      <c r="H4" s="398"/>
    </row>
    <row r="5" spans="1:9" s="408" customFormat="1" ht="75" customHeight="1">
      <c r="A5" s="423"/>
      <c r="B5" s="423"/>
      <c r="C5" s="424"/>
      <c r="D5" s="559"/>
      <c r="E5" s="425"/>
      <c r="F5" s="425"/>
      <c r="G5" s="396"/>
      <c r="H5" s="398"/>
    </row>
    <row r="6" spans="1:9" s="408" customFormat="1" ht="78" customHeight="1">
      <c r="A6" s="423"/>
      <c r="B6" s="423"/>
      <c r="C6" s="424"/>
      <c r="D6" s="559"/>
      <c r="E6" s="425"/>
      <c r="F6" s="425"/>
      <c r="G6" s="396"/>
      <c r="H6" s="398"/>
    </row>
    <row r="7" spans="1:9" s="408" customFormat="1" ht="105" customHeight="1">
      <c r="A7" s="423"/>
      <c r="B7" s="423"/>
      <c r="C7" s="424"/>
      <c r="D7" s="559"/>
      <c r="E7" s="425"/>
      <c r="F7" s="425"/>
      <c r="G7" s="396"/>
      <c r="H7" s="398"/>
    </row>
    <row r="8" spans="1:9" s="408" customFormat="1" ht="77.25" customHeight="1">
      <c r="A8" s="423"/>
      <c r="B8" s="423"/>
      <c r="C8" s="424"/>
      <c r="D8" s="559"/>
      <c r="E8" s="425"/>
      <c r="F8" s="425"/>
      <c r="G8" s="396"/>
      <c r="H8" s="398"/>
    </row>
    <row r="9" spans="1:9" s="408" customFormat="1" ht="87.75" customHeight="1">
      <c r="A9" s="423"/>
      <c r="B9" s="423"/>
      <c r="C9" s="424"/>
      <c r="D9" s="559"/>
      <c r="E9" s="425"/>
      <c r="F9" s="425"/>
      <c r="G9" s="399"/>
      <c r="H9" s="398"/>
    </row>
    <row r="10" spans="1:9" s="408" customFormat="1">
      <c r="E10" s="418"/>
      <c r="F10" s="418"/>
    </row>
    <row r="11" spans="1:9" s="408" customFormat="1">
      <c r="E11" s="418"/>
      <c r="F11" s="418"/>
    </row>
    <row r="12" spans="1:9" s="408" customFormat="1">
      <c r="E12" s="418"/>
      <c r="F12" s="418"/>
    </row>
    <row r="13" spans="1:9" s="408" customFormat="1">
      <c r="E13" s="418"/>
      <c r="F13" s="418"/>
    </row>
    <row r="14" spans="1:9" s="408" customFormat="1">
      <c r="E14" s="418"/>
      <c r="F14" s="418"/>
    </row>
    <row r="15" spans="1:9" s="408" customFormat="1">
      <c r="E15" s="418"/>
      <c r="F15" s="418"/>
    </row>
    <row r="16" spans="1:9" s="408" customFormat="1">
      <c r="E16" s="418"/>
      <c r="F16" s="418"/>
    </row>
    <row r="17" spans="5:6" s="408" customFormat="1">
      <c r="E17" s="418"/>
      <c r="F17" s="418"/>
    </row>
    <row r="18" spans="5:6" s="408" customFormat="1">
      <c r="E18" s="418"/>
      <c r="F18" s="418"/>
    </row>
    <row r="19" spans="5:6" s="408" customFormat="1">
      <c r="E19" s="418"/>
      <c r="F19" s="418"/>
    </row>
    <row r="20" spans="5:6" s="408" customFormat="1">
      <c r="E20" s="418"/>
      <c r="F20" s="418"/>
    </row>
    <row r="21" spans="5:6" s="408" customFormat="1">
      <c r="E21" s="418"/>
      <c r="F21" s="418"/>
    </row>
    <row r="22" spans="5:6" s="408" customFormat="1">
      <c r="E22" s="418"/>
      <c r="F22" s="418"/>
    </row>
    <row r="23" spans="5:6" s="408" customFormat="1">
      <c r="E23" s="418"/>
      <c r="F23" s="418"/>
    </row>
    <row r="24" spans="5:6" s="408" customFormat="1">
      <c r="E24" s="418"/>
      <c r="F24" s="418"/>
    </row>
    <row r="25" spans="5:6" s="408" customFormat="1">
      <c r="E25" s="418"/>
      <c r="F25" s="418"/>
    </row>
    <row r="26" spans="5:6" s="408" customFormat="1">
      <c r="E26" s="418"/>
      <c r="F26" s="418"/>
    </row>
    <row r="27" spans="5:6" s="408" customFormat="1">
      <c r="E27" s="418"/>
      <c r="F27" s="418"/>
    </row>
    <row r="28" spans="5:6" s="408" customFormat="1">
      <c r="E28" s="418"/>
      <c r="F28" s="418"/>
    </row>
    <row r="29" spans="5:6" s="408" customFormat="1">
      <c r="E29" s="418"/>
      <c r="F29" s="418"/>
    </row>
    <row r="30" spans="5:6" s="408" customFormat="1">
      <c r="E30" s="418"/>
      <c r="F30" s="418"/>
    </row>
    <row r="31" spans="5:6" s="408" customFormat="1">
      <c r="E31" s="418"/>
      <c r="F31" s="418"/>
    </row>
    <row r="32" spans="5:6" s="408" customFormat="1">
      <c r="E32" s="418"/>
      <c r="F32" s="418"/>
    </row>
    <row r="33" spans="5:6" s="408" customFormat="1">
      <c r="E33" s="418"/>
      <c r="F33" s="418"/>
    </row>
    <row r="34" spans="5:6" s="408" customFormat="1">
      <c r="E34" s="418"/>
      <c r="F34" s="418"/>
    </row>
    <row r="35" spans="5:6" s="408" customFormat="1">
      <c r="E35" s="418"/>
      <c r="F35" s="418"/>
    </row>
    <row r="36" spans="5:6" s="408" customFormat="1">
      <c r="E36" s="418"/>
      <c r="F36" s="418"/>
    </row>
    <row r="37" spans="5:6" s="408" customFormat="1">
      <c r="E37" s="418"/>
      <c r="F37" s="418"/>
    </row>
    <row r="38" spans="5:6" s="408" customFormat="1">
      <c r="E38" s="418"/>
      <c r="F38" s="418"/>
    </row>
    <row r="39" spans="5:6" s="408" customFormat="1">
      <c r="E39" s="418"/>
      <c r="F39" s="418"/>
    </row>
    <row r="40" spans="5:6" s="408" customFormat="1">
      <c r="E40" s="418"/>
      <c r="F40" s="418"/>
    </row>
    <row r="41" spans="5:6" s="408" customFormat="1">
      <c r="E41" s="418"/>
      <c r="F41" s="418"/>
    </row>
    <row r="42" spans="5:6" s="408" customFormat="1">
      <c r="E42" s="418"/>
      <c r="F42" s="418"/>
    </row>
    <row r="43" spans="5:6" s="408" customFormat="1">
      <c r="E43" s="418"/>
      <c r="F43" s="418"/>
    </row>
    <row r="44" spans="5:6" s="408" customFormat="1">
      <c r="E44" s="418"/>
      <c r="F44" s="418"/>
    </row>
    <row r="45" spans="5:6" s="408" customFormat="1">
      <c r="E45" s="418"/>
      <c r="F45" s="418"/>
    </row>
    <row r="46" spans="5:6" s="408" customFormat="1">
      <c r="E46" s="418"/>
      <c r="F46" s="418"/>
    </row>
    <row r="47" spans="5:6" s="408" customFormat="1">
      <c r="E47" s="418"/>
      <c r="F47" s="418"/>
    </row>
    <row r="48" spans="5:6" s="408" customFormat="1">
      <c r="E48" s="418"/>
      <c r="F48" s="418"/>
    </row>
    <row r="49" spans="5:6" s="408" customFormat="1">
      <c r="E49" s="418"/>
      <c r="F49" s="418"/>
    </row>
    <row r="50" spans="5:6" s="408" customFormat="1">
      <c r="E50" s="418"/>
      <c r="F50" s="418"/>
    </row>
    <row r="51" spans="5:6" s="408" customFormat="1">
      <c r="E51" s="418"/>
      <c r="F51" s="418"/>
    </row>
    <row r="52" spans="5:6" s="408" customFormat="1">
      <c r="E52" s="418"/>
      <c r="F52" s="418"/>
    </row>
    <row r="53" spans="5:6" s="408" customFormat="1">
      <c r="E53" s="418"/>
      <c r="F53" s="418"/>
    </row>
    <row r="54" spans="5:6" s="408" customFormat="1">
      <c r="E54" s="418"/>
      <c r="F54" s="418"/>
    </row>
    <row r="55" spans="5:6" s="408" customFormat="1">
      <c r="E55" s="418"/>
      <c r="F55" s="418"/>
    </row>
    <row r="56" spans="5:6" s="408" customFormat="1">
      <c r="E56" s="418"/>
      <c r="F56" s="418"/>
    </row>
    <row r="57" spans="5:6" s="408" customFormat="1">
      <c r="E57" s="418"/>
      <c r="F57" s="418"/>
    </row>
    <row r="58" spans="5:6" s="408" customFormat="1">
      <c r="E58" s="418"/>
      <c r="F58" s="418"/>
    </row>
    <row r="59" spans="5:6" s="408" customFormat="1">
      <c r="E59" s="418"/>
      <c r="F59" s="418"/>
    </row>
    <row r="60" spans="5:6" s="408" customFormat="1">
      <c r="E60" s="418"/>
      <c r="F60" s="418"/>
    </row>
    <row r="61" spans="5:6" s="408" customFormat="1">
      <c r="E61" s="418"/>
      <c r="F61" s="418"/>
    </row>
    <row r="62" spans="5:6" s="408" customFormat="1">
      <c r="E62" s="418"/>
      <c r="F62" s="418"/>
    </row>
    <row r="63" spans="5:6" s="408" customFormat="1">
      <c r="E63" s="418"/>
      <c r="F63" s="418"/>
    </row>
    <row r="64" spans="5:6" s="408" customFormat="1">
      <c r="E64" s="418"/>
      <c r="F64" s="418"/>
    </row>
    <row r="65" spans="5:6" s="408" customFormat="1">
      <c r="E65" s="418"/>
      <c r="F65" s="418"/>
    </row>
    <row r="66" spans="5:6" s="408" customFormat="1">
      <c r="E66" s="418"/>
      <c r="F66" s="418"/>
    </row>
    <row r="67" spans="5:6" s="408" customFormat="1">
      <c r="E67" s="418"/>
      <c r="F67" s="418"/>
    </row>
    <row r="68" spans="5:6" s="408" customFormat="1">
      <c r="E68" s="418"/>
      <c r="F68" s="418"/>
    </row>
    <row r="69" spans="5:6" s="408" customFormat="1">
      <c r="E69" s="418"/>
      <c r="F69" s="418"/>
    </row>
    <row r="70" spans="5:6" s="408" customFormat="1">
      <c r="E70" s="418"/>
      <c r="F70" s="418"/>
    </row>
    <row r="71" spans="5:6" s="408" customFormat="1">
      <c r="E71" s="418"/>
      <c r="F71" s="418"/>
    </row>
    <row r="72" spans="5:6" s="408" customFormat="1">
      <c r="E72" s="418"/>
      <c r="F72" s="418"/>
    </row>
    <row r="73" spans="5:6" s="408" customFormat="1">
      <c r="E73" s="418"/>
      <c r="F73" s="418"/>
    </row>
    <row r="74" spans="5:6" s="408" customFormat="1">
      <c r="E74" s="418"/>
      <c r="F74" s="418"/>
    </row>
    <row r="75" spans="5:6" s="408" customFormat="1">
      <c r="E75" s="418"/>
      <c r="F75" s="418"/>
    </row>
    <row r="76" spans="5:6" s="408" customFormat="1">
      <c r="E76" s="418"/>
      <c r="F76" s="418"/>
    </row>
    <row r="77" spans="5:6" s="408" customFormat="1">
      <c r="E77" s="418"/>
      <c r="F77" s="418"/>
    </row>
    <row r="78" spans="5:6" s="408" customFormat="1">
      <c r="E78" s="418"/>
      <c r="F78" s="418"/>
    </row>
    <row r="79" spans="5:6" s="408" customFormat="1">
      <c r="E79" s="418"/>
      <c r="F79" s="418"/>
    </row>
    <row r="80" spans="5:6" s="408" customFormat="1">
      <c r="E80" s="418"/>
      <c r="F80" s="418"/>
    </row>
    <row r="81" spans="5:6" s="408" customFormat="1">
      <c r="E81" s="418"/>
      <c r="F81" s="418"/>
    </row>
    <row r="82" spans="5:6" s="408" customFormat="1">
      <c r="E82" s="418"/>
      <c r="F82" s="418"/>
    </row>
    <row r="83" spans="5:6" s="408" customFormat="1">
      <c r="E83" s="418"/>
      <c r="F83" s="418"/>
    </row>
    <row r="84" spans="5:6" s="408" customFormat="1">
      <c r="E84" s="418"/>
      <c r="F84" s="418"/>
    </row>
    <row r="85" spans="5:6" s="408" customFormat="1">
      <c r="E85" s="418"/>
      <c r="F85" s="418"/>
    </row>
    <row r="86" spans="5:6" s="408" customFormat="1">
      <c r="E86" s="418"/>
      <c r="F86" s="418"/>
    </row>
    <row r="87" spans="5:6" s="408" customFormat="1">
      <c r="E87" s="418"/>
      <c r="F87" s="418"/>
    </row>
    <row r="88" spans="5:6" s="408" customFormat="1">
      <c r="E88" s="418"/>
      <c r="F88" s="418"/>
    </row>
    <row r="89" spans="5:6" s="408" customFormat="1">
      <c r="E89" s="418"/>
      <c r="F89" s="418"/>
    </row>
    <row r="90" spans="5:6" s="408" customFormat="1">
      <c r="E90" s="418"/>
      <c r="F90" s="418"/>
    </row>
    <row r="91" spans="5:6" s="408" customFormat="1">
      <c r="E91" s="418"/>
      <c r="F91" s="418"/>
    </row>
    <row r="92" spans="5:6" s="408" customFormat="1">
      <c r="E92" s="418"/>
      <c r="F92" s="418"/>
    </row>
    <row r="93" spans="5:6" s="408" customFormat="1">
      <c r="E93" s="418"/>
      <c r="F93" s="418"/>
    </row>
    <row r="94" spans="5:6" s="408" customFormat="1">
      <c r="E94" s="418"/>
      <c r="F94" s="418"/>
    </row>
    <row r="95" spans="5:6" s="408" customFormat="1">
      <c r="E95" s="418"/>
      <c r="F95" s="418"/>
    </row>
    <row r="96" spans="5:6" s="408" customFormat="1">
      <c r="E96" s="418"/>
      <c r="F96" s="418"/>
    </row>
    <row r="97" spans="5:6" s="408" customFormat="1">
      <c r="E97" s="418"/>
      <c r="F97" s="418"/>
    </row>
    <row r="98" spans="5:6" s="408" customFormat="1">
      <c r="E98" s="418"/>
      <c r="F98" s="418"/>
    </row>
    <row r="99" spans="5:6" s="408" customFormat="1">
      <c r="E99" s="418"/>
      <c r="F99" s="418"/>
    </row>
    <row r="100" spans="5:6" s="408" customFormat="1">
      <c r="E100" s="418"/>
      <c r="F100" s="418"/>
    </row>
    <row r="101" spans="5:6" s="408" customFormat="1">
      <c r="E101" s="418"/>
      <c r="F101" s="418"/>
    </row>
    <row r="102" spans="5:6" s="408" customFormat="1">
      <c r="E102" s="418"/>
      <c r="F102" s="418"/>
    </row>
    <row r="103" spans="5:6" s="408" customFormat="1">
      <c r="E103" s="418"/>
      <c r="F103" s="418"/>
    </row>
    <row r="104" spans="5:6" s="408" customFormat="1">
      <c r="E104" s="418"/>
      <c r="F104" s="418"/>
    </row>
    <row r="105" spans="5:6" s="408" customFormat="1">
      <c r="E105" s="418"/>
      <c r="F105" s="418"/>
    </row>
    <row r="106" spans="5:6" s="408" customFormat="1">
      <c r="E106" s="418"/>
      <c r="F106" s="418"/>
    </row>
    <row r="107" spans="5:6" s="408" customFormat="1">
      <c r="E107" s="418"/>
      <c r="F107" s="418"/>
    </row>
    <row r="108" spans="5:6" s="408" customFormat="1">
      <c r="E108" s="418"/>
      <c r="F108" s="418"/>
    </row>
    <row r="109" spans="5:6" s="408" customFormat="1">
      <c r="E109" s="418"/>
      <c r="F109" s="418"/>
    </row>
    <row r="110" spans="5:6" s="408" customFormat="1">
      <c r="E110" s="418"/>
      <c r="F110" s="418"/>
    </row>
    <row r="111" spans="5:6" s="408" customFormat="1">
      <c r="E111" s="418"/>
      <c r="F111" s="418"/>
    </row>
    <row r="112" spans="5:6" s="408" customFormat="1">
      <c r="E112" s="418"/>
      <c r="F112" s="418"/>
    </row>
    <row r="113" spans="5:6" s="408" customFormat="1">
      <c r="E113" s="418"/>
      <c r="F113" s="418"/>
    </row>
    <row r="114" spans="5:6" s="408" customFormat="1">
      <c r="E114" s="418"/>
      <c r="F114" s="418"/>
    </row>
    <row r="115" spans="5:6" s="408" customFormat="1">
      <c r="E115" s="418"/>
      <c r="F115" s="418"/>
    </row>
    <row r="116" spans="5:6" s="408" customFormat="1">
      <c r="E116" s="418"/>
      <c r="F116" s="418"/>
    </row>
    <row r="117" spans="5:6" s="408" customFormat="1">
      <c r="E117" s="418"/>
      <c r="F117" s="418"/>
    </row>
    <row r="118" spans="5:6" s="408" customFormat="1">
      <c r="E118" s="418"/>
      <c r="F118" s="418"/>
    </row>
    <row r="119" spans="5:6" s="408" customFormat="1">
      <c r="E119" s="418"/>
      <c r="F119" s="418"/>
    </row>
    <row r="120" spans="5:6" s="408" customFormat="1">
      <c r="E120" s="418"/>
      <c r="F120" s="418"/>
    </row>
    <row r="121" spans="5:6" s="408" customFormat="1">
      <c r="E121" s="418"/>
      <c r="F121" s="418"/>
    </row>
    <row r="122" spans="5:6" s="408" customFormat="1">
      <c r="E122" s="418"/>
      <c r="F122" s="418"/>
    </row>
    <row r="123" spans="5:6" s="408" customFormat="1">
      <c r="E123" s="418"/>
      <c r="F123" s="418"/>
    </row>
    <row r="124" spans="5:6" s="408" customFormat="1">
      <c r="E124" s="418"/>
      <c r="F124" s="418"/>
    </row>
    <row r="125" spans="5:6" s="408" customFormat="1">
      <c r="E125" s="418"/>
      <c r="F125" s="418"/>
    </row>
    <row r="126" spans="5:6" s="408" customFormat="1">
      <c r="E126" s="418"/>
      <c r="F126" s="418"/>
    </row>
    <row r="127" spans="5:6" s="408" customFormat="1">
      <c r="E127" s="418"/>
      <c r="F127" s="418"/>
    </row>
    <row r="128" spans="5:6" s="408" customFormat="1">
      <c r="E128" s="418"/>
      <c r="F128" s="418"/>
    </row>
    <row r="129" spans="5:6" s="408" customFormat="1">
      <c r="E129" s="418"/>
      <c r="F129" s="418"/>
    </row>
    <row r="130" spans="5:6" s="408" customFormat="1">
      <c r="E130" s="418"/>
      <c r="F130" s="418"/>
    </row>
    <row r="131" spans="5:6" s="408" customFormat="1">
      <c r="E131" s="418"/>
      <c r="F131" s="418"/>
    </row>
    <row r="132" spans="5:6" s="408" customFormat="1">
      <c r="E132" s="418"/>
      <c r="F132" s="418"/>
    </row>
    <row r="133" spans="5:6" s="408" customFormat="1">
      <c r="E133" s="418"/>
      <c r="F133" s="418"/>
    </row>
    <row r="134" spans="5:6" s="408" customFormat="1">
      <c r="E134" s="418"/>
      <c r="F134" s="418"/>
    </row>
    <row r="135" spans="5:6" s="408" customFormat="1">
      <c r="E135" s="418"/>
      <c r="F135" s="418"/>
    </row>
    <row r="136" spans="5:6" s="408" customFormat="1">
      <c r="E136" s="418"/>
      <c r="F136" s="418"/>
    </row>
    <row r="137" spans="5:6" s="408" customFormat="1">
      <c r="E137" s="418"/>
      <c r="F137" s="418"/>
    </row>
    <row r="138" spans="5:6" s="408" customFormat="1">
      <c r="E138" s="418"/>
      <c r="F138" s="418"/>
    </row>
    <row r="139" spans="5:6" s="408" customFormat="1">
      <c r="E139" s="418"/>
      <c r="F139" s="418"/>
    </row>
    <row r="140" spans="5:6" s="408" customFormat="1">
      <c r="E140" s="418"/>
      <c r="F140" s="418"/>
    </row>
    <row r="141" spans="5:6" s="408" customFormat="1">
      <c r="E141" s="418"/>
      <c r="F141" s="418"/>
    </row>
    <row r="142" spans="5:6" s="408" customFormat="1">
      <c r="E142" s="418"/>
      <c r="F142" s="418"/>
    </row>
    <row r="143" spans="5:6" s="408" customFormat="1">
      <c r="E143" s="418"/>
      <c r="F143" s="418"/>
    </row>
    <row r="144" spans="5:6" s="408" customFormat="1">
      <c r="E144" s="418"/>
      <c r="F144" s="418"/>
    </row>
    <row r="145" spans="5:6" s="408" customFormat="1">
      <c r="E145" s="418"/>
      <c r="F145" s="418"/>
    </row>
    <row r="146" spans="5:6" s="408" customFormat="1">
      <c r="E146" s="418"/>
      <c r="F146" s="418"/>
    </row>
    <row r="147" spans="5:6" s="408" customFormat="1">
      <c r="E147" s="418"/>
      <c r="F147" s="418"/>
    </row>
    <row r="148" spans="5:6" s="408" customFormat="1">
      <c r="E148" s="418"/>
      <c r="F148" s="418"/>
    </row>
    <row r="149" spans="5:6" s="408" customFormat="1">
      <c r="E149" s="418"/>
      <c r="F149" s="418"/>
    </row>
    <row r="150" spans="5:6" s="408" customFormat="1">
      <c r="E150" s="418"/>
      <c r="F150" s="418"/>
    </row>
    <row r="151" spans="5:6" s="408" customFormat="1">
      <c r="E151" s="418"/>
      <c r="F151" s="418"/>
    </row>
    <row r="152" spans="5:6" s="408" customFormat="1">
      <c r="E152" s="418"/>
      <c r="F152" s="418"/>
    </row>
    <row r="153" spans="5:6" s="408" customFormat="1">
      <c r="E153" s="418"/>
      <c r="F153" s="418"/>
    </row>
    <row r="154" spans="5:6" s="408" customFormat="1">
      <c r="E154" s="418"/>
      <c r="F154" s="418"/>
    </row>
    <row r="155" spans="5:6" s="408" customFormat="1">
      <c r="E155" s="418"/>
      <c r="F155" s="418"/>
    </row>
    <row r="156" spans="5:6" s="408" customFormat="1">
      <c r="E156" s="418"/>
      <c r="F156" s="418"/>
    </row>
    <row r="157" spans="5:6" s="408" customFormat="1">
      <c r="E157" s="418"/>
      <c r="F157" s="418"/>
    </row>
    <row r="158" spans="5:6" s="408" customFormat="1">
      <c r="E158" s="418"/>
      <c r="F158" s="418"/>
    </row>
    <row r="159" spans="5:6" s="408" customFormat="1">
      <c r="E159" s="418"/>
      <c r="F159" s="418"/>
    </row>
    <row r="160" spans="5:6" s="408" customFormat="1">
      <c r="E160" s="418"/>
      <c r="F160" s="418"/>
    </row>
    <row r="161" spans="5:6" s="408" customFormat="1">
      <c r="E161" s="418"/>
      <c r="F161" s="418"/>
    </row>
    <row r="162" spans="5:6" s="408" customFormat="1">
      <c r="E162" s="418"/>
      <c r="F162" s="418"/>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&amp;C31&amp;R&amp;7Dirección Ejecutiva
Sub Dirección de Gestión de Información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A7041-E818-4A26-B430-F35DCB72AC06}">
  <dimension ref="A1:J161"/>
  <sheetViews>
    <sheetView showGridLines="0" view="pageBreakPreview" zoomScale="145" zoomScaleNormal="100" zoomScaleSheetLayoutView="145" zoomScalePageLayoutView="145" workbookViewId="0">
      <selection activeCell="I6" sqref="I6"/>
    </sheetView>
  </sheetViews>
  <sheetFormatPr defaultRowHeight="9"/>
  <cols>
    <col min="1" max="1" width="16.1640625" style="408" customWidth="1"/>
    <col min="2" max="2" width="19.6640625" style="408" customWidth="1"/>
    <col min="3" max="3" width="12.5" style="408" bestFit="1" customWidth="1"/>
    <col min="4" max="4" width="47.1640625" style="408" customWidth="1"/>
    <col min="5" max="5" width="11.5" style="408" customWidth="1"/>
    <col min="6" max="6" width="10.5" style="408" customWidth="1"/>
    <col min="7" max="8" width="9.33203125" style="408" customWidth="1"/>
    <col min="9" max="10" width="9.33203125" style="408"/>
    <col min="11" max="16384" width="9.33203125" style="417"/>
  </cols>
  <sheetData>
    <row r="1" spans="1:9" s="408" customFormat="1" ht="30" customHeight="1">
      <c r="A1" s="419" t="s">
        <v>284</v>
      </c>
      <c r="B1" s="420" t="s">
        <v>464</v>
      </c>
      <c r="C1" s="419" t="s">
        <v>453</v>
      </c>
      <c r="D1" s="421" t="s">
        <v>465</v>
      </c>
      <c r="E1" s="422" t="s">
        <v>466</v>
      </c>
      <c r="F1" s="422" t="s">
        <v>467</v>
      </c>
      <c r="G1" s="397"/>
      <c r="H1" s="409"/>
      <c r="I1" s="395"/>
    </row>
    <row r="2" spans="1:9" s="408" customFormat="1" ht="84.75" customHeight="1">
      <c r="A2" s="423"/>
      <c r="B2" s="423"/>
      <c r="C2" s="424"/>
      <c r="D2" s="559"/>
      <c r="E2" s="425"/>
      <c r="F2" s="425"/>
      <c r="G2" s="396"/>
      <c r="H2" s="398"/>
    </row>
    <row r="3" spans="1:9" s="408" customFormat="1" ht="180" customHeight="1">
      <c r="A3" s="423"/>
      <c r="B3" s="423"/>
      <c r="C3" s="424"/>
      <c r="D3" s="559"/>
      <c r="E3" s="425"/>
      <c r="F3" s="425"/>
      <c r="G3" s="396"/>
      <c r="H3" s="398"/>
    </row>
    <row r="4" spans="1:9" s="408" customFormat="1" ht="91.5" customHeight="1">
      <c r="A4" s="423"/>
      <c r="B4" s="423"/>
      <c r="C4" s="424"/>
      <c r="D4" s="559"/>
      <c r="E4" s="425"/>
      <c r="F4" s="425"/>
      <c r="G4" s="396"/>
      <c r="H4" s="398"/>
    </row>
    <row r="5" spans="1:9" s="408" customFormat="1" ht="67.5" customHeight="1">
      <c r="A5" s="423"/>
      <c r="B5" s="423"/>
      <c r="C5" s="424"/>
      <c r="D5" s="559"/>
      <c r="E5" s="425"/>
      <c r="F5" s="425"/>
      <c r="G5" s="396"/>
      <c r="H5" s="398"/>
    </row>
    <row r="6" spans="1:9" s="408" customFormat="1" ht="73.5" customHeight="1">
      <c r="A6" s="423"/>
      <c r="B6" s="423"/>
      <c r="C6" s="424"/>
      <c r="D6" s="559"/>
      <c r="E6" s="425"/>
      <c r="F6" s="425"/>
      <c r="G6" s="396"/>
      <c r="H6" s="398"/>
    </row>
    <row r="7" spans="1:9" s="408" customFormat="1" ht="84" customHeight="1">
      <c r="A7" s="423"/>
      <c r="B7" s="423"/>
      <c r="C7" s="424"/>
      <c r="D7" s="559"/>
      <c r="E7" s="425"/>
      <c r="F7" s="425"/>
      <c r="G7" s="396"/>
      <c r="H7" s="398"/>
    </row>
    <row r="8" spans="1:9" s="408" customFormat="1" ht="77.25" customHeight="1">
      <c r="A8" s="423"/>
      <c r="B8" s="423"/>
      <c r="C8" s="424"/>
      <c r="D8" s="559"/>
      <c r="E8" s="425"/>
      <c r="F8" s="425"/>
      <c r="G8" s="396"/>
      <c r="H8" s="398"/>
    </row>
    <row r="9" spans="1:9" s="408" customFormat="1">
      <c r="E9" s="418"/>
      <c r="F9" s="418"/>
    </row>
    <row r="10" spans="1:9" s="408" customFormat="1">
      <c r="E10" s="418"/>
      <c r="F10" s="418"/>
    </row>
    <row r="11" spans="1:9" s="408" customFormat="1">
      <c r="E11" s="418"/>
      <c r="F11" s="418"/>
    </row>
    <row r="12" spans="1:9" s="408" customFormat="1">
      <c r="E12" s="418"/>
      <c r="F12" s="418"/>
    </row>
    <row r="13" spans="1:9" s="408" customFormat="1">
      <c r="E13" s="418"/>
      <c r="F13" s="418"/>
    </row>
    <row r="14" spans="1:9" s="408" customFormat="1">
      <c r="E14" s="418"/>
      <c r="F14" s="418"/>
    </row>
    <row r="15" spans="1:9" s="408" customFormat="1">
      <c r="E15" s="418"/>
      <c r="F15" s="418"/>
    </row>
    <row r="16" spans="1:9" s="408" customFormat="1">
      <c r="E16" s="418"/>
      <c r="F16" s="418"/>
    </row>
    <row r="17" spans="5:6" s="408" customFormat="1">
      <c r="E17" s="418"/>
      <c r="F17" s="418"/>
    </row>
    <row r="18" spans="5:6" s="408" customFormat="1">
      <c r="E18" s="418"/>
      <c r="F18" s="418"/>
    </row>
    <row r="19" spans="5:6" s="408" customFormat="1">
      <c r="E19" s="418"/>
      <c r="F19" s="418"/>
    </row>
    <row r="20" spans="5:6" s="408" customFormat="1">
      <c r="E20" s="418"/>
      <c r="F20" s="418"/>
    </row>
    <row r="21" spans="5:6" s="408" customFormat="1">
      <c r="E21" s="418"/>
      <c r="F21" s="418"/>
    </row>
    <row r="22" spans="5:6" s="408" customFormat="1">
      <c r="E22" s="418"/>
      <c r="F22" s="418"/>
    </row>
    <row r="23" spans="5:6" s="408" customFormat="1">
      <c r="E23" s="418"/>
      <c r="F23" s="418"/>
    </row>
    <row r="24" spans="5:6" s="408" customFormat="1">
      <c r="E24" s="418"/>
      <c r="F24" s="418"/>
    </row>
    <row r="25" spans="5:6" s="408" customFormat="1">
      <c r="E25" s="418"/>
      <c r="F25" s="418"/>
    </row>
    <row r="26" spans="5:6" s="408" customFormat="1">
      <c r="E26" s="418"/>
      <c r="F26" s="418"/>
    </row>
    <row r="27" spans="5:6" s="408" customFormat="1">
      <c r="E27" s="418"/>
      <c r="F27" s="418"/>
    </row>
    <row r="28" spans="5:6" s="408" customFormat="1">
      <c r="E28" s="418"/>
      <c r="F28" s="418"/>
    </row>
    <row r="29" spans="5:6" s="408" customFormat="1">
      <c r="E29" s="418"/>
      <c r="F29" s="418"/>
    </row>
    <row r="30" spans="5:6" s="408" customFormat="1">
      <c r="E30" s="418"/>
      <c r="F30" s="418"/>
    </row>
    <row r="31" spans="5:6" s="408" customFormat="1">
      <c r="E31" s="418"/>
      <c r="F31" s="418"/>
    </row>
    <row r="32" spans="5:6" s="408" customFormat="1">
      <c r="E32" s="418"/>
      <c r="F32" s="418"/>
    </row>
    <row r="33" spans="5:6" s="408" customFormat="1">
      <c r="E33" s="418"/>
      <c r="F33" s="418"/>
    </row>
    <row r="34" spans="5:6" s="408" customFormat="1">
      <c r="E34" s="418"/>
      <c r="F34" s="418"/>
    </row>
    <row r="35" spans="5:6" s="408" customFormat="1">
      <c r="E35" s="418"/>
      <c r="F35" s="418"/>
    </row>
    <row r="36" spans="5:6" s="408" customFormat="1">
      <c r="E36" s="418"/>
      <c r="F36" s="418"/>
    </row>
    <row r="37" spans="5:6" s="408" customFormat="1">
      <c r="E37" s="418"/>
      <c r="F37" s="418"/>
    </row>
    <row r="38" spans="5:6" s="408" customFormat="1">
      <c r="E38" s="418"/>
      <c r="F38" s="418"/>
    </row>
    <row r="39" spans="5:6" s="408" customFormat="1">
      <c r="E39" s="418"/>
      <c r="F39" s="418"/>
    </row>
    <row r="40" spans="5:6" s="408" customFormat="1">
      <c r="E40" s="418"/>
      <c r="F40" s="418"/>
    </row>
    <row r="41" spans="5:6" s="408" customFormat="1">
      <c r="E41" s="418"/>
      <c r="F41" s="418"/>
    </row>
    <row r="42" spans="5:6" s="408" customFormat="1">
      <c r="E42" s="418"/>
      <c r="F42" s="418"/>
    </row>
    <row r="43" spans="5:6" s="408" customFormat="1">
      <c r="E43" s="418"/>
      <c r="F43" s="418"/>
    </row>
    <row r="44" spans="5:6" s="408" customFormat="1">
      <c r="E44" s="418"/>
      <c r="F44" s="418"/>
    </row>
    <row r="45" spans="5:6" s="408" customFormat="1">
      <c r="E45" s="418"/>
      <c r="F45" s="418"/>
    </row>
    <row r="46" spans="5:6" s="408" customFormat="1">
      <c r="E46" s="418"/>
      <c r="F46" s="418"/>
    </row>
    <row r="47" spans="5:6" s="408" customFormat="1">
      <c r="E47" s="418"/>
      <c r="F47" s="418"/>
    </row>
    <row r="48" spans="5:6" s="408" customFormat="1">
      <c r="E48" s="418"/>
      <c r="F48" s="418"/>
    </row>
    <row r="49" spans="5:6" s="408" customFormat="1">
      <c r="E49" s="418"/>
      <c r="F49" s="418"/>
    </row>
    <row r="50" spans="5:6" s="408" customFormat="1">
      <c r="E50" s="418"/>
      <c r="F50" s="418"/>
    </row>
    <row r="51" spans="5:6" s="408" customFormat="1">
      <c r="E51" s="418"/>
      <c r="F51" s="418"/>
    </row>
    <row r="52" spans="5:6" s="408" customFormat="1">
      <c r="E52" s="418"/>
      <c r="F52" s="418"/>
    </row>
    <row r="53" spans="5:6" s="408" customFormat="1">
      <c r="E53" s="418"/>
      <c r="F53" s="418"/>
    </row>
    <row r="54" spans="5:6" s="408" customFormat="1">
      <c r="E54" s="418"/>
      <c r="F54" s="418"/>
    </row>
    <row r="55" spans="5:6" s="408" customFormat="1">
      <c r="E55" s="418"/>
      <c r="F55" s="418"/>
    </row>
    <row r="56" spans="5:6" s="408" customFormat="1">
      <c r="E56" s="418"/>
      <c r="F56" s="418"/>
    </row>
    <row r="57" spans="5:6" s="408" customFormat="1">
      <c r="E57" s="418"/>
      <c r="F57" s="418"/>
    </row>
    <row r="58" spans="5:6" s="408" customFormat="1">
      <c r="E58" s="418"/>
      <c r="F58" s="418"/>
    </row>
    <row r="59" spans="5:6" s="408" customFormat="1">
      <c r="E59" s="418"/>
      <c r="F59" s="418"/>
    </row>
    <row r="60" spans="5:6" s="408" customFormat="1">
      <c r="E60" s="418"/>
      <c r="F60" s="418"/>
    </row>
    <row r="61" spans="5:6" s="408" customFormat="1">
      <c r="E61" s="418"/>
      <c r="F61" s="418"/>
    </row>
    <row r="62" spans="5:6" s="408" customFormat="1">
      <c r="E62" s="418"/>
      <c r="F62" s="418"/>
    </row>
    <row r="63" spans="5:6" s="408" customFormat="1">
      <c r="E63" s="418"/>
      <c r="F63" s="418"/>
    </row>
    <row r="64" spans="5:6" s="408" customFormat="1">
      <c r="E64" s="418"/>
      <c r="F64" s="418"/>
    </row>
    <row r="65" spans="5:6" s="408" customFormat="1">
      <c r="E65" s="418"/>
      <c r="F65" s="418"/>
    </row>
    <row r="66" spans="5:6" s="408" customFormat="1">
      <c r="E66" s="418"/>
      <c r="F66" s="418"/>
    </row>
    <row r="67" spans="5:6" s="408" customFormat="1">
      <c r="E67" s="418"/>
      <c r="F67" s="418"/>
    </row>
    <row r="68" spans="5:6" s="408" customFormat="1">
      <c r="E68" s="418"/>
      <c r="F68" s="418"/>
    </row>
    <row r="69" spans="5:6" s="408" customFormat="1">
      <c r="E69" s="418"/>
      <c r="F69" s="418"/>
    </row>
    <row r="70" spans="5:6" s="408" customFormat="1">
      <c r="E70" s="418"/>
      <c r="F70" s="418"/>
    </row>
    <row r="71" spans="5:6" s="408" customFormat="1">
      <c r="E71" s="418"/>
      <c r="F71" s="418"/>
    </row>
    <row r="72" spans="5:6" s="408" customFormat="1">
      <c r="E72" s="418"/>
      <c r="F72" s="418"/>
    </row>
    <row r="73" spans="5:6" s="408" customFormat="1">
      <c r="E73" s="418"/>
      <c r="F73" s="418"/>
    </row>
    <row r="74" spans="5:6" s="408" customFormat="1">
      <c r="E74" s="418"/>
      <c r="F74" s="418"/>
    </row>
    <row r="75" spans="5:6" s="408" customFormat="1">
      <c r="E75" s="418"/>
      <c r="F75" s="418"/>
    </row>
    <row r="76" spans="5:6" s="408" customFormat="1">
      <c r="E76" s="418"/>
      <c r="F76" s="418"/>
    </row>
    <row r="77" spans="5:6" s="408" customFormat="1">
      <c r="E77" s="418"/>
      <c r="F77" s="418"/>
    </row>
    <row r="78" spans="5:6" s="408" customFormat="1">
      <c r="E78" s="418"/>
      <c r="F78" s="418"/>
    </row>
    <row r="79" spans="5:6" s="408" customFormat="1">
      <c r="E79" s="418"/>
      <c r="F79" s="418"/>
    </row>
    <row r="80" spans="5:6" s="408" customFormat="1">
      <c r="E80" s="418"/>
      <c r="F80" s="418"/>
    </row>
    <row r="81" spans="5:6" s="408" customFormat="1">
      <c r="E81" s="418"/>
      <c r="F81" s="418"/>
    </row>
    <row r="82" spans="5:6" s="408" customFormat="1">
      <c r="E82" s="418"/>
      <c r="F82" s="418"/>
    </row>
    <row r="83" spans="5:6" s="408" customFormat="1">
      <c r="E83" s="418"/>
      <c r="F83" s="418"/>
    </row>
    <row r="84" spans="5:6" s="408" customFormat="1">
      <c r="E84" s="418"/>
      <c r="F84" s="418"/>
    </row>
    <row r="85" spans="5:6" s="408" customFormat="1">
      <c r="E85" s="418"/>
      <c r="F85" s="418"/>
    </row>
    <row r="86" spans="5:6" s="408" customFormat="1">
      <c r="E86" s="418"/>
      <c r="F86" s="418"/>
    </row>
    <row r="87" spans="5:6" s="408" customFormat="1">
      <c r="E87" s="418"/>
      <c r="F87" s="418"/>
    </row>
    <row r="88" spans="5:6" s="408" customFormat="1">
      <c r="E88" s="418"/>
      <c r="F88" s="418"/>
    </row>
    <row r="89" spans="5:6" s="408" customFormat="1">
      <c r="E89" s="418"/>
      <c r="F89" s="418"/>
    </row>
    <row r="90" spans="5:6" s="408" customFormat="1">
      <c r="E90" s="418"/>
      <c r="F90" s="418"/>
    </row>
    <row r="91" spans="5:6" s="408" customFormat="1">
      <c r="E91" s="418"/>
      <c r="F91" s="418"/>
    </row>
    <row r="92" spans="5:6" s="408" customFormat="1">
      <c r="E92" s="418"/>
      <c r="F92" s="418"/>
    </row>
    <row r="93" spans="5:6" s="408" customFormat="1">
      <c r="E93" s="418"/>
      <c r="F93" s="418"/>
    </row>
    <row r="94" spans="5:6" s="408" customFormat="1">
      <c r="E94" s="418"/>
      <c r="F94" s="418"/>
    </row>
    <row r="95" spans="5:6" s="408" customFormat="1">
      <c r="E95" s="418"/>
      <c r="F95" s="418"/>
    </row>
    <row r="96" spans="5:6" s="408" customFormat="1">
      <c r="E96" s="418"/>
      <c r="F96" s="418"/>
    </row>
    <row r="97" spans="5:6" s="408" customFormat="1">
      <c r="E97" s="418"/>
      <c r="F97" s="418"/>
    </row>
    <row r="98" spans="5:6" s="408" customFormat="1">
      <c r="E98" s="418"/>
      <c r="F98" s="418"/>
    </row>
    <row r="99" spans="5:6" s="408" customFormat="1">
      <c r="E99" s="418"/>
      <c r="F99" s="418"/>
    </row>
    <row r="100" spans="5:6" s="408" customFormat="1">
      <c r="E100" s="418"/>
      <c r="F100" s="418"/>
    </row>
    <row r="101" spans="5:6" s="408" customFormat="1">
      <c r="E101" s="418"/>
      <c r="F101" s="418"/>
    </row>
    <row r="102" spans="5:6" s="408" customFormat="1">
      <c r="E102" s="418"/>
      <c r="F102" s="418"/>
    </row>
    <row r="103" spans="5:6" s="408" customFormat="1">
      <c r="E103" s="418"/>
      <c r="F103" s="418"/>
    </row>
    <row r="104" spans="5:6" s="408" customFormat="1">
      <c r="E104" s="418"/>
      <c r="F104" s="418"/>
    </row>
    <row r="105" spans="5:6" s="408" customFormat="1">
      <c r="E105" s="418"/>
      <c r="F105" s="418"/>
    </row>
    <row r="106" spans="5:6" s="408" customFormat="1">
      <c r="E106" s="418"/>
      <c r="F106" s="418"/>
    </row>
    <row r="107" spans="5:6" s="408" customFormat="1">
      <c r="E107" s="418"/>
      <c r="F107" s="418"/>
    </row>
    <row r="108" spans="5:6" s="408" customFormat="1">
      <c r="E108" s="418"/>
      <c r="F108" s="418"/>
    </row>
    <row r="109" spans="5:6" s="408" customFormat="1">
      <c r="E109" s="418"/>
      <c r="F109" s="418"/>
    </row>
    <row r="110" spans="5:6" s="408" customFormat="1">
      <c r="E110" s="418"/>
      <c r="F110" s="418"/>
    </row>
    <row r="111" spans="5:6" s="408" customFormat="1">
      <c r="E111" s="418"/>
      <c r="F111" s="418"/>
    </row>
    <row r="112" spans="5:6" s="408" customFormat="1">
      <c r="E112" s="418"/>
      <c r="F112" s="418"/>
    </row>
    <row r="113" spans="5:6" s="408" customFormat="1">
      <c r="E113" s="418"/>
      <c r="F113" s="418"/>
    </row>
    <row r="114" spans="5:6" s="408" customFormat="1">
      <c r="E114" s="418"/>
      <c r="F114" s="418"/>
    </row>
    <row r="115" spans="5:6" s="408" customFormat="1">
      <c r="E115" s="418"/>
      <c r="F115" s="418"/>
    </row>
    <row r="116" spans="5:6" s="408" customFormat="1">
      <c r="E116" s="418"/>
      <c r="F116" s="418"/>
    </row>
    <row r="117" spans="5:6" s="408" customFormat="1">
      <c r="E117" s="418"/>
      <c r="F117" s="418"/>
    </row>
    <row r="118" spans="5:6" s="408" customFormat="1">
      <c r="E118" s="418"/>
      <c r="F118" s="418"/>
    </row>
    <row r="119" spans="5:6" s="408" customFormat="1">
      <c r="E119" s="418"/>
      <c r="F119" s="418"/>
    </row>
    <row r="120" spans="5:6" s="408" customFormat="1">
      <c r="E120" s="418"/>
      <c r="F120" s="418"/>
    </row>
    <row r="121" spans="5:6" s="408" customFormat="1">
      <c r="E121" s="418"/>
      <c r="F121" s="418"/>
    </row>
    <row r="122" spans="5:6" s="408" customFormat="1">
      <c r="E122" s="418"/>
      <c r="F122" s="418"/>
    </row>
    <row r="123" spans="5:6" s="408" customFormat="1">
      <c r="E123" s="418"/>
      <c r="F123" s="418"/>
    </row>
    <row r="124" spans="5:6" s="408" customFormat="1">
      <c r="E124" s="418"/>
      <c r="F124" s="418"/>
    </row>
    <row r="125" spans="5:6" s="408" customFormat="1">
      <c r="E125" s="418"/>
      <c r="F125" s="418"/>
    </row>
    <row r="126" spans="5:6" s="408" customFormat="1">
      <c r="E126" s="418"/>
      <c r="F126" s="418"/>
    </row>
    <row r="127" spans="5:6" s="408" customFormat="1">
      <c r="E127" s="418"/>
      <c r="F127" s="418"/>
    </row>
    <row r="128" spans="5:6" s="408" customFormat="1">
      <c r="E128" s="418"/>
      <c r="F128" s="418"/>
    </row>
    <row r="129" spans="5:6" s="408" customFormat="1">
      <c r="E129" s="418"/>
      <c r="F129" s="418"/>
    </row>
    <row r="130" spans="5:6" s="408" customFormat="1">
      <c r="E130" s="418"/>
      <c r="F130" s="418"/>
    </row>
    <row r="131" spans="5:6" s="408" customFormat="1">
      <c r="E131" s="418"/>
      <c r="F131" s="418"/>
    </row>
    <row r="132" spans="5:6" s="408" customFormat="1">
      <c r="E132" s="418"/>
      <c r="F132" s="418"/>
    </row>
    <row r="133" spans="5:6" s="408" customFormat="1">
      <c r="E133" s="418"/>
      <c r="F133" s="418"/>
    </row>
    <row r="134" spans="5:6" s="408" customFormat="1">
      <c r="E134" s="418"/>
      <c r="F134" s="418"/>
    </row>
    <row r="135" spans="5:6" s="408" customFormat="1">
      <c r="E135" s="418"/>
      <c r="F135" s="418"/>
    </row>
    <row r="136" spans="5:6" s="408" customFormat="1">
      <c r="E136" s="418"/>
      <c r="F136" s="418"/>
    </row>
    <row r="137" spans="5:6" s="408" customFormat="1">
      <c r="E137" s="418"/>
      <c r="F137" s="418"/>
    </row>
    <row r="138" spans="5:6" s="408" customFormat="1">
      <c r="E138" s="418"/>
      <c r="F138" s="418"/>
    </row>
    <row r="139" spans="5:6" s="408" customFormat="1">
      <c r="E139" s="418"/>
      <c r="F139" s="418"/>
    </row>
    <row r="140" spans="5:6" s="408" customFormat="1">
      <c r="E140" s="418"/>
      <c r="F140" s="418"/>
    </row>
    <row r="141" spans="5:6" s="408" customFormat="1">
      <c r="E141" s="418"/>
      <c r="F141" s="418"/>
    </row>
    <row r="142" spans="5:6" s="408" customFormat="1">
      <c r="E142" s="418"/>
      <c r="F142" s="418"/>
    </row>
    <row r="143" spans="5:6" s="408" customFormat="1">
      <c r="E143" s="418"/>
      <c r="F143" s="418"/>
    </row>
    <row r="144" spans="5:6" s="408" customFormat="1">
      <c r="E144" s="418"/>
      <c r="F144" s="418"/>
    </row>
    <row r="145" spans="5:6" s="408" customFormat="1">
      <c r="E145" s="418"/>
      <c r="F145" s="418"/>
    </row>
    <row r="146" spans="5:6" s="408" customFormat="1">
      <c r="E146" s="418"/>
      <c r="F146" s="418"/>
    </row>
    <row r="147" spans="5:6" s="408" customFormat="1">
      <c r="E147" s="418"/>
      <c r="F147" s="418"/>
    </row>
    <row r="148" spans="5:6" s="408" customFormat="1">
      <c r="E148" s="418"/>
      <c r="F148" s="418"/>
    </row>
    <row r="149" spans="5:6" s="408" customFormat="1">
      <c r="E149" s="418"/>
      <c r="F149" s="418"/>
    </row>
    <row r="150" spans="5:6" s="408" customFormat="1">
      <c r="E150" s="418"/>
      <c r="F150" s="418"/>
    </row>
    <row r="151" spans="5:6" s="408" customFormat="1">
      <c r="E151" s="418"/>
      <c r="F151" s="418"/>
    </row>
    <row r="152" spans="5:6" s="408" customFormat="1">
      <c r="E152" s="418"/>
      <c r="F152" s="418"/>
    </row>
    <row r="153" spans="5:6" s="408" customFormat="1">
      <c r="E153" s="418"/>
      <c r="F153" s="418"/>
    </row>
    <row r="154" spans="5:6" s="408" customFormat="1">
      <c r="E154" s="418"/>
      <c r="F154" s="418"/>
    </row>
    <row r="155" spans="5:6" s="408" customFormat="1">
      <c r="E155" s="418"/>
      <c r="F155" s="418"/>
    </row>
    <row r="156" spans="5:6" s="408" customFormat="1">
      <c r="E156" s="418"/>
      <c r="F156" s="418"/>
    </row>
    <row r="157" spans="5:6" s="408" customFormat="1">
      <c r="E157" s="418"/>
      <c r="F157" s="418"/>
    </row>
    <row r="158" spans="5:6" s="408" customFormat="1">
      <c r="E158" s="418"/>
      <c r="F158" s="418"/>
    </row>
    <row r="159" spans="5:6" s="408" customFormat="1">
      <c r="E159" s="418"/>
      <c r="F159" s="418"/>
    </row>
    <row r="160" spans="5:6" s="408" customFormat="1">
      <c r="E160" s="418"/>
      <c r="F160" s="418"/>
    </row>
    <row r="161" spans="5:6" s="408" customFormat="1">
      <c r="E161" s="418"/>
      <c r="F161" s="418"/>
    </row>
  </sheetData>
  <pageMargins left="0.7" right="0.51432291666666663" top="0.86956521739130432" bottom="0.61458333333333337" header="0.3" footer="0.3"/>
  <pageSetup orientation="portrait" r:id="rId1"/>
  <headerFooter>
    <oddHeader>&amp;R&amp;7Informe de la Operación Mensual - Abril 2018
INFSGI-MES-04-2018
10/05/2018
Versión: 01</oddHeader>
    <oddFooter>&amp;L&amp;7COES SINAC, 2018
&amp;C32&amp;R&amp;7Dirección Ejecutiva
Sub Dirección de Gestión de Información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93946-7A19-4C52-A4E6-47937C2A6AA0}">
  <sheetPr>
    <tabColor theme="4"/>
  </sheetPr>
  <dimension ref="B4:O65"/>
  <sheetViews>
    <sheetView showGridLines="0" view="pageBreakPreview" topLeftCell="A8" zoomScale="130" zoomScaleNormal="100" zoomScaleSheetLayoutView="130" workbookViewId="0">
      <selection activeCell="Q15" sqref="Q15"/>
    </sheetView>
  </sheetViews>
  <sheetFormatPr defaultRowHeight="11.25"/>
  <sheetData>
    <row r="4" spans="2:15">
      <c r="B4" s="426"/>
      <c r="C4" s="426"/>
      <c r="D4" s="426"/>
      <c r="E4" s="426"/>
      <c r="F4" s="426"/>
      <c r="G4" s="426"/>
      <c r="H4" s="426"/>
      <c r="I4" s="426"/>
      <c r="J4" s="426"/>
      <c r="K4" s="426"/>
      <c r="L4" s="426"/>
      <c r="M4" s="426"/>
      <c r="N4" s="426"/>
      <c r="O4" s="426"/>
    </row>
    <row r="5" spans="2:15">
      <c r="B5" s="426"/>
      <c r="C5" s="426"/>
      <c r="D5" s="426"/>
      <c r="E5" s="426"/>
      <c r="F5" s="426"/>
      <c r="G5" s="426"/>
      <c r="H5" s="426"/>
      <c r="I5" s="426"/>
      <c r="J5" s="426"/>
      <c r="K5" s="426"/>
      <c r="L5" s="426"/>
      <c r="M5" s="426"/>
      <c r="N5" s="426"/>
      <c r="O5" s="426"/>
    </row>
    <row r="6" spans="2:15">
      <c r="B6" s="426"/>
      <c r="C6" s="426"/>
      <c r="D6" s="426"/>
      <c r="E6" s="426"/>
      <c r="F6" s="426"/>
      <c r="G6" s="426"/>
      <c r="H6" s="426"/>
      <c r="I6" s="426"/>
      <c r="J6" s="426"/>
      <c r="K6" s="426"/>
      <c r="L6" s="426"/>
      <c r="M6" s="426"/>
      <c r="N6" s="426"/>
      <c r="O6" s="426"/>
    </row>
    <row r="7" spans="2:15">
      <c r="B7" s="427"/>
      <c r="C7" s="426"/>
      <c r="D7" s="426"/>
      <c r="E7" s="426"/>
      <c r="F7" s="426"/>
      <c r="G7" s="426"/>
      <c r="H7" s="426"/>
      <c r="I7" s="426"/>
      <c r="J7" s="426"/>
      <c r="K7" s="426"/>
      <c r="L7" s="426"/>
      <c r="M7" s="426"/>
      <c r="N7" s="426"/>
      <c r="O7" s="426"/>
    </row>
    <row r="8" spans="2:15">
      <c r="B8" s="427"/>
      <c r="C8" s="426"/>
      <c r="D8" s="426"/>
      <c r="E8" s="426"/>
      <c r="F8" s="426"/>
      <c r="G8" s="426"/>
      <c r="H8" s="426"/>
      <c r="I8" s="426"/>
      <c r="J8" s="426"/>
      <c r="K8" s="426"/>
      <c r="L8" s="426"/>
      <c r="M8" s="426"/>
      <c r="N8" s="426"/>
      <c r="O8" s="426"/>
    </row>
    <row r="9" spans="2:15">
      <c r="B9" s="427"/>
      <c r="C9" s="426"/>
      <c r="D9" s="426"/>
      <c r="E9" s="426"/>
      <c r="F9" s="426"/>
      <c r="G9" s="426"/>
      <c r="H9" s="426"/>
      <c r="I9" s="426"/>
      <c r="J9" s="426"/>
      <c r="K9" s="426"/>
      <c r="L9" s="426"/>
      <c r="M9" s="426"/>
      <c r="N9" s="426"/>
      <c r="O9" s="426"/>
    </row>
    <row r="10" spans="2:15">
      <c r="B10" s="426"/>
      <c r="C10" s="426"/>
      <c r="D10" s="426"/>
      <c r="E10" s="426"/>
      <c r="F10" s="426"/>
      <c r="G10" s="426"/>
      <c r="H10" s="426"/>
      <c r="I10" s="426"/>
      <c r="J10" s="426"/>
      <c r="K10" s="426"/>
      <c r="L10" s="426"/>
      <c r="M10" s="426"/>
      <c r="N10" s="426"/>
      <c r="O10" s="426"/>
    </row>
    <row r="11" spans="2:15">
      <c r="B11" s="426"/>
      <c r="C11" s="426"/>
      <c r="D11" s="426"/>
      <c r="E11" s="426"/>
      <c r="F11" s="426"/>
      <c r="G11" s="426"/>
      <c r="H11" s="426"/>
      <c r="I11" s="426"/>
      <c r="J11" s="426"/>
      <c r="K11" s="426"/>
      <c r="L11" s="426"/>
      <c r="M11" s="426"/>
      <c r="N11" s="426"/>
      <c r="O11" s="426"/>
    </row>
    <row r="12" spans="2:15">
      <c r="B12" s="426"/>
      <c r="C12" s="426"/>
      <c r="D12" s="426"/>
      <c r="E12" s="426"/>
      <c r="F12" s="426"/>
      <c r="G12" s="426"/>
      <c r="H12" s="426"/>
      <c r="I12" s="426"/>
      <c r="J12" s="426"/>
      <c r="K12" s="426"/>
      <c r="L12" s="426"/>
      <c r="M12" s="426"/>
      <c r="N12" s="426"/>
      <c r="O12" s="426"/>
    </row>
    <row r="13" spans="2:15" ht="12.75">
      <c r="B13" s="428"/>
      <c r="C13" s="426"/>
      <c r="D13" s="426"/>
      <c r="E13" s="426"/>
      <c r="F13" s="426"/>
      <c r="G13" s="426"/>
      <c r="H13" s="426"/>
      <c r="I13" s="426"/>
      <c r="J13" s="426"/>
      <c r="K13" s="426"/>
      <c r="L13" s="426"/>
      <c r="M13" s="426"/>
      <c r="N13" s="426"/>
      <c r="O13" s="426"/>
    </row>
    <row r="14" spans="2:15">
      <c r="B14" s="426"/>
      <c r="C14" s="426"/>
      <c r="D14" s="426"/>
      <c r="E14" s="426"/>
      <c r="F14" s="426"/>
      <c r="G14" s="426"/>
      <c r="H14" s="426"/>
      <c r="I14" s="426"/>
      <c r="J14" s="426"/>
      <c r="K14" s="426"/>
      <c r="L14" s="426"/>
      <c r="M14" s="426"/>
      <c r="N14" s="426"/>
      <c r="O14" s="426"/>
    </row>
    <row r="15" spans="2:15">
      <c r="B15" s="426"/>
      <c r="C15" s="426"/>
      <c r="D15" s="426"/>
      <c r="E15" s="426"/>
      <c r="F15" s="426"/>
      <c r="G15" s="426"/>
      <c r="H15" s="426"/>
      <c r="I15" s="426"/>
      <c r="J15" s="426"/>
      <c r="K15" s="426"/>
      <c r="L15" s="426"/>
      <c r="M15" s="426"/>
      <c r="N15" s="426"/>
      <c r="O15" s="426"/>
    </row>
    <row r="16" spans="2:15">
      <c r="B16" s="426"/>
      <c r="C16" s="426"/>
      <c r="D16" s="426"/>
      <c r="E16" s="426"/>
      <c r="F16" s="426"/>
      <c r="G16" s="426"/>
      <c r="H16" s="426"/>
      <c r="I16" s="426"/>
      <c r="J16" s="426"/>
      <c r="K16" s="426"/>
      <c r="L16" s="426"/>
      <c r="M16" s="426"/>
      <c r="N16" s="426"/>
      <c r="O16" s="426"/>
    </row>
    <row r="17" spans="2:15">
      <c r="B17" s="426"/>
      <c r="C17" s="426"/>
      <c r="D17" s="426"/>
      <c r="E17" s="426"/>
      <c r="F17" s="426"/>
      <c r="G17" s="426"/>
      <c r="H17" s="426"/>
      <c r="I17" s="426"/>
      <c r="J17" s="426"/>
      <c r="K17" s="426"/>
      <c r="L17" s="426"/>
      <c r="M17" s="426"/>
      <c r="N17" s="426"/>
      <c r="O17" s="426"/>
    </row>
    <row r="18" spans="2:15">
      <c r="B18" s="426"/>
      <c r="C18" s="426"/>
      <c r="D18" s="426"/>
      <c r="E18" s="426"/>
      <c r="F18" s="426"/>
      <c r="G18" s="426"/>
      <c r="H18" s="426"/>
      <c r="I18" s="426"/>
      <c r="J18" s="426"/>
      <c r="K18" s="426"/>
      <c r="L18" s="426"/>
      <c r="M18" s="426"/>
      <c r="N18" s="426"/>
      <c r="O18" s="426"/>
    </row>
    <row r="19" spans="2:15">
      <c r="B19" s="426"/>
      <c r="C19" s="426"/>
      <c r="D19" s="426"/>
      <c r="E19" s="426"/>
      <c r="F19" s="426"/>
      <c r="G19" s="426"/>
      <c r="H19" s="426"/>
      <c r="I19" s="426"/>
      <c r="J19" s="426" t="s">
        <v>8</v>
      </c>
      <c r="K19" s="426"/>
      <c r="L19" s="426"/>
      <c r="M19" s="426"/>
      <c r="N19" s="426"/>
      <c r="O19" s="426"/>
    </row>
    <row r="20" spans="2:15">
      <c r="B20" s="426"/>
      <c r="C20" s="426"/>
      <c r="D20" s="426"/>
      <c r="E20" s="426"/>
      <c r="F20" s="426"/>
      <c r="G20" s="426"/>
      <c r="H20" s="426"/>
      <c r="I20" s="426"/>
      <c r="J20" s="426"/>
      <c r="K20" s="426"/>
      <c r="L20" s="426"/>
      <c r="M20" s="426"/>
      <c r="N20" s="426"/>
      <c r="O20" s="426"/>
    </row>
    <row r="21" spans="2:15">
      <c r="B21" s="426"/>
      <c r="C21" s="426"/>
      <c r="D21" s="426"/>
      <c r="E21" s="426"/>
      <c r="F21" s="426"/>
      <c r="G21" s="426"/>
      <c r="H21" s="426"/>
      <c r="I21" s="426"/>
      <c r="J21" s="426"/>
      <c r="K21" s="426"/>
      <c r="L21" s="426"/>
      <c r="M21" s="426"/>
      <c r="N21" s="426"/>
      <c r="O21" s="426"/>
    </row>
    <row r="22" spans="2:15">
      <c r="B22" s="426"/>
      <c r="C22" s="426"/>
      <c r="D22" s="426"/>
      <c r="E22" s="426"/>
      <c r="F22" s="426"/>
      <c r="G22" s="426"/>
      <c r="H22" s="426"/>
      <c r="I22" s="426"/>
      <c r="J22" s="426"/>
      <c r="K22" s="426"/>
      <c r="L22" s="426"/>
      <c r="M22" s="426"/>
      <c r="N22" s="426"/>
      <c r="O22" s="426"/>
    </row>
    <row r="23" spans="2:15">
      <c r="B23" s="426"/>
      <c r="C23" s="426"/>
      <c r="D23" s="426"/>
      <c r="E23" s="426"/>
      <c r="F23" s="426"/>
      <c r="G23" s="426"/>
      <c r="H23" s="426"/>
      <c r="I23" s="426"/>
      <c r="J23" s="426"/>
      <c r="K23" s="426"/>
      <c r="L23" s="426"/>
      <c r="M23" s="426"/>
      <c r="N23" s="426"/>
      <c r="O23" s="426"/>
    </row>
    <row r="24" spans="2:15">
      <c r="B24" s="426"/>
      <c r="C24" s="426"/>
      <c r="D24" s="426"/>
      <c r="E24" s="426"/>
      <c r="F24" s="426"/>
      <c r="G24" s="426"/>
      <c r="H24" s="426"/>
      <c r="I24" s="426"/>
      <c r="J24" s="426"/>
      <c r="K24" s="426"/>
      <c r="L24" s="426"/>
      <c r="M24" s="426"/>
      <c r="N24" s="426"/>
      <c r="O24" s="426"/>
    </row>
    <row r="25" spans="2:15">
      <c r="B25" s="426"/>
      <c r="C25" s="426"/>
      <c r="D25" s="426"/>
      <c r="E25" s="426"/>
      <c r="F25" s="426"/>
      <c r="G25" s="426"/>
      <c r="H25" s="426"/>
      <c r="I25" s="426"/>
      <c r="J25" s="426"/>
      <c r="K25" s="426"/>
      <c r="L25" s="426"/>
      <c r="M25" s="426"/>
      <c r="N25" s="426"/>
      <c r="O25" s="426"/>
    </row>
    <row r="26" spans="2:15">
      <c r="B26" s="426"/>
      <c r="C26" s="426"/>
      <c r="D26" s="426"/>
      <c r="E26" s="426"/>
      <c r="F26" s="426"/>
      <c r="G26" s="426"/>
      <c r="H26" s="426"/>
      <c r="I26" s="426"/>
      <c r="J26" s="426"/>
      <c r="K26" s="426"/>
      <c r="L26" s="426"/>
      <c r="M26" s="426"/>
      <c r="N26" s="426"/>
      <c r="O26" s="426"/>
    </row>
    <row r="27" spans="2:15">
      <c r="B27" s="426"/>
      <c r="C27" s="426"/>
      <c r="D27" s="426"/>
      <c r="E27" s="426"/>
      <c r="F27" s="426"/>
      <c r="G27" s="426"/>
      <c r="H27" s="426"/>
      <c r="I27" s="426"/>
      <c r="J27" s="426"/>
      <c r="K27" s="426"/>
      <c r="L27" s="426"/>
      <c r="M27" s="426"/>
      <c r="N27" s="426"/>
      <c r="O27" s="426"/>
    </row>
    <row r="28" spans="2:15">
      <c r="B28" s="426"/>
      <c r="C28" s="426"/>
      <c r="D28" s="426"/>
      <c r="E28" s="426"/>
      <c r="F28" s="426"/>
      <c r="G28" s="426"/>
      <c r="H28" s="426"/>
      <c r="I28" s="426"/>
      <c r="J28" s="426"/>
      <c r="K28" s="426"/>
      <c r="L28" s="426"/>
      <c r="M28" s="426"/>
      <c r="N28" s="426"/>
      <c r="O28" s="426"/>
    </row>
    <row r="29" spans="2:15">
      <c r="B29" s="426"/>
      <c r="C29" s="426"/>
      <c r="D29" s="426"/>
      <c r="E29" s="426"/>
      <c r="F29" s="426"/>
      <c r="G29" s="426"/>
      <c r="H29" s="426"/>
      <c r="I29" s="426"/>
      <c r="J29" s="426"/>
      <c r="K29" s="426"/>
      <c r="L29" s="426"/>
      <c r="M29" s="426"/>
      <c r="N29" s="426"/>
      <c r="O29" s="426"/>
    </row>
    <row r="30" spans="2:15">
      <c r="B30" s="426"/>
      <c r="C30" s="426"/>
      <c r="D30" s="426"/>
      <c r="E30" s="426"/>
      <c r="F30" s="426"/>
      <c r="G30" s="426"/>
      <c r="H30" s="426"/>
      <c r="I30" s="426"/>
      <c r="J30" s="426"/>
      <c r="K30" s="426"/>
      <c r="L30" s="426"/>
      <c r="M30" s="426"/>
      <c r="N30" s="426"/>
      <c r="O30" s="426"/>
    </row>
    <row r="31" spans="2:15">
      <c r="B31" s="426"/>
      <c r="C31" s="426"/>
      <c r="D31" s="426"/>
      <c r="E31" s="426"/>
      <c r="F31" s="426"/>
      <c r="G31" s="426"/>
      <c r="H31" s="426"/>
      <c r="I31" s="426"/>
      <c r="J31" s="426"/>
      <c r="K31" s="426"/>
      <c r="L31" s="426"/>
      <c r="M31" s="426"/>
      <c r="N31" s="426"/>
      <c r="O31" s="426"/>
    </row>
    <row r="32" spans="2:15">
      <c r="B32" s="426"/>
      <c r="C32" s="426"/>
      <c r="D32" s="426"/>
      <c r="E32" s="426"/>
      <c r="F32" s="426"/>
      <c r="G32" s="426"/>
      <c r="H32" s="426"/>
      <c r="I32" s="426"/>
      <c r="J32" s="426"/>
      <c r="K32" s="426"/>
      <c r="L32" s="426"/>
      <c r="M32" s="426"/>
      <c r="N32" s="426"/>
      <c r="O32" s="426"/>
    </row>
    <row r="33" spans="2:15">
      <c r="B33" s="426"/>
      <c r="C33" s="426"/>
      <c r="D33" s="426"/>
      <c r="E33" s="426"/>
      <c r="F33" s="426"/>
      <c r="G33" s="426"/>
      <c r="H33" s="426"/>
      <c r="I33" s="426"/>
      <c r="J33" s="426"/>
      <c r="K33" s="426"/>
      <c r="L33" s="426"/>
      <c r="M33" s="426"/>
      <c r="N33" s="426"/>
      <c r="O33" s="426"/>
    </row>
    <row r="34" spans="2:15">
      <c r="B34" s="426"/>
      <c r="C34" s="426"/>
      <c r="D34" s="426"/>
      <c r="E34" s="426"/>
      <c r="F34" s="426"/>
      <c r="G34" s="426"/>
      <c r="H34" s="426"/>
      <c r="I34" s="426"/>
      <c r="J34" s="426"/>
      <c r="K34" s="426"/>
      <c r="L34" s="426"/>
      <c r="M34" s="426"/>
      <c r="N34" s="426"/>
      <c r="O34" s="426"/>
    </row>
    <row r="35" spans="2:15">
      <c r="B35" s="426"/>
      <c r="C35" s="426"/>
      <c r="D35" s="426"/>
      <c r="E35" s="426"/>
      <c r="F35" s="426"/>
      <c r="G35" s="426"/>
      <c r="H35" s="426"/>
      <c r="I35" s="426"/>
      <c r="J35" s="426"/>
      <c r="K35" s="426"/>
      <c r="L35" s="426"/>
      <c r="M35" s="426"/>
      <c r="N35" s="426"/>
      <c r="O35" s="426"/>
    </row>
    <row r="36" spans="2:15">
      <c r="B36" s="426"/>
      <c r="C36" s="426"/>
      <c r="D36" s="426"/>
      <c r="E36" s="426"/>
      <c r="F36" s="426"/>
      <c r="G36" s="426"/>
      <c r="H36" s="426"/>
      <c r="I36" s="426"/>
      <c r="J36" s="426"/>
      <c r="K36" s="426"/>
      <c r="L36" s="426"/>
      <c r="M36" s="426"/>
      <c r="N36" s="426"/>
      <c r="O36" s="426"/>
    </row>
    <row r="37" spans="2:15">
      <c r="B37" s="426"/>
      <c r="C37" s="426"/>
      <c r="D37" s="426"/>
      <c r="E37" s="426"/>
      <c r="F37" s="426"/>
      <c r="G37" s="426"/>
      <c r="H37" s="426"/>
      <c r="I37" s="426"/>
      <c r="J37" s="426"/>
      <c r="K37" s="426"/>
      <c r="L37" s="426"/>
      <c r="M37" s="426"/>
      <c r="N37" s="426"/>
      <c r="O37" s="426"/>
    </row>
    <row r="38" spans="2:15">
      <c r="B38" s="426"/>
      <c r="C38" s="426"/>
      <c r="D38" s="426"/>
      <c r="E38" s="426"/>
      <c r="F38" s="426"/>
      <c r="G38" s="426"/>
      <c r="H38" s="426"/>
      <c r="I38" s="426"/>
      <c r="J38" s="426"/>
      <c r="K38" s="426"/>
      <c r="L38" s="426"/>
      <c r="M38" s="426"/>
      <c r="N38" s="426"/>
      <c r="O38" s="426"/>
    </row>
    <row r="39" spans="2:15">
      <c r="B39" s="426"/>
      <c r="C39" s="426"/>
      <c r="D39" s="426"/>
      <c r="E39" s="426"/>
      <c r="F39" s="426"/>
      <c r="G39" s="426"/>
      <c r="H39" s="426"/>
      <c r="I39" s="426"/>
      <c r="J39" s="426"/>
      <c r="K39" s="426"/>
      <c r="L39" s="426"/>
      <c r="M39" s="426"/>
      <c r="N39" s="426"/>
      <c r="O39" s="426"/>
    </row>
    <row r="40" spans="2:15">
      <c r="B40" s="426"/>
      <c r="C40" s="426"/>
      <c r="D40" s="426"/>
      <c r="E40" s="426"/>
      <c r="F40" s="426"/>
      <c r="G40" s="426"/>
      <c r="H40" s="426"/>
      <c r="I40" s="426"/>
      <c r="J40" s="426"/>
      <c r="K40" s="426"/>
      <c r="L40" s="426"/>
      <c r="M40" s="426"/>
      <c r="N40" s="426"/>
      <c r="O40" s="426"/>
    </row>
    <row r="41" spans="2:15">
      <c r="B41" s="426"/>
      <c r="C41" s="426"/>
      <c r="D41" s="426"/>
      <c r="E41" s="426"/>
      <c r="F41" s="426"/>
      <c r="G41" s="426"/>
      <c r="H41" s="426"/>
      <c r="I41" s="426"/>
      <c r="J41" s="426"/>
      <c r="K41" s="426"/>
      <c r="L41" s="426"/>
      <c r="M41" s="426"/>
      <c r="N41" s="426"/>
      <c r="O41" s="426"/>
    </row>
    <row r="42" spans="2:15">
      <c r="B42" s="426"/>
      <c r="C42" s="426"/>
      <c r="D42" s="426"/>
      <c r="E42" s="426"/>
      <c r="F42" s="426"/>
      <c r="G42" s="426"/>
      <c r="H42" s="426"/>
      <c r="I42" s="426"/>
      <c r="J42" s="426"/>
      <c r="K42" s="426"/>
      <c r="L42" s="426"/>
      <c r="M42" s="426"/>
      <c r="N42" s="426"/>
      <c r="O42" s="426"/>
    </row>
    <row r="43" spans="2:15">
      <c r="B43" s="426"/>
      <c r="C43" s="426"/>
      <c r="D43" s="426"/>
      <c r="E43" s="426"/>
      <c r="F43" s="426"/>
      <c r="G43" s="426"/>
      <c r="H43" s="426"/>
      <c r="I43" s="426"/>
      <c r="J43" s="426"/>
      <c r="K43" s="426"/>
      <c r="L43" s="426"/>
      <c r="M43" s="426"/>
      <c r="N43" s="426"/>
      <c r="O43" s="426"/>
    </row>
    <row r="44" spans="2:15">
      <c r="B44" s="426"/>
      <c r="C44" s="426"/>
      <c r="D44" s="426"/>
      <c r="E44" s="426"/>
      <c r="F44" s="426"/>
      <c r="G44" s="426"/>
      <c r="H44" s="426"/>
      <c r="I44" s="426"/>
      <c r="J44" s="426"/>
      <c r="K44" s="426"/>
      <c r="L44" s="426"/>
      <c r="M44" s="426"/>
      <c r="N44" s="426"/>
      <c r="O44" s="426"/>
    </row>
    <row r="45" spans="2:15">
      <c r="B45" s="426"/>
      <c r="C45" s="426"/>
      <c r="D45" s="426"/>
      <c r="E45" s="426"/>
      <c r="F45" s="426"/>
      <c r="G45" s="426"/>
      <c r="H45" s="426"/>
      <c r="I45" s="426"/>
      <c r="J45" s="426"/>
      <c r="K45" s="426"/>
      <c r="L45" s="426"/>
      <c r="M45" s="426"/>
      <c r="N45" s="426"/>
      <c r="O45" s="426"/>
    </row>
    <row r="46" spans="2:15">
      <c r="B46" s="426"/>
      <c r="C46" s="426"/>
      <c r="D46" s="426"/>
      <c r="E46" s="426"/>
      <c r="F46" s="426"/>
      <c r="G46" s="426"/>
      <c r="H46" s="426"/>
      <c r="I46" s="426"/>
      <c r="J46" s="426"/>
      <c r="K46" s="426"/>
      <c r="L46" s="426"/>
      <c r="M46" s="426"/>
      <c r="N46" s="426"/>
      <c r="O46" s="426"/>
    </row>
    <row r="47" spans="2:15">
      <c r="B47" s="426"/>
      <c r="C47" s="426"/>
      <c r="D47" s="426"/>
      <c r="E47" s="426"/>
      <c r="F47" s="426"/>
      <c r="G47" s="426"/>
      <c r="H47" s="426"/>
      <c r="I47" s="426"/>
      <c r="J47" s="426"/>
      <c r="K47" s="426"/>
      <c r="L47" s="426"/>
      <c r="M47" s="426"/>
      <c r="N47" s="426"/>
      <c r="O47" s="426"/>
    </row>
    <row r="48" spans="2:15">
      <c r="B48" s="426"/>
      <c r="C48" s="426"/>
      <c r="D48" s="426"/>
      <c r="E48" s="426"/>
      <c r="F48" s="426"/>
      <c r="G48" s="426"/>
      <c r="H48" s="426"/>
      <c r="I48" s="426"/>
      <c r="J48" s="426"/>
      <c r="K48" s="426"/>
      <c r="L48" s="426"/>
      <c r="M48" s="426"/>
      <c r="N48" s="426"/>
      <c r="O48" s="426"/>
    </row>
    <row r="49" spans="2:15">
      <c r="B49" s="426"/>
      <c r="C49" s="426"/>
      <c r="D49" s="426"/>
      <c r="E49" s="426"/>
      <c r="F49" s="426"/>
      <c r="G49" s="426"/>
      <c r="H49" s="426"/>
      <c r="I49" s="426"/>
      <c r="J49" s="426"/>
      <c r="K49" s="426"/>
      <c r="L49" s="426"/>
      <c r="M49" s="426"/>
      <c r="N49" s="426"/>
      <c r="O49" s="426"/>
    </row>
    <row r="50" spans="2:15">
      <c r="B50" s="426"/>
      <c r="C50" s="426"/>
      <c r="D50" s="426"/>
      <c r="E50" s="426"/>
      <c r="F50" s="426"/>
      <c r="G50" s="426"/>
      <c r="H50" s="426"/>
      <c r="I50" s="426"/>
      <c r="J50" s="426"/>
      <c r="K50" s="426"/>
      <c r="L50" s="426"/>
      <c r="M50" s="426"/>
      <c r="N50" s="426"/>
      <c r="O50" s="426"/>
    </row>
    <row r="51" spans="2:15">
      <c r="B51" s="426"/>
      <c r="C51" s="426"/>
      <c r="D51" s="426"/>
      <c r="E51" s="426"/>
      <c r="F51" s="426"/>
      <c r="G51" s="426"/>
      <c r="H51" s="426"/>
      <c r="I51" s="426"/>
      <c r="J51" s="426"/>
      <c r="K51" s="426"/>
      <c r="L51" s="426"/>
      <c r="M51" s="426"/>
      <c r="N51" s="426"/>
      <c r="O51" s="426"/>
    </row>
    <row r="52" spans="2:15">
      <c r="B52" s="426"/>
      <c r="C52" s="426"/>
      <c r="D52" s="426"/>
      <c r="E52" s="426"/>
      <c r="F52" s="426"/>
      <c r="G52" s="426"/>
      <c r="H52" s="426"/>
      <c r="I52" s="426"/>
      <c r="J52" s="426"/>
      <c r="K52" s="426"/>
      <c r="L52" s="426"/>
      <c r="M52" s="426"/>
      <c r="N52" s="426"/>
      <c r="O52" s="426"/>
    </row>
    <row r="53" spans="2:15">
      <c r="B53" s="426"/>
      <c r="C53" s="426"/>
      <c r="D53" s="426"/>
      <c r="E53" s="426"/>
      <c r="F53" s="426"/>
      <c r="G53" s="426"/>
      <c r="H53" s="426"/>
      <c r="I53" s="426"/>
      <c r="J53" s="426"/>
      <c r="K53" s="426"/>
      <c r="L53" s="426"/>
      <c r="M53" s="426"/>
      <c r="N53" s="426"/>
      <c r="O53" s="426"/>
    </row>
    <row r="54" spans="2:15">
      <c r="B54" s="426"/>
      <c r="C54" s="426"/>
      <c r="D54" s="426"/>
      <c r="E54" s="426"/>
      <c r="F54" s="426"/>
      <c r="G54" s="426"/>
      <c r="H54" s="426"/>
      <c r="I54" s="426"/>
      <c r="J54" s="426"/>
      <c r="K54" s="426"/>
      <c r="L54" s="426"/>
      <c r="M54" s="426"/>
      <c r="N54" s="426"/>
      <c r="O54" s="426"/>
    </row>
    <row r="55" spans="2:15">
      <c r="B55" s="426"/>
      <c r="C55" s="426"/>
      <c r="D55" s="426"/>
      <c r="E55" s="426"/>
      <c r="F55" s="426"/>
      <c r="G55" s="426"/>
      <c r="H55" s="426"/>
      <c r="I55" s="426"/>
      <c r="J55" s="426"/>
      <c r="K55" s="426"/>
      <c r="L55" s="426"/>
      <c r="M55" s="426"/>
      <c r="N55" s="426"/>
      <c r="O55" s="426"/>
    </row>
    <row r="56" spans="2:15">
      <c r="B56" s="426"/>
      <c r="C56" s="426"/>
      <c r="D56" s="426"/>
      <c r="E56" s="426"/>
      <c r="F56" s="426"/>
      <c r="G56" s="426"/>
      <c r="H56" s="426"/>
      <c r="I56" s="426"/>
      <c r="J56" s="426"/>
      <c r="K56" s="426"/>
      <c r="L56" s="426"/>
      <c r="M56" s="426"/>
      <c r="N56" s="426"/>
      <c r="O56" s="426"/>
    </row>
    <row r="57" spans="2:15">
      <c r="B57" s="426"/>
      <c r="C57" s="426"/>
      <c r="D57" s="426"/>
      <c r="E57" s="426"/>
      <c r="F57" s="426"/>
      <c r="G57" s="426"/>
      <c r="H57" s="426"/>
      <c r="I57" s="426"/>
      <c r="J57" s="426"/>
      <c r="K57" s="426"/>
      <c r="L57" s="426"/>
      <c r="M57" s="426"/>
      <c r="N57" s="426"/>
      <c r="O57" s="426"/>
    </row>
    <row r="58" spans="2:15">
      <c r="B58" s="426"/>
      <c r="C58" s="426"/>
      <c r="D58" s="426"/>
      <c r="E58" s="426"/>
      <c r="F58" s="426"/>
      <c r="G58" s="426"/>
      <c r="H58" s="426"/>
      <c r="I58" s="426"/>
      <c r="J58" s="426"/>
      <c r="K58" s="426"/>
      <c r="L58" s="426"/>
      <c r="M58" s="426"/>
      <c r="N58" s="426"/>
      <c r="O58" s="426"/>
    </row>
    <row r="59" spans="2:15">
      <c r="B59" s="426"/>
      <c r="C59" s="426"/>
      <c r="D59" s="426"/>
      <c r="E59" s="426"/>
      <c r="F59" s="426"/>
      <c r="G59" s="426"/>
      <c r="H59" s="426"/>
      <c r="I59" s="426"/>
      <c r="J59" s="426"/>
      <c r="K59" s="426"/>
      <c r="L59" s="426"/>
      <c r="M59" s="426"/>
      <c r="N59" s="426"/>
      <c r="O59" s="426"/>
    </row>
    <row r="60" spans="2:15">
      <c r="B60" s="426"/>
      <c r="C60" s="426"/>
      <c r="D60" s="426"/>
      <c r="E60" s="426"/>
      <c r="F60" s="426"/>
      <c r="G60" s="426"/>
      <c r="H60" s="426"/>
      <c r="I60" s="426"/>
      <c r="J60" s="426"/>
      <c r="K60" s="426"/>
      <c r="L60" s="426"/>
      <c r="M60" s="426"/>
      <c r="N60" s="426"/>
      <c r="O60" s="426"/>
    </row>
    <row r="61" spans="2:15">
      <c r="B61" s="426"/>
      <c r="C61" s="426"/>
      <c r="D61" s="426"/>
      <c r="E61" s="426"/>
      <c r="F61" s="426"/>
      <c r="G61" s="426"/>
      <c r="H61" s="426"/>
      <c r="I61" s="426"/>
      <c r="J61" s="426"/>
      <c r="K61" s="426"/>
      <c r="L61" s="426"/>
      <c r="M61" s="426"/>
      <c r="N61" s="426"/>
      <c r="O61" s="426"/>
    </row>
    <row r="62" spans="2:15">
      <c r="B62" s="426"/>
      <c r="C62" s="426"/>
      <c r="D62" s="426"/>
      <c r="E62" s="426"/>
      <c r="F62" s="426"/>
      <c r="G62" s="426"/>
      <c r="H62" s="426"/>
      <c r="I62" s="426"/>
      <c r="J62" s="426"/>
      <c r="K62" s="426"/>
      <c r="L62" s="426"/>
      <c r="M62" s="426"/>
      <c r="N62" s="426"/>
      <c r="O62" s="426"/>
    </row>
    <row r="63" spans="2:15">
      <c r="B63" s="426"/>
      <c r="C63" s="426"/>
      <c r="D63" s="426"/>
      <c r="E63" s="426"/>
      <c r="F63" s="426"/>
      <c r="G63" s="426"/>
      <c r="H63" s="426"/>
      <c r="I63" s="426"/>
      <c r="J63" s="426"/>
      <c r="K63" s="426"/>
      <c r="L63" s="426"/>
      <c r="M63" s="426"/>
      <c r="N63" s="426"/>
      <c r="O63" s="426"/>
    </row>
    <row r="64" spans="2:15">
      <c r="B64" s="426"/>
      <c r="C64" s="426"/>
      <c r="D64" s="426"/>
      <c r="E64" s="426"/>
      <c r="F64" s="426"/>
      <c r="G64" s="426"/>
      <c r="H64" s="426"/>
      <c r="I64" s="426"/>
      <c r="J64" s="426"/>
      <c r="K64" s="426"/>
      <c r="L64" s="426"/>
      <c r="M64" s="426"/>
      <c r="N64" s="426"/>
      <c r="O64" s="426"/>
    </row>
    <row r="65" spans="2:15">
      <c r="B65" s="426"/>
      <c r="C65" s="426"/>
      <c r="D65" s="426"/>
      <c r="E65" s="426"/>
      <c r="F65" s="426"/>
      <c r="G65" s="426"/>
      <c r="H65" s="426"/>
      <c r="I65" s="426"/>
      <c r="J65" s="426"/>
      <c r="K65" s="426"/>
      <c r="L65" s="426"/>
      <c r="M65" s="426"/>
      <c r="N65" s="426"/>
      <c r="O65" s="4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89D1-05B2-4F97-B1FF-AE49CF1D8CBB}">
  <sheetPr>
    <tabColor theme="4"/>
  </sheetPr>
  <dimension ref="A2:O59"/>
  <sheetViews>
    <sheetView showGridLines="0" view="pageBreakPreview" topLeftCell="A5" zoomScale="175" zoomScaleNormal="100" zoomScaleSheetLayoutView="175" zoomScalePageLayoutView="160" workbookViewId="0">
      <selection activeCell="Q15" sqref="Q15"/>
    </sheetView>
  </sheetViews>
  <sheetFormatPr defaultRowHeight="11.25"/>
  <cols>
    <col min="1" max="1" width="12" style="95" customWidth="1"/>
    <col min="2" max="3" width="11" style="95" customWidth="1"/>
    <col min="4" max="5" width="11.33203125" style="95" customWidth="1"/>
    <col min="6" max="6" width="12.33203125" style="95" customWidth="1"/>
    <col min="7" max="7" width="9.33203125" style="95"/>
    <col min="8" max="8" width="13.33203125" style="95" customWidth="1"/>
    <col min="9" max="9" width="13.1640625" style="95" customWidth="1"/>
    <col min="10" max="10" width="11.6640625" style="95" customWidth="1"/>
    <col min="11" max="11" width="9.33203125" style="95"/>
    <col min="12" max="12" width="18.6640625" style="95" bestFit="1" customWidth="1"/>
    <col min="13" max="16384" width="9.33203125" style="95"/>
  </cols>
  <sheetData>
    <row r="2" spans="1:12" ht="16.5" customHeight="1">
      <c r="A2" s="888" t="s">
        <v>473</v>
      </c>
      <c r="B2" s="888"/>
      <c r="C2" s="888"/>
      <c r="D2" s="888"/>
      <c r="E2" s="888"/>
      <c r="F2" s="888"/>
      <c r="G2" s="888"/>
      <c r="H2" s="888"/>
      <c r="I2" s="888"/>
      <c r="J2" s="888"/>
      <c r="K2" s="304"/>
    </row>
    <row r="3" spans="1:12" ht="7.5" customHeight="1">
      <c r="A3" s="158"/>
      <c r="B3" s="272"/>
      <c r="C3" s="291"/>
      <c r="D3" s="292"/>
      <c r="E3" s="292"/>
      <c r="F3" s="293"/>
      <c r="G3" s="294"/>
      <c r="H3" s="294"/>
      <c r="I3" s="216"/>
      <c r="J3" s="293"/>
    </row>
    <row r="4" spans="1:12" ht="11.25" customHeight="1">
      <c r="A4" s="243" t="s">
        <v>234</v>
      </c>
      <c r="B4" s="272"/>
      <c r="C4" s="291"/>
      <c r="D4" s="292"/>
      <c r="E4" s="292"/>
      <c r="F4" s="293"/>
      <c r="G4" s="294"/>
      <c r="H4" s="294"/>
      <c r="I4" s="216"/>
      <c r="J4" s="293"/>
      <c r="K4" s="45"/>
    </row>
    <row r="5" spans="1:12" ht="9" customHeight="1">
      <c r="A5" s="158"/>
      <c r="B5" s="272"/>
      <c r="C5" s="291"/>
      <c r="D5" s="292"/>
      <c r="E5" s="292"/>
      <c r="F5" s="293"/>
      <c r="G5" s="294"/>
      <c r="H5" s="294"/>
      <c r="I5" s="216"/>
      <c r="J5" s="293"/>
      <c r="K5" s="45"/>
    </row>
    <row r="6" spans="1:12" ht="20.25" customHeight="1">
      <c r="A6" s="770" t="s">
        <v>228</v>
      </c>
      <c r="B6" s="771" t="s">
        <v>229</v>
      </c>
      <c r="C6" s="771" t="s">
        <v>230</v>
      </c>
      <c r="D6" s="771" t="s">
        <v>231</v>
      </c>
      <c r="E6" s="771" t="s">
        <v>232</v>
      </c>
      <c r="F6" s="772" t="s">
        <v>233</v>
      </c>
      <c r="G6" s="773" t="s">
        <v>242</v>
      </c>
      <c r="H6" s="772" t="s">
        <v>246</v>
      </c>
      <c r="I6" s="773" t="s">
        <v>551</v>
      </c>
      <c r="J6" s="774" t="s">
        <v>243</v>
      </c>
      <c r="K6" s="296"/>
    </row>
    <row r="7" spans="1:12" s="295" customFormat="1" ht="18" customHeight="1">
      <c r="A7" s="741" t="s">
        <v>235</v>
      </c>
      <c r="B7" s="742" t="s">
        <v>30</v>
      </c>
      <c r="C7" s="742" t="s">
        <v>30</v>
      </c>
      <c r="D7" s="742" t="s">
        <v>241</v>
      </c>
      <c r="E7" s="742" t="s">
        <v>236</v>
      </c>
      <c r="F7" s="743" t="s">
        <v>247</v>
      </c>
      <c r="G7" s="744">
        <v>33</v>
      </c>
      <c r="H7" s="745">
        <v>144.48400000000001</v>
      </c>
      <c r="I7" s="746" t="s">
        <v>755</v>
      </c>
      <c r="J7" s="747" t="s">
        <v>237</v>
      </c>
      <c r="K7" s="303"/>
      <c r="L7" s="295">
        <v>144.47999999999999</v>
      </c>
    </row>
    <row r="8" spans="1:12" s="295" customFormat="1" ht="18" customHeight="1">
      <c r="A8" s="748" t="s">
        <v>526</v>
      </c>
      <c r="B8" s="749" t="s">
        <v>37</v>
      </c>
      <c r="C8" s="749" t="s">
        <v>46</v>
      </c>
      <c r="D8" s="749" t="s">
        <v>535</v>
      </c>
      <c r="E8" s="749" t="s">
        <v>529</v>
      </c>
      <c r="F8" s="750" t="s">
        <v>534</v>
      </c>
      <c r="G8" s="751">
        <v>13.8</v>
      </c>
      <c r="H8" s="752">
        <v>20</v>
      </c>
      <c r="I8" s="752">
        <v>20</v>
      </c>
      <c r="J8" s="753" t="s">
        <v>533</v>
      </c>
      <c r="K8" s="303"/>
      <c r="L8" s="295">
        <v>20</v>
      </c>
    </row>
    <row r="9" spans="1:12" s="295" customFormat="1" ht="18" customHeight="1">
      <c r="A9" s="741" t="s">
        <v>105</v>
      </c>
      <c r="B9" s="742" t="s">
        <v>38</v>
      </c>
      <c r="C9" s="742" t="s">
        <v>25</v>
      </c>
      <c r="D9" s="742" t="s">
        <v>545</v>
      </c>
      <c r="E9" s="742" t="s">
        <v>519</v>
      </c>
      <c r="F9" s="743" t="s">
        <v>545</v>
      </c>
      <c r="G9" s="744">
        <v>13.8</v>
      </c>
      <c r="H9" s="745" t="s">
        <v>756</v>
      </c>
      <c r="I9" s="745" t="s">
        <v>757</v>
      </c>
      <c r="J9" s="747" t="s">
        <v>518</v>
      </c>
      <c r="K9" s="303"/>
      <c r="L9" s="620">
        <v>103.95113000000001</v>
      </c>
    </row>
    <row r="10" spans="1:12" s="295" customFormat="1" ht="18" customHeight="1">
      <c r="A10" s="748" t="s">
        <v>92</v>
      </c>
      <c r="B10" s="749" t="s">
        <v>30</v>
      </c>
      <c r="C10" s="749" t="s">
        <v>30</v>
      </c>
      <c r="D10" s="749" t="s">
        <v>241</v>
      </c>
      <c r="E10" s="749" t="s">
        <v>530</v>
      </c>
      <c r="F10" s="750" t="s">
        <v>531</v>
      </c>
      <c r="G10" s="751">
        <v>22.9</v>
      </c>
      <c r="H10" s="752">
        <v>44.54</v>
      </c>
      <c r="I10" s="752" t="s">
        <v>758</v>
      </c>
      <c r="J10" s="753" t="s">
        <v>532</v>
      </c>
      <c r="K10" s="303"/>
      <c r="L10" s="295">
        <v>44.54</v>
      </c>
    </row>
    <row r="11" spans="1:12" s="295" customFormat="1" ht="18" customHeight="1">
      <c r="A11" s="741" t="s">
        <v>235</v>
      </c>
      <c r="B11" s="742" t="s">
        <v>563</v>
      </c>
      <c r="C11" s="742" t="s">
        <v>761</v>
      </c>
      <c r="D11" s="742" t="s">
        <v>564</v>
      </c>
      <c r="E11" s="742" t="s">
        <v>565</v>
      </c>
      <c r="F11" s="743" t="s">
        <v>566</v>
      </c>
      <c r="G11" s="744">
        <v>12</v>
      </c>
      <c r="H11" s="745">
        <v>132.30000000000001</v>
      </c>
      <c r="I11" s="745" t="s">
        <v>759</v>
      </c>
      <c r="J11" s="747" t="s">
        <v>567</v>
      </c>
      <c r="K11" s="303"/>
      <c r="L11" s="295">
        <v>132.30000000000001</v>
      </c>
    </row>
    <row r="12" spans="1:12" s="295" customFormat="1" ht="18" customHeight="1">
      <c r="A12" s="748" t="s">
        <v>599</v>
      </c>
      <c r="B12" s="749" t="s">
        <v>38</v>
      </c>
      <c r="C12" s="749" t="s">
        <v>51</v>
      </c>
      <c r="D12" s="749" t="s">
        <v>762</v>
      </c>
      <c r="E12" s="749" t="s">
        <v>763</v>
      </c>
      <c r="F12" s="750" t="s">
        <v>769</v>
      </c>
      <c r="G12" s="751">
        <v>0.48</v>
      </c>
      <c r="H12" s="752">
        <v>2.4</v>
      </c>
      <c r="I12" s="752">
        <v>2.4</v>
      </c>
      <c r="J12" s="753" t="s">
        <v>770</v>
      </c>
      <c r="K12" s="303"/>
      <c r="L12" s="295">
        <v>2.4</v>
      </c>
    </row>
    <row r="13" spans="1:12" s="295" customFormat="1" ht="24.75" customHeight="1">
      <c r="A13" s="741" t="s">
        <v>760</v>
      </c>
      <c r="B13" s="742" t="s">
        <v>37</v>
      </c>
      <c r="C13" s="742" t="s">
        <v>46</v>
      </c>
      <c r="D13" s="742" t="s">
        <v>774</v>
      </c>
      <c r="E13" s="742" t="s">
        <v>764</v>
      </c>
      <c r="F13" s="743" t="s">
        <v>768</v>
      </c>
      <c r="G13" s="744">
        <v>0.4</v>
      </c>
      <c r="H13" s="745">
        <v>0.7</v>
      </c>
      <c r="I13" s="745">
        <v>0.7</v>
      </c>
      <c r="J13" s="747" t="s">
        <v>771</v>
      </c>
      <c r="K13" s="303"/>
      <c r="L13" s="295">
        <v>0.7</v>
      </c>
    </row>
    <row r="14" spans="1:12" s="295" customFormat="1" ht="13.5" customHeight="1">
      <c r="A14" s="748" t="s">
        <v>113</v>
      </c>
      <c r="B14" s="749" t="s">
        <v>37</v>
      </c>
      <c r="C14" s="749" t="s">
        <v>46</v>
      </c>
      <c r="D14" s="749" t="s">
        <v>535</v>
      </c>
      <c r="E14" s="749" t="s">
        <v>765</v>
      </c>
      <c r="F14" s="750" t="s">
        <v>769</v>
      </c>
      <c r="G14" s="751">
        <v>6.6</v>
      </c>
      <c r="H14" s="752">
        <v>20.815999999999999</v>
      </c>
      <c r="I14" s="752">
        <v>20.16</v>
      </c>
      <c r="J14" s="753" t="s">
        <v>771</v>
      </c>
      <c r="K14" s="303"/>
      <c r="L14" s="295">
        <v>20.16</v>
      </c>
    </row>
    <row r="15" spans="1:12" s="295" customFormat="1" ht="13.5" customHeight="1">
      <c r="A15" s="741" t="s">
        <v>113</v>
      </c>
      <c r="B15" s="742" t="s">
        <v>37</v>
      </c>
      <c r="C15" s="742" t="s">
        <v>46</v>
      </c>
      <c r="D15" s="742" t="s">
        <v>535</v>
      </c>
      <c r="E15" s="742" t="s">
        <v>766</v>
      </c>
      <c r="F15" s="743" t="s">
        <v>769</v>
      </c>
      <c r="G15" s="744">
        <v>6.6</v>
      </c>
      <c r="H15" s="745">
        <v>20.815999999999999</v>
      </c>
      <c r="I15" s="745">
        <v>20.16</v>
      </c>
      <c r="J15" s="747" t="s">
        <v>771</v>
      </c>
      <c r="K15" s="303"/>
      <c r="L15" s="295">
        <v>20.16</v>
      </c>
    </row>
    <row r="16" spans="1:12" s="295" customFormat="1" ht="13.5" customHeight="1">
      <c r="A16" s="748" t="s">
        <v>113</v>
      </c>
      <c r="B16" s="749" t="s">
        <v>37</v>
      </c>
      <c r="C16" s="749" t="s">
        <v>46</v>
      </c>
      <c r="D16" s="749" t="s">
        <v>535</v>
      </c>
      <c r="E16" s="749" t="s">
        <v>767</v>
      </c>
      <c r="F16" s="750" t="s">
        <v>769</v>
      </c>
      <c r="G16" s="751">
        <v>6.6</v>
      </c>
      <c r="H16" s="752">
        <v>20.815999999999999</v>
      </c>
      <c r="I16" s="752">
        <v>20.16</v>
      </c>
      <c r="J16" s="753" t="s">
        <v>771</v>
      </c>
      <c r="K16" s="303"/>
      <c r="L16" s="295">
        <v>20.16</v>
      </c>
    </row>
    <row r="17" spans="1:13" ht="11.25" customHeight="1">
      <c r="A17" s="775" t="s">
        <v>44</v>
      </c>
      <c r="B17" s="776"/>
      <c r="C17" s="776"/>
      <c r="D17" s="776"/>
      <c r="E17" s="777"/>
      <c r="F17" s="778"/>
      <c r="G17" s="779"/>
      <c r="H17" s="780">
        <f>+SUM(H7:H16)+123.61</f>
        <v>530.48199999999986</v>
      </c>
      <c r="I17" s="780">
        <f>+SUM(L7:L16)</f>
        <v>508.85113000000007</v>
      </c>
      <c r="J17" s="781"/>
      <c r="K17" s="267"/>
      <c r="L17" s="619"/>
    </row>
    <row r="18" spans="1:13" ht="15" customHeight="1">
      <c r="A18" s="615" t="str">
        <f>"Cuadro N° 1: Relación de ingresos a operación comercial en "&amp;'1. Resumen'!Q4&amp;" "&amp;'1. Resumen'!Q5</f>
        <v>Cuadro N° 1: Relación de ingresos a operación comercial en agosto 2018</v>
      </c>
      <c r="B18" s="153"/>
      <c r="C18" s="153"/>
      <c r="D18" s="153"/>
      <c r="E18" s="153"/>
      <c r="F18" s="153"/>
      <c r="G18" s="153"/>
      <c r="H18" s="153"/>
      <c r="I18" s="153"/>
      <c r="J18" s="153"/>
      <c r="K18" s="267"/>
    </row>
    <row r="19" spans="1:13" ht="11.25" customHeight="1">
      <c r="A19" s="897" t="s">
        <v>568</v>
      </c>
      <c r="B19" s="897"/>
      <c r="C19" s="897"/>
      <c r="D19" s="897"/>
      <c r="E19" s="897"/>
      <c r="F19" s="897"/>
      <c r="G19" s="897"/>
      <c r="H19" s="897"/>
      <c r="I19" s="897"/>
      <c r="J19" s="897"/>
      <c r="K19" s="267"/>
    </row>
    <row r="20" spans="1:13" ht="11.25" customHeight="1">
      <c r="A20" s="623" t="s">
        <v>538</v>
      </c>
      <c r="B20" s="623"/>
      <c r="C20" s="623"/>
      <c r="D20" s="623"/>
      <c r="E20" s="623"/>
      <c r="F20" s="623"/>
      <c r="G20" s="623"/>
      <c r="H20" s="623"/>
      <c r="I20" s="623"/>
      <c r="J20" s="623"/>
      <c r="K20" s="267"/>
      <c r="L20" s="95" t="s">
        <v>244</v>
      </c>
      <c r="M20" s="619">
        <f>+L7+L10</f>
        <v>189.01999999999998</v>
      </c>
    </row>
    <row r="21" spans="1:13" ht="20.25" customHeight="1">
      <c r="A21" s="898" t="s">
        <v>539</v>
      </c>
      <c r="B21" s="898"/>
      <c r="C21" s="898"/>
      <c r="D21" s="898"/>
      <c r="E21" s="898"/>
      <c r="F21" s="898"/>
      <c r="G21" s="898"/>
      <c r="H21" s="898"/>
      <c r="I21" s="898"/>
      <c r="J21" s="898"/>
      <c r="K21" s="267"/>
      <c r="L21" s="95" t="s">
        <v>536</v>
      </c>
      <c r="M21" s="619">
        <f>+L8+L16+L15+L14+L13</f>
        <v>81.179999999999993</v>
      </c>
    </row>
    <row r="22" spans="1:13" ht="11.25" customHeight="1">
      <c r="A22" s="898" t="s">
        <v>775</v>
      </c>
      <c r="B22" s="898"/>
      <c r="C22" s="898"/>
      <c r="D22" s="898"/>
      <c r="E22" s="898"/>
      <c r="F22" s="898"/>
      <c r="G22" s="898"/>
      <c r="H22" s="898"/>
      <c r="I22" s="898"/>
      <c r="J22" s="898"/>
      <c r="K22" s="267"/>
      <c r="L22" s="95" t="s">
        <v>773</v>
      </c>
      <c r="M22" s="619">
        <f>+L9</f>
        <v>103.95113000000001</v>
      </c>
    </row>
    <row r="23" spans="1:13" ht="15" customHeight="1">
      <c r="A23" s="306"/>
      <c r="B23" s="297"/>
      <c r="C23" s="297"/>
      <c r="D23" s="297"/>
      <c r="E23" s="297"/>
      <c r="F23" s="297"/>
      <c r="G23" s="297"/>
      <c r="H23" s="307"/>
      <c r="I23" s="307"/>
      <c r="J23" s="307"/>
      <c r="K23" s="267"/>
      <c r="L23" s="95" t="s">
        <v>569</v>
      </c>
      <c r="M23" s="95">
        <v>132.30000000000001</v>
      </c>
    </row>
    <row r="24" spans="1:13" ht="11.25" customHeight="1">
      <c r="A24" s="306"/>
      <c r="B24" s="297"/>
      <c r="C24" s="297"/>
      <c r="D24" s="297"/>
      <c r="E24" s="297"/>
      <c r="F24" s="297"/>
      <c r="G24" s="297"/>
      <c r="H24" s="305"/>
      <c r="I24" s="305" t="s">
        <v>8</v>
      </c>
      <c r="J24" s="305"/>
      <c r="K24" s="267"/>
      <c r="L24" s="95" t="s">
        <v>772</v>
      </c>
      <c r="M24" s="95">
        <f>+L12</f>
        <v>2.4</v>
      </c>
    </row>
    <row r="25" spans="1:13" ht="11.25" customHeight="1">
      <c r="A25" s="306"/>
      <c r="B25" s="297"/>
      <c r="C25" s="297"/>
      <c r="D25" s="297"/>
      <c r="E25" s="297"/>
      <c r="F25" s="297"/>
      <c r="G25" s="297"/>
      <c r="H25" s="305"/>
      <c r="I25" s="305"/>
      <c r="J25" s="305"/>
      <c r="K25" s="267"/>
    </row>
    <row r="26" spans="1:13" ht="11.25" customHeight="1">
      <c r="A26" s="306"/>
      <c r="B26" s="297"/>
      <c r="C26" s="297"/>
      <c r="D26" s="297"/>
      <c r="E26" s="297"/>
      <c r="F26" s="297"/>
      <c r="G26" s="297"/>
      <c r="H26" s="305"/>
      <c r="I26" s="305"/>
      <c r="J26" s="305"/>
      <c r="K26" s="267"/>
    </row>
    <row r="27" spans="1:13" ht="9" customHeight="1">
      <c r="A27" s="308"/>
      <c r="B27" s="309"/>
      <c r="C27" s="309"/>
      <c r="D27" s="309"/>
      <c r="E27" s="309"/>
      <c r="F27" s="309"/>
      <c r="G27" s="309"/>
      <c r="H27" s="310"/>
      <c r="I27" s="310"/>
      <c r="J27" s="310"/>
      <c r="K27" s="267"/>
    </row>
    <row r="28" spans="1:13" ht="9" customHeight="1">
      <c r="A28" s="311"/>
      <c r="B28" s="226"/>
      <c r="C28" s="226"/>
      <c r="D28" s="159"/>
      <c r="E28" s="159"/>
      <c r="F28" s="159"/>
      <c r="G28" s="159"/>
      <c r="H28" s="298"/>
      <c r="I28" s="298"/>
      <c r="J28" s="298"/>
      <c r="K28" s="267"/>
    </row>
    <row r="29" spans="1:13" ht="9" customHeight="1">
      <c r="A29" s="280"/>
      <c r="B29" s="159"/>
      <c r="C29" s="159"/>
      <c r="D29" s="159"/>
      <c r="E29" s="159"/>
      <c r="F29" s="159"/>
      <c r="G29" s="159"/>
      <c r="H29" s="298"/>
      <c r="I29" s="298"/>
      <c r="J29" s="298"/>
      <c r="K29" s="267"/>
    </row>
    <row r="30" spans="1:13" ht="11.25" customHeight="1">
      <c r="A30" s="280"/>
      <c r="B30" s="159"/>
      <c r="C30" s="159"/>
      <c r="D30" s="159"/>
      <c r="E30" s="159"/>
      <c r="F30" s="159"/>
      <c r="G30" s="159"/>
      <c r="H30" s="181"/>
      <c r="I30" s="181"/>
      <c r="J30" s="181"/>
      <c r="K30" s="267"/>
    </row>
    <row r="31" spans="1:13" ht="11.25" customHeight="1">
      <c r="A31" s="280"/>
      <c r="B31" s="159"/>
      <c r="C31" s="159"/>
      <c r="D31" s="159"/>
      <c r="E31" s="159"/>
      <c r="F31" s="159"/>
      <c r="G31" s="159"/>
      <c r="H31" s="298"/>
      <c r="I31" s="298"/>
      <c r="J31" s="298"/>
      <c r="K31" s="267"/>
    </row>
    <row r="32" spans="1:13" ht="11.25" customHeight="1">
      <c r="A32" s="280"/>
      <c r="B32" s="159"/>
      <c r="C32" s="159"/>
      <c r="D32" s="159"/>
      <c r="E32" s="159"/>
      <c r="F32" s="159"/>
      <c r="G32" s="159"/>
      <c r="H32" s="312"/>
      <c r="I32" s="312"/>
      <c r="J32" s="312"/>
      <c r="K32" s="267"/>
    </row>
    <row r="33" spans="1:15" ht="11.25" customHeight="1">
      <c r="A33" s="299"/>
      <c r="B33" s="192"/>
      <c r="C33" s="192"/>
      <c r="D33" s="192"/>
      <c r="E33" s="192"/>
      <c r="F33" s="192"/>
      <c r="G33" s="192"/>
      <c r="H33" s="192"/>
      <c r="I33" s="192"/>
      <c r="J33" s="192"/>
      <c r="K33" s="267"/>
    </row>
    <row r="34" spans="1:15" ht="11.25" customHeight="1">
      <c r="A34" s="297"/>
      <c r="B34" s="159"/>
      <c r="C34" s="159"/>
      <c r="D34" s="159"/>
      <c r="E34" s="159"/>
      <c r="F34" s="159"/>
      <c r="G34" s="159"/>
      <c r="H34" s="159"/>
      <c r="I34" s="159"/>
      <c r="J34" s="159"/>
      <c r="K34" s="267"/>
    </row>
    <row r="35" spans="1:15" ht="11.25" customHeight="1">
      <c r="A35" s="25"/>
      <c r="B35" s="887" t="str">
        <f>"Gráfico 2: Ingreso de Potencia Efectiva por tipo de Recurso Energético y Tecnología en "&amp;'1. Resumen'!Q4&amp;" "&amp;'1. Resumen'!Q5&amp;" (MW)"</f>
        <v>Gráfico 2: Ingreso de Potencia Efectiva por tipo de Recurso Energético y Tecnología en agosto 2018 (MW)</v>
      </c>
      <c r="C35" s="887"/>
      <c r="D35" s="887"/>
      <c r="E35" s="887"/>
      <c r="F35" s="887"/>
      <c r="G35" s="887"/>
      <c r="H35" s="887"/>
      <c r="I35" s="887"/>
      <c r="J35" s="887"/>
      <c r="K35" s="887"/>
    </row>
    <row r="36" spans="1:15" ht="27" customHeight="1">
      <c r="B36" s="899" t="s">
        <v>546</v>
      </c>
      <c r="C36" s="899"/>
      <c r="D36" s="899"/>
      <c r="E36" s="899"/>
      <c r="F36" s="899"/>
      <c r="G36" s="899"/>
      <c r="H36" s="899"/>
    </row>
    <row r="37" spans="1:15" ht="9" customHeight="1">
      <c r="A37" s="84"/>
      <c r="B37" s="84"/>
      <c r="C37" s="84"/>
      <c r="D37" s="84"/>
      <c r="E37" s="25"/>
      <c r="F37" s="25"/>
      <c r="G37" s="84"/>
      <c r="H37" s="25"/>
      <c r="I37" s="25"/>
      <c r="J37" s="25"/>
      <c r="K37" s="267"/>
    </row>
    <row r="38" spans="1:15" ht="11.25" customHeight="1">
      <c r="A38" s="300" t="s">
        <v>486</v>
      </c>
      <c r="B38" s="153"/>
      <c r="C38" s="301"/>
      <c r="D38" s="153"/>
      <c r="E38" s="191"/>
      <c r="F38" s="191"/>
      <c r="G38" s="153"/>
      <c r="H38" s="191"/>
      <c r="I38" s="191"/>
      <c r="J38" s="191"/>
      <c r="K38" s="267"/>
    </row>
    <row r="39" spans="1:15" ht="11.25" customHeight="1">
      <c r="B39" s="153"/>
      <c r="C39" s="301"/>
      <c r="D39" s="153"/>
      <c r="E39" s="191"/>
      <c r="F39" s="191"/>
      <c r="G39" s="153"/>
      <c r="H39" s="191"/>
      <c r="I39" s="191"/>
      <c r="J39" s="191"/>
      <c r="K39" s="267"/>
    </row>
    <row r="40" spans="1:15" ht="21" customHeight="1">
      <c r="B40" s="885" t="s">
        <v>245</v>
      </c>
      <c r="C40" s="886"/>
      <c r="D40" s="782" t="str">
        <f>UPPER('1. Resumen'!Q4)&amp;" "&amp;'1. Resumen'!Q5</f>
        <v>AGOSTO 2018</v>
      </c>
      <c r="E40" s="782" t="str">
        <f>UPPER('1. Resumen'!Q4)&amp;" "&amp;'1. Resumen'!Q5-1</f>
        <v>AGOSTO 2017</v>
      </c>
      <c r="F40" s="783" t="s">
        <v>248</v>
      </c>
      <c r="G40" s="313"/>
      <c r="H40" s="314"/>
      <c r="I40" s="191"/>
      <c r="J40" s="191"/>
    </row>
    <row r="41" spans="1:15" ht="9.75" customHeight="1">
      <c r="B41" s="889" t="s">
        <v>238</v>
      </c>
      <c r="C41" s="890"/>
      <c r="D41" s="754">
        <v>4967.6492474999995</v>
      </c>
      <c r="E41" s="755">
        <v>4874.137248</v>
      </c>
      <c r="F41" s="756">
        <f>+D41/E41-1</f>
        <v>1.9185343937200505E-2</v>
      </c>
      <c r="G41" s="313"/>
      <c r="H41" s="314"/>
      <c r="I41" s="191"/>
      <c r="J41" s="191"/>
      <c r="K41" s="267"/>
    </row>
    <row r="42" spans="1:15" ht="9.75" customHeight="1">
      <c r="B42" s="891" t="s">
        <v>239</v>
      </c>
      <c r="C42" s="892"/>
      <c r="D42" s="757">
        <v>7395.9645</v>
      </c>
      <c r="E42" s="758">
        <v>7373.58</v>
      </c>
      <c r="F42" s="759">
        <f>+D42/E42-1</f>
        <v>3.0357709552211176E-3</v>
      </c>
      <c r="G42" s="315"/>
      <c r="H42" s="315"/>
      <c r="M42" s="302"/>
      <c r="N42" s="302"/>
      <c r="O42" s="153"/>
    </row>
    <row r="43" spans="1:15" ht="9.75" customHeight="1">
      <c r="B43" s="893" t="s">
        <v>240</v>
      </c>
      <c r="C43" s="894"/>
      <c r="D43" s="760">
        <v>375.46</v>
      </c>
      <c r="E43" s="761">
        <v>96</v>
      </c>
      <c r="F43" s="762">
        <f>+D43/E43-1</f>
        <v>2.9110416666666663</v>
      </c>
      <c r="G43" s="315"/>
      <c r="H43" s="315"/>
    </row>
    <row r="44" spans="1:15" ht="9.75" customHeight="1">
      <c r="B44" s="895" t="s">
        <v>84</v>
      </c>
      <c r="C44" s="896"/>
      <c r="D44" s="763">
        <v>285.02</v>
      </c>
      <c r="E44" s="764">
        <v>243.16</v>
      </c>
      <c r="F44" s="765">
        <f>+D44/E44-1</f>
        <v>0.17215002467511087</v>
      </c>
      <c r="G44" s="315"/>
      <c r="H44" s="315"/>
    </row>
    <row r="45" spans="1:15" ht="9.75" customHeight="1">
      <c r="B45" s="883" t="s">
        <v>213</v>
      </c>
      <c r="C45" s="884"/>
      <c r="D45" s="766">
        <f>+D41+D42+D43+D44</f>
        <v>13024.093747499999</v>
      </c>
      <c r="E45" s="767">
        <f>+E41+E42+E43+E44</f>
        <v>12586.877248000001</v>
      </c>
      <c r="F45" s="768">
        <f>+D45/E45-1</f>
        <v>3.4735899213561572E-2</v>
      </c>
      <c r="G45" s="621"/>
      <c r="H45" s="315"/>
    </row>
    <row r="46" spans="1:15" ht="11.25" customHeight="1">
      <c r="B46" s="615" t="str">
        <f>"Cuadro N° 2: Comparación de la potencia instalada en el SEIN al término de "&amp;'1. Resumen'!Q4&amp;" "&amp;'1. Resumen'!Q5-1&amp;" y "&amp;'1. Resumen'!Q4&amp;" "&amp;'1. Resumen'!Q5</f>
        <v>Cuadro N° 2: Comparación de la potencia instalada en el SEIN al término de agosto 2017 y agosto 2018</v>
      </c>
      <c r="C46" s="313"/>
      <c r="D46" s="313"/>
      <c r="E46" s="313"/>
      <c r="F46" s="313"/>
      <c r="G46" s="313"/>
      <c r="H46" s="313"/>
      <c r="I46" s="153"/>
      <c r="J46" s="153"/>
      <c r="K46" s="267"/>
    </row>
    <row r="47" spans="1:15" ht="11.25" customHeight="1">
      <c r="A47" s="153"/>
      <c r="C47" s="315"/>
      <c r="D47" s="313"/>
      <c r="E47" s="313"/>
      <c r="F47" s="313"/>
      <c r="G47" s="313"/>
      <c r="H47" s="313"/>
      <c r="I47" s="153"/>
      <c r="J47" s="153"/>
      <c r="K47" s="267"/>
    </row>
    <row r="48" spans="1:15" ht="11.25" customHeight="1">
      <c r="A48" s="153"/>
      <c r="B48" s="153"/>
      <c r="C48" s="153"/>
      <c r="D48" s="153"/>
      <c r="E48" s="153"/>
      <c r="F48" s="153"/>
      <c r="G48" s="153"/>
      <c r="H48" s="153"/>
      <c r="I48" s="153"/>
      <c r="J48" s="153"/>
      <c r="K48" s="267"/>
    </row>
    <row r="49" spans="1:11" ht="11.25" customHeight="1">
      <c r="A49" s="153"/>
      <c r="B49" s="153"/>
      <c r="C49" s="153"/>
      <c r="D49" s="153"/>
      <c r="E49" s="153"/>
      <c r="F49" s="153"/>
      <c r="G49" s="153"/>
      <c r="H49" s="153"/>
      <c r="I49" s="153"/>
      <c r="J49" s="153"/>
      <c r="K49" s="267"/>
    </row>
    <row r="50" spans="1:11">
      <c r="A50" s="158"/>
      <c r="B50" s="153"/>
      <c r="C50" s="153"/>
      <c r="D50" s="153"/>
      <c r="E50" s="153"/>
      <c r="F50" s="153"/>
      <c r="G50" s="153"/>
      <c r="H50" s="153"/>
      <c r="I50" s="153"/>
      <c r="J50" s="153"/>
    </row>
    <row r="51" spans="1:11">
      <c r="A51" s="153"/>
      <c r="B51" s="153"/>
      <c r="C51" s="153"/>
      <c r="D51" s="153"/>
      <c r="E51" s="153"/>
      <c r="F51" s="153"/>
      <c r="G51" s="153"/>
      <c r="H51" s="153"/>
      <c r="I51" s="153"/>
      <c r="J51" s="153"/>
    </row>
    <row r="52" spans="1:11">
      <c r="A52" s="153"/>
      <c r="B52" s="153"/>
      <c r="C52" s="153"/>
      <c r="D52" s="153"/>
      <c r="E52" s="153"/>
      <c r="F52" s="153"/>
      <c r="G52" s="153"/>
      <c r="H52" s="153"/>
      <c r="I52" s="153"/>
      <c r="J52" s="153"/>
    </row>
    <row r="53" spans="1:11">
      <c r="A53" s="153"/>
      <c r="B53" s="153"/>
      <c r="C53" s="153"/>
      <c r="D53" s="153"/>
      <c r="E53" s="153"/>
      <c r="F53" s="153"/>
      <c r="G53" s="153"/>
      <c r="H53" s="153"/>
      <c r="I53" s="153"/>
      <c r="J53" s="153"/>
    </row>
    <row r="54" spans="1:11">
      <c r="A54" s="153"/>
      <c r="B54" s="153"/>
      <c r="C54" s="153"/>
      <c r="D54" s="153"/>
      <c r="E54" s="153"/>
      <c r="F54" s="153"/>
      <c r="G54" s="153"/>
      <c r="H54" s="153"/>
      <c r="I54" s="153"/>
      <c r="J54" s="153"/>
    </row>
    <row r="55" spans="1:11">
      <c r="A55" s="153"/>
      <c r="B55" s="153"/>
      <c r="C55" s="153"/>
      <c r="D55" s="153"/>
      <c r="E55" s="153"/>
      <c r="F55" s="153"/>
      <c r="G55" s="153"/>
      <c r="H55" s="153"/>
      <c r="I55" s="153"/>
      <c r="J55" s="153"/>
    </row>
    <row r="56" spans="1:11">
      <c r="A56" s="153"/>
      <c r="B56" s="153"/>
      <c r="C56" s="153"/>
      <c r="D56" s="153"/>
      <c r="E56" s="153"/>
      <c r="F56" s="153"/>
      <c r="G56" s="153"/>
      <c r="H56" s="153"/>
      <c r="I56" s="153"/>
      <c r="J56" s="153"/>
    </row>
    <row r="57" spans="1:11">
      <c r="A57" s="153"/>
      <c r="B57" s="153"/>
      <c r="C57" s="153"/>
      <c r="D57" s="153"/>
      <c r="E57" s="153"/>
      <c r="F57" s="153"/>
      <c r="G57" s="153"/>
      <c r="H57" s="153"/>
      <c r="I57" s="153"/>
      <c r="J57" s="153"/>
    </row>
    <row r="58" spans="1:11">
      <c r="A58" s="616" t="str">
        <f>"Gráfico N° 3: Comparación de la potencia instalada en el SEIN al término de "&amp;'1. Resumen'!Q4&amp;" "&amp;'1. Resumen'!Q5-1&amp;" y "&amp;'1. Resumen'!Q4&amp;" "&amp;'1. Resumen'!Q5</f>
        <v>Gráfico N° 3: Comparación de la potencia instalada en el SEIN al término de agosto 2017 y agosto 2018</v>
      </c>
      <c r="C58" s="153"/>
      <c r="D58" s="153"/>
      <c r="E58" s="153"/>
      <c r="F58" s="153"/>
      <c r="G58" s="153"/>
      <c r="H58" s="153"/>
      <c r="I58" s="153"/>
      <c r="J58" s="153"/>
    </row>
    <row r="59" spans="1:11" ht="5.25" customHeight="1">
      <c r="A59" s="153"/>
      <c r="B59" s="153"/>
      <c r="D59" s="153"/>
      <c r="E59" s="153"/>
      <c r="F59" s="153"/>
      <c r="G59" s="153"/>
      <c r="H59" s="153"/>
      <c r="I59" s="153"/>
      <c r="J59" s="153"/>
    </row>
  </sheetData>
  <mergeCells count="12">
    <mergeCell ref="B45:C45"/>
    <mergeCell ref="B40:C40"/>
    <mergeCell ref="B35:K35"/>
    <mergeCell ref="A2:J2"/>
    <mergeCell ref="B41:C41"/>
    <mergeCell ref="B42:C42"/>
    <mergeCell ref="B43:C43"/>
    <mergeCell ref="B44:C44"/>
    <mergeCell ref="A19:J19"/>
    <mergeCell ref="A21:J21"/>
    <mergeCell ref="B36:H36"/>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 right="0.57471264367816088" top="0.86956521739130432" bottom="0.61458333333333337" header="0.3" footer="0.3"/>
  <pageSetup orientation="portrait" r:id="rId1"/>
  <headerFooter>
    <oddHeader>&amp;R&amp;7Informe de la Operación Mensual - Agosto 2018
INFSGI-MES-08-2018
10/09/2018
Versión: 01</oddHeader>
    <oddFooter>&amp;L&amp;7COES, 2018&amp;C2&amp;R&amp;7Dirección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51DD-2FA1-46F1-BEBF-553898F35409}">
  <sheetPr>
    <tabColor theme="4"/>
  </sheetPr>
  <dimension ref="A1:K87"/>
  <sheetViews>
    <sheetView showGridLines="0" view="pageBreakPreview" zoomScale="120" zoomScaleNormal="100" zoomScaleSheetLayoutView="120" zoomScalePageLayoutView="160" workbookViewId="0">
      <selection activeCell="Q15" sqref="Q15"/>
    </sheetView>
  </sheetViews>
  <sheetFormatPr defaultRowHeight="11.25"/>
  <cols>
    <col min="1" max="1" width="21" style="95" customWidth="1"/>
    <col min="2" max="4" width="10.5" style="95" bestFit="1" customWidth="1"/>
    <col min="5" max="5" width="10" style="95" customWidth="1"/>
    <col min="6" max="6" width="8.6640625" style="95" customWidth="1"/>
    <col min="7" max="8" width="10.5" style="95" bestFit="1" customWidth="1"/>
    <col min="9" max="9" width="10.1640625" style="95" customWidth="1"/>
    <col min="10" max="10" width="10.33203125" style="95" customWidth="1"/>
    <col min="11" max="11" width="9.6640625" style="95" customWidth="1"/>
    <col min="12" max="16384" width="9.33203125" style="95"/>
  </cols>
  <sheetData>
    <row r="1" spans="1:11" ht="11.25" customHeight="1">
      <c r="A1" s="61"/>
      <c r="B1" s="61"/>
      <c r="C1" s="61"/>
      <c r="D1" s="61"/>
      <c r="E1" s="61"/>
      <c r="F1" s="61"/>
      <c r="G1" s="61"/>
      <c r="H1" s="61"/>
      <c r="I1" s="61"/>
      <c r="J1" s="61"/>
      <c r="K1" s="61"/>
    </row>
    <row r="2" spans="1:11" ht="16.5" customHeight="1">
      <c r="A2" s="904" t="s">
        <v>251</v>
      </c>
      <c r="B2" s="904"/>
      <c r="C2" s="904"/>
      <c r="D2" s="904"/>
      <c r="E2" s="904"/>
      <c r="F2" s="904"/>
      <c r="G2" s="904"/>
      <c r="H2" s="904"/>
      <c r="I2" s="904"/>
      <c r="J2" s="904"/>
      <c r="K2" s="904"/>
    </row>
    <row r="3" spans="1:11" ht="11.25" customHeight="1">
      <c r="A3" s="103"/>
      <c r="B3" s="104"/>
      <c r="C3" s="105"/>
      <c r="D3" s="106"/>
      <c r="E3" s="106"/>
      <c r="F3" s="106"/>
      <c r="G3" s="106"/>
      <c r="H3" s="103"/>
      <c r="I3" s="103"/>
      <c r="J3" s="103"/>
      <c r="K3" s="107"/>
    </row>
    <row r="4" spans="1:11" ht="11.25" customHeight="1">
      <c r="A4" s="905" t="str">
        <f>+"3.1. PRODUCCIÓN POR TIPO DE GENERACIÓN (GWh)"</f>
        <v>3.1. PRODUCCIÓN POR TIPO DE GENERACIÓN (GWh)</v>
      </c>
      <c r="B4" s="905"/>
      <c r="C4" s="905"/>
      <c r="D4" s="905"/>
      <c r="E4" s="905"/>
      <c r="F4" s="905"/>
      <c r="G4" s="905"/>
      <c r="H4" s="905"/>
      <c r="I4" s="905"/>
      <c r="J4" s="905"/>
      <c r="K4" s="905"/>
    </row>
    <row r="5" spans="1:11" ht="11.25" customHeight="1">
      <c r="A5" s="93"/>
      <c r="B5" s="108"/>
      <c r="C5" s="109"/>
      <c r="D5" s="110"/>
      <c r="E5" s="110"/>
      <c r="F5" s="110"/>
      <c r="G5" s="110"/>
      <c r="H5" s="111"/>
      <c r="I5" s="103"/>
      <c r="J5" s="103"/>
      <c r="K5" s="112"/>
    </row>
    <row r="6" spans="1:11" ht="18" customHeight="1">
      <c r="A6" s="902" t="s">
        <v>32</v>
      </c>
      <c r="B6" s="906" t="s">
        <v>33</v>
      </c>
      <c r="C6" s="907"/>
      <c r="D6" s="907"/>
      <c r="E6" s="907" t="s">
        <v>34</v>
      </c>
      <c r="F6" s="907"/>
      <c r="G6" s="908" t="str">
        <f>"Generación Acumulada a "&amp;'1. Resumen'!Q4</f>
        <v>Generación Acumulada a agosto</v>
      </c>
      <c r="H6" s="908"/>
      <c r="I6" s="908"/>
      <c r="J6" s="908"/>
      <c r="K6" s="909"/>
    </row>
    <row r="7" spans="1:11" ht="32.25" customHeight="1">
      <c r="A7" s="903"/>
      <c r="B7" s="784">
        <f>+C7-30</f>
        <v>43255</v>
      </c>
      <c r="C7" s="784">
        <f>+D7-28</f>
        <v>43285</v>
      </c>
      <c r="D7" s="784">
        <f>+'1. Resumen'!Q6</f>
        <v>43313</v>
      </c>
      <c r="E7" s="784">
        <f>+D7-365</f>
        <v>42948</v>
      </c>
      <c r="F7" s="785" t="s">
        <v>35</v>
      </c>
      <c r="G7" s="786">
        <v>2018</v>
      </c>
      <c r="H7" s="786">
        <v>2017</v>
      </c>
      <c r="I7" s="785" t="s">
        <v>43</v>
      </c>
      <c r="J7" s="786">
        <v>2016</v>
      </c>
      <c r="K7" s="787" t="s">
        <v>36</v>
      </c>
    </row>
    <row r="8" spans="1:11" ht="15" customHeight="1">
      <c r="A8" s="137" t="s">
        <v>37</v>
      </c>
      <c r="B8" s="533">
        <v>2113.6878663950001</v>
      </c>
      <c r="C8" s="527">
        <v>1997.8919180625003</v>
      </c>
      <c r="D8" s="534">
        <v>1974.104242622501</v>
      </c>
      <c r="E8" s="533">
        <v>1758.1679867319565</v>
      </c>
      <c r="F8" s="323">
        <f>IF(E8=0,"",D8/E8-1)</f>
        <v>0.1228188987173644</v>
      </c>
      <c r="G8" s="541">
        <v>20299.991030210003</v>
      </c>
      <c r="H8" s="527">
        <v>19043.000136334569</v>
      </c>
      <c r="I8" s="327">
        <f>IF(H8=0,"",G8/H8-1)</f>
        <v>6.6008028402891217E-2</v>
      </c>
      <c r="J8" s="533">
        <v>15585.306706963949</v>
      </c>
      <c r="K8" s="323">
        <f t="shared" ref="K8:K15" si="0">IF(J8=0,"",H8/J8-1)</f>
        <v>0.22185597591259643</v>
      </c>
    </row>
    <row r="9" spans="1:11" ht="15" customHeight="1">
      <c r="A9" s="138" t="s">
        <v>38</v>
      </c>
      <c r="B9" s="535">
        <v>1845.9351711024999</v>
      </c>
      <c r="C9" s="528">
        <v>2022.4257541475008</v>
      </c>
      <c r="D9" s="536">
        <v>2048.3355431300001</v>
      </c>
      <c r="E9" s="535">
        <v>2227.6827918988438</v>
      </c>
      <c r="F9" s="324">
        <f t="shared" ref="F9:F15" si="1">IF(E9=0,"",D9/E9-1)</f>
        <v>-8.0508432089638204E-2</v>
      </c>
      <c r="G9" s="542">
        <v>11874.844318445001</v>
      </c>
      <c r="H9" s="528">
        <v>12736.775339703676</v>
      </c>
      <c r="I9" s="328">
        <f t="shared" ref="I9:I15" si="2">IF(H9=0,"",G9/H9-1)</f>
        <v>-6.7672624998874165E-2</v>
      </c>
      <c r="J9" s="535">
        <v>15462.868722449131</v>
      </c>
      <c r="K9" s="324">
        <f t="shared" si="0"/>
        <v>-0.17629932916572522</v>
      </c>
    </row>
    <row r="10" spans="1:11" ht="15" customHeight="1">
      <c r="A10" s="139" t="s">
        <v>39</v>
      </c>
      <c r="B10" s="537">
        <v>128.59335152</v>
      </c>
      <c r="C10" s="529">
        <v>130.32940518999999</v>
      </c>
      <c r="D10" s="538">
        <v>134.3830846825</v>
      </c>
      <c r="E10" s="537">
        <v>111.42214168834684</v>
      </c>
      <c r="F10" s="325">
        <f t="shared" si="1"/>
        <v>0.20607163572906395</v>
      </c>
      <c r="G10" s="543">
        <v>923.2971126525</v>
      </c>
      <c r="H10" s="529">
        <v>653.16893138224395</v>
      </c>
      <c r="I10" s="329">
        <f t="shared" si="2"/>
        <v>0.41356556978086445</v>
      </c>
      <c r="J10" s="537">
        <v>654.54863129121634</v>
      </c>
      <c r="K10" s="325">
        <f t="shared" si="0"/>
        <v>-2.1078646307007842E-3</v>
      </c>
    </row>
    <row r="11" spans="1:11" ht="15" customHeight="1">
      <c r="A11" s="138" t="s">
        <v>30</v>
      </c>
      <c r="B11" s="535">
        <v>46.704256437500007</v>
      </c>
      <c r="C11" s="528">
        <v>49.3644935425</v>
      </c>
      <c r="D11" s="536">
        <v>65.050804804999999</v>
      </c>
      <c r="E11" s="535">
        <v>19.500341649968</v>
      </c>
      <c r="F11" s="324">
        <f>IF(E11=0,"",D11/E11-1)</f>
        <v>2.3358802616213006</v>
      </c>
      <c r="G11" s="542">
        <v>445.21042083750001</v>
      </c>
      <c r="H11" s="528">
        <v>141.71379225200801</v>
      </c>
      <c r="I11" s="328">
        <f t="shared" si="2"/>
        <v>2.1416167316007426</v>
      </c>
      <c r="J11" s="535">
        <v>151.84658156524992</v>
      </c>
      <c r="K11" s="324">
        <f t="shared" si="0"/>
        <v>-6.6730440743493213E-2</v>
      </c>
    </row>
    <row r="12" spans="1:11" ht="15" customHeight="1">
      <c r="A12" s="168" t="s">
        <v>44</v>
      </c>
      <c r="B12" s="539">
        <f>+B8+B9+B10+B11</f>
        <v>4134.9206454550003</v>
      </c>
      <c r="C12" s="530">
        <f>+C8+C9+C10+C11</f>
        <v>4200.0115709425008</v>
      </c>
      <c r="D12" s="540">
        <f>+D8+D9+D10+D11</f>
        <v>4221.8736752400009</v>
      </c>
      <c r="E12" s="539">
        <f>+E8+E9+E10+E11</f>
        <v>4116.7732619691142</v>
      </c>
      <c r="F12" s="326">
        <f>IF(E12=0,"",D12/E12-1)</f>
        <v>2.552980370374236E-2</v>
      </c>
      <c r="G12" s="539">
        <f>+G8+G9+G10+G11</f>
        <v>33543.342882145007</v>
      </c>
      <c r="H12" s="530">
        <f>+H8+H9+H10+H11</f>
        <v>32574.658199672496</v>
      </c>
      <c r="I12" s="330">
        <f>IF(H12=0,"",G12/H12-1)</f>
        <v>2.973737058221082E-2</v>
      </c>
      <c r="J12" s="539">
        <f>+J8+J9+J10+J11</f>
        <v>31854.570642269548</v>
      </c>
      <c r="K12" s="326">
        <f t="shared" si="0"/>
        <v>2.2605470514407866E-2</v>
      </c>
    </row>
    <row r="13" spans="1:11" ht="15" customHeight="1">
      <c r="A13" s="133"/>
      <c r="B13" s="133"/>
      <c r="C13" s="133"/>
      <c r="D13" s="133"/>
      <c r="E13" s="133"/>
      <c r="F13" s="135"/>
      <c r="G13" s="133"/>
      <c r="H13" s="133"/>
      <c r="I13" s="135"/>
      <c r="J13" s="134"/>
      <c r="K13" s="135" t="str">
        <f t="shared" si="0"/>
        <v/>
      </c>
    </row>
    <row r="14" spans="1:11" ht="15" customHeight="1">
      <c r="A14" s="140" t="s">
        <v>40</v>
      </c>
      <c r="B14" s="321">
        <v>1.7041230000000001</v>
      </c>
      <c r="C14" s="322">
        <v>3.7181487299999998</v>
      </c>
      <c r="D14" s="532">
        <v>6.7408331799999992</v>
      </c>
      <c r="E14" s="321">
        <v>0</v>
      </c>
      <c r="F14" s="141" t="str">
        <f t="shared" si="1"/>
        <v/>
      </c>
      <c r="G14" s="321">
        <v>14.28379191</v>
      </c>
      <c r="H14" s="322">
        <v>16.595158999999999</v>
      </c>
      <c r="I14" s="144">
        <f t="shared" si="2"/>
        <v>-0.13927959894810282</v>
      </c>
      <c r="J14" s="321">
        <v>21.247349730000003</v>
      </c>
      <c r="K14" s="141">
        <f t="shared" si="0"/>
        <v>-0.21895393021330023</v>
      </c>
    </row>
    <row r="15" spans="1:11" ht="15" customHeight="1">
      <c r="A15" s="139" t="s">
        <v>41</v>
      </c>
      <c r="B15" s="318">
        <v>0</v>
      </c>
      <c r="C15" s="319">
        <v>0</v>
      </c>
      <c r="D15" s="320">
        <v>0</v>
      </c>
      <c r="E15" s="318">
        <v>0</v>
      </c>
      <c r="F15" s="142" t="str">
        <f t="shared" si="1"/>
        <v/>
      </c>
      <c r="G15" s="318">
        <v>0</v>
      </c>
      <c r="H15" s="319">
        <v>0</v>
      </c>
      <c r="I15" s="136" t="str">
        <f t="shared" si="2"/>
        <v/>
      </c>
      <c r="J15" s="318">
        <v>37.352100999999998</v>
      </c>
      <c r="K15" s="142">
        <f t="shared" si="0"/>
        <v>-1</v>
      </c>
    </row>
    <row r="16" spans="1:11" ht="23.25" customHeight="1">
      <c r="A16" s="146" t="s">
        <v>42</v>
      </c>
      <c r="B16" s="331">
        <f>+B15-B14</f>
        <v>-1.7041230000000001</v>
      </c>
      <c r="C16" s="331">
        <f>+C15-C14</f>
        <v>-3.7181487299999998</v>
      </c>
      <c r="D16" s="331">
        <f>+D15-D14</f>
        <v>-6.7408331799999992</v>
      </c>
      <c r="E16" s="331">
        <f>+E15-E14</f>
        <v>0</v>
      </c>
      <c r="F16" s="143"/>
      <c r="G16" s="331">
        <f>+G15-G14</f>
        <v>-14.28379191</v>
      </c>
      <c r="H16" s="332">
        <f>+H15-H14</f>
        <v>-16.595158999999999</v>
      </c>
      <c r="I16" s="145"/>
      <c r="J16" s="331">
        <f>+J15-J14</f>
        <v>16.104751269999994</v>
      </c>
      <c r="K16" s="143"/>
    </row>
    <row r="17" spans="1:11" ht="11.25" customHeight="1">
      <c r="A17" s="333" t="s">
        <v>250</v>
      </c>
      <c r="B17" s="130"/>
      <c r="C17" s="130"/>
      <c r="D17" s="130"/>
      <c r="E17" s="130"/>
      <c r="F17" s="130"/>
      <c r="G17" s="130"/>
      <c r="H17" s="130"/>
      <c r="I17" s="130"/>
      <c r="J17" s="130"/>
      <c r="K17" s="130"/>
    </row>
    <row r="18" spans="1:11" ht="11.25" customHeight="1">
      <c r="A18" s="131"/>
      <c r="B18" s="130"/>
      <c r="C18" s="130"/>
      <c r="D18" s="130"/>
      <c r="E18" s="130"/>
      <c r="F18" s="130"/>
      <c r="G18" s="130"/>
      <c r="H18" s="130"/>
      <c r="I18" s="130"/>
      <c r="J18" s="130"/>
      <c r="K18" s="130"/>
    </row>
    <row r="19" spans="1:11" ht="11.25" customHeight="1">
      <c r="A19" s="2"/>
      <c r="B19" s="115"/>
      <c r="C19" s="115"/>
      <c r="D19" s="115"/>
      <c r="E19" s="115"/>
      <c r="F19" s="115"/>
      <c r="G19" s="115"/>
      <c r="H19" s="115"/>
      <c r="I19" s="115"/>
      <c r="J19" s="115"/>
      <c r="K19" s="115"/>
    </row>
    <row r="20" spans="1:11" ht="11.25" customHeight="1">
      <c r="A20" s="2"/>
      <c r="B20" s="115"/>
      <c r="C20" s="115"/>
      <c r="D20" s="115"/>
      <c r="E20" s="115"/>
      <c r="F20" s="115"/>
      <c r="G20" s="115"/>
      <c r="H20" s="115"/>
      <c r="I20" s="115"/>
      <c r="J20" s="115"/>
      <c r="K20" s="115"/>
    </row>
    <row r="21" spans="1:11" ht="11.25" customHeight="1">
      <c r="A21" s="93"/>
      <c r="B21" s="93"/>
      <c r="C21" s="93"/>
      <c r="D21" s="93"/>
      <c r="E21" s="93"/>
      <c r="F21" s="93"/>
      <c r="G21" s="93"/>
      <c r="H21" s="93"/>
      <c r="I21" s="93"/>
      <c r="J21" s="93"/>
      <c r="K21" s="93"/>
    </row>
    <row r="22" spans="1:11" ht="11.25" customHeight="1">
      <c r="A22" s="2"/>
      <c r="B22" s="115"/>
      <c r="C22" s="115"/>
      <c r="D22" s="115"/>
      <c r="E22" s="115"/>
      <c r="F22" s="115"/>
      <c r="G22" s="115"/>
      <c r="H22" s="115"/>
      <c r="I22" s="115"/>
      <c r="J22" s="115"/>
      <c r="K22" s="115"/>
    </row>
    <row r="23" spans="1:11" ht="11.25" customHeight="1">
      <c r="A23" s="2"/>
      <c r="B23" s="115"/>
      <c r="C23" s="115"/>
      <c r="D23" s="115"/>
      <c r="E23" s="115"/>
      <c r="F23" s="115"/>
      <c r="G23" s="115"/>
      <c r="H23" s="115"/>
      <c r="I23" s="115"/>
      <c r="J23" s="115"/>
      <c r="K23" s="115"/>
    </row>
    <row r="24" spans="1:11" ht="11.25" customHeight="1">
      <c r="A24" s="2"/>
      <c r="B24" s="115"/>
      <c r="C24" s="115"/>
      <c r="D24" s="115"/>
      <c r="E24" s="115"/>
      <c r="F24" s="115"/>
      <c r="G24" s="115"/>
      <c r="H24" s="115"/>
      <c r="I24" s="115"/>
      <c r="J24" s="115"/>
      <c r="K24" s="115"/>
    </row>
    <row r="25" spans="1:11" ht="11.25" customHeight="1">
      <c r="A25" s="2"/>
      <c r="B25" s="115"/>
      <c r="C25" s="115"/>
      <c r="D25" s="115"/>
      <c r="E25" s="115"/>
      <c r="F25" s="115"/>
      <c r="G25" s="115"/>
      <c r="H25" s="115"/>
      <c r="I25" s="115"/>
      <c r="J25" s="115"/>
      <c r="K25" s="115"/>
    </row>
    <row r="26" spans="1:11" ht="11.25" customHeight="1">
      <c r="A26" s="2"/>
      <c r="B26" s="115"/>
      <c r="C26" s="115"/>
      <c r="D26" s="115"/>
      <c r="E26" s="115"/>
      <c r="F26" s="115"/>
      <c r="G26" s="115"/>
      <c r="H26" s="115"/>
      <c r="I26" s="115"/>
      <c r="J26" s="115"/>
      <c r="K26" s="115"/>
    </row>
    <row r="27" spans="1:11" ht="11.25" customHeight="1">
      <c r="A27" s="2"/>
      <c r="B27" s="115"/>
      <c r="C27" s="115"/>
      <c r="D27" s="115"/>
      <c r="E27" s="115"/>
      <c r="F27" s="115"/>
      <c r="G27" s="115"/>
      <c r="H27" s="115"/>
      <c r="I27" s="115"/>
      <c r="J27" s="115"/>
      <c r="K27" s="115"/>
    </row>
    <row r="28" spans="1:11" ht="11.25" customHeight="1">
      <c r="A28" s="2"/>
      <c r="B28" s="115"/>
      <c r="C28" s="115"/>
      <c r="D28" s="115"/>
      <c r="E28" s="115"/>
      <c r="F28" s="115"/>
      <c r="G28" s="115"/>
      <c r="H28" s="115"/>
      <c r="I28" s="115"/>
      <c r="J28" s="115"/>
      <c r="K28" s="115"/>
    </row>
    <row r="29" spans="1:11" ht="11.25" customHeight="1">
      <c r="A29" s="2"/>
      <c r="B29" s="115"/>
      <c r="C29" s="115"/>
      <c r="D29" s="115"/>
      <c r="E29" s="115"/>
      <c r="F29" s="115"/>
      <c r="G29" s="115"/>
      <c r="H29" s="115"/>
      <c r="I29" s="115"/>
      <c r="J29" s="115"/>
      <c r="K29" s="115"/>
    </row>
    <row r="30" spans="1:11" ht="11.25" customHeight="1">
      <c r="A30" s="2"/>
      <c r="B30" s="115"/>
      <c r="C30" s="115"/>
      <c r="D30" s="115"/>
      <c r="E30" s="115"/>
      <c r="F30" s="115"/>
      <c r="G30" s="115"/>
      <c r="H30" s="115"/>
      <c r="I30" s="115"/>
      <c r="J30" s="115"/>
      <c r="K30" s="115"/>
    </row>
    <row r="31" spans="1:11" ht="11.25" customHeight="1">
      <c r="A31" s="2"/>
      <c r="B31" s="115"/>
      <c r="C31" s="115"/>
      <c r="D31" s="115"/>
      <c r="E31" s="115"/>
      <c r="F31" s="115"/>
      <c r="G31" s="115"/>
      <c r="H31" s="115"/>
      <c r="I31" s="115"/>
      <c r="J31" s="115"/>
      <c r="K31" s="115"/>
    </row>
    <row r="32" spans="1:11" ht="11.25" customHeight="1">
      <c r="A32" s="2"/>
      <c r="B32" s="115"/>
      <c r="C32" s="115"/>
      <c r="D32" s="115"/>
      <c r="E32" s="115"/>
      <c r="F32" s="115"/>
      <c r="G32" s="115"/>
      <c r="H32" s="115"/>
      <c r="I32" s="115"/>
      <c r="J32" s="115"/>
      <c r="K32" s="115"/>
    </row>
    <row r="33" spans="1:11" ht="11.25" customHeight="1">
      <c r="A33" s="2"/>
      <c r="B33" s="115"/>
      <c r="C33" s="115"/>
      <c r="D33" s="115"/>
      <c r="E33" s="115"/>
      <c r="F33" s="115"/>
      <c r="G33" s="115"/>
      <c r="H33" s="115"/>
      <c r="I33" s="115"/>
      <c r="J33" s="115"/>
      <c r="K33" s="115"/>
    </row>
    <row r="34" spans="1:11" ht="11.25" customHeight="1">
      <c r="A34" s="2"/>
      <c r="B34" s="115"/>
      <c r="C34" s="115"/>
      <c r="D34" s="115"/>
      <c r="E34" s="115"/>
      <c r="F34" s="115"/>
      <c r="G34" s="115"/>
      <c r="H34" s="115"/>
      <c r="I34" s="115"/>
      <c r="J34" s="115"/>
      <c r="K34" s="115"/>
    </row>
    <row r="35" spans="1:11" ht="11.25" customHeight="1">
      <c r="A35" s="2"/>
      <c r="B35" s="115"/>
      <c r="C35" s="115"/>
      <c r="D35" s="115"/>
      <c r="E35" s="115"/>
      <c r="F35" s="115"/>
      <c r="G35" s="115"/>
      <c r="H35" s="115"/>
      <c r="I35" s="115"/>
      <c r="J35" s="115"/>
      <c r="K35" s="115"/>
    </row>
    <row r="36" spans="1:11" ht="11.25" customHeight="1">
      <c r="A36" s="2"/>
      <c r="B36" s="115"/>
      <c r="C36" s="115"/>
      <c r="D36" s="115"/>
      <c r="E36" s="115"/>
      <c r="F36" s="115"/>
      <c r="G36" s="115"/>
      <c r="H36" s="115"/>
      <c r="I36" s="115"/>
      <c r="J36" s="115"/>
      <c r="K36" s="115"/>
    </row>
    <row r="37" spans="1:11" ht="11.25" customHeight="1">
      <c r="A37" s="2"/>
      <c r="B37" s="115"/>
      <c r="C37" s="115"/>
      <c r="D37" s="115"/>
      <c r="E37" s="115"/>
      <c r="F37" s="115"/>
      <c r="G37" s="115"/>
      <c r="H37" s="115"/>
      <c r="I37" s="115"/>
      <c r="J37" s="115"/>
      <c r="K37" s="115"/>
    </row>
    <row r="38" spans="1:11" ht="11.25" customHeight="1">
      <c r="A38" s="2"/>
      <c r="B38" s="115"/>
      <c r="C38" s="115"/>
      <c r="D38" s="115"/>
      <c r="E38" s="115"/>
      <c r="F38" s="115"/>
      <c r="G38" s="115"/>
      <c r="H38" s="115"/>
      <c r="I38" s="115"/>
      <c r="J38" s="115"/>
      <c r="K38" s="115"/>
    </row>
    <row r="39" spans="1:11" ht="11.25" customHeight="1">
      <c r="A39" s="2"/>
      <c r="B39" s="115"/>
      <c r="C39" s="115"/>
      <c r="D39" s="115"/>
      <c r="E39" s="115"/>
      <c r="F39" s="115"/>
      <c r="G39" s="115"/>
      <c r="H39" s="115"/>
      <c r="I39" s="115"/>
      <c r="J39" s="115"/>
      <c r="K39" s="115"/>
    </row>
    <row r="40" spans="1:11" ht="11.25" customHeight="1">
      <c r="A40" s="2"/>
      <c r="B40" s="115"/>
      <c r="C40" s="115"/>
      <c r="D40" s="115"/>
      <c r="E40" s="115"/>
      <c r="F40" s="115"/>
      <c r="G40" s="115"/>
      <c r="H40" s="115"/>
      <c r="I40" s="115"/>
      <c r="J40" s="115"/>
      <c r="K40" s="115"/>
    </row>
    <row r="41" spans="1:11" ht="11.25" customHeight="1">
      <c r="A41" s="2"/>
      <c r="B41" s="115"/>
      <c r="C41" s="115"/>
      <c r="D41" s="115"/>
      <c r="E41" s="115"/>
      <c r="F41" s="115"/>
      <c r="G41" s="115"/>
      <c r="H41" s="115"/>
      <c r="I41" s="115"/>
      <c r="J41" s="115"/>
      <c r="K41" s="115"/>
    </row>
    <row r="42" spans="1:11" ht="11.25" customHeight="1">
      <c r="A42" s="116"/>
      <c r="B42" s="900"/>
      <c r="C42" s="900"/>
      <c r="D42" s="900"/>
      <c r="E42" s="113"/>
      <c r="F42" s="113"/>
      <c r="G42" s="901"/>
      <c r="H42" s="901"/>
      <c r="I42" s="901"/>
      <c r="J42" s="901"/>
      <c r="K42" s="901"/>
    </row>
    <row r="43" spans="1:11" ht="11.25" customHeight="1">
      <c r="A43" s="117"/>
      <c r="B43" s="118"/>
      <c r="C43" s="118"/>
      <c r="D43" s="118"/>
      <c r="E43" s="118"/>
      <c r="F43" s="118"/>
      <c r="G43" s="119"/>
      <c r="H43" s="119"/>
      <c r="I43" s="120"/>
      <c r="J43" s="119"/>
      <c r="K43" s="119"/>
    </row>
    <row r="44" spans="1:11" ht="11.25" customHeight="1">
      <c r="A44" s="116"/>
      <c r="B44" s="121"/>
      <c r="C44" s="114"/>
      <c r="D44" s="114"/>
      <c r="E44" s="114"/>
      <c r="F44" s="114"/>
      <c r="G44" s="114"/>
      <c r="H44" s="114"/>
      <c r="I44" s="114"/>
      <c r="J44" s="114"/>
      <c r="K44" s="114"/>
    </row>
    <row r="45" spans="1:11" ht="11.25" customHeight="1">
      <c r="A45" s="2"/>
      <c r="B45" s="90"/>
      <c r="C45" s="90"/>
      <c r="D45" s="90"/>
      <c r="E45" s="90"/>
      <c r="F45" s="90"/>
      <c r="G45" s="90"/>
      <c r="H45" s="90"/>
      <c r="I45" s="122"/>
      <c r="J45" s="90"/>
      <c r="K45" s="123"/>
    </row>
    <row r="46" spans="1:11" ht="11.25" customHeight="1">
      <c r="A46" s="2"/>
      <c r="B46" s="90"/>
      <c r="C46" s="90"/>
      <c r="D46" s="90"/>
      <c r="E46" s="90"/>
      <c r="F46" s="90"/>
      <c r="G46" s="90"/>
      <c r="H46" s="90"/>
      <c r="I46" s="122"/>
      <c r="J46" s="90"/>
      <c r="K46" s="123"/>
    </row>
    <row r="47" spans="1:11" ht="11.25" customHeight="1">
      <c r="A47" s="2"/>
      <c r="B47" s="90"/>
      <c r="C47" s="90"/>
      <c r="D47" s="90"/>
      <c r="E47" s="90"/>
      <c r="F47" s="90"/>
      <c r="G47" s="90"/>
      <c r="H47" s="90"/>
      <c r="I47" s="122"/>
      <c r="J47" s="90"/>
      <c r="K47" s="123"/>
    </row>
    <row r="48" spans="1:11" ht="11.25" customHeight="1">
      <c r="A48" s="2"/>
      <c r="B48" s="90"/>
      <c r="C48" s="90"/>
      <c r="D48" s="90"/>
      <c r="E48" s="90"/>
      <c r="F48" s="90"/>
      <c r="G48" s="90"/>
      <c r="H48" s="90"/>
      <c r="I48" s="122"/>
      <c r="J48" s="90"/>
      <c r="K48" s="123"/>
    </row>
    <row r="49" spans="1:11" ht="11.25" customHeight="1">
      <c r="A49" s="2"/>
      <c r="B49" s="90"/>
      <c r="C49" s="90"/>
      <c r="D49" s="90"/>
      <c r="E49" s="90"/>
      <c r="F49" s="90"/>
      <c r="G49" s="90"/>
      <c r="H49" s="90"/>
      <c r="I49" s="122"/>
      <c r="J49" s="90"/>
      <c r="K49" s="123"/>
    </row>
    <row r="50" spans="1:11" ht="11.25" customHeight="1">
      <c r="A50" s="2"/>
      <c r="B50" s="90"/>
      <c r="C50" s="90"/>
      <c r="D50" s="90"/>
      <c r="E50" s="90"/>
      <c r="F50" s="90"/>
      <c r="G50" s="90"/>
      <c r="H50" s="90"/>
      <c r="I50" s="122"/>
      <c r="J50" s="90"/>
      <c r="K50" s="123"/>
    </row>
    <row r="51" spans="1:11" ht="11.25" customHeight="1">
      <c r="A51" s="2"/>
      <c r="B51" s="90"/>
      <c r="C51" s="90"/>
      <c r="D51" s="90"/>
      <c r="E51" s="90"/>
      <c r="F51" s="90"/>
      <c r="G51" s="90"/>
      <c r="H51" s="90"/>
      <c r="I51" s="122"/>
      <c r="J51" s="90"/>
      <c r="K51" s="123"/>
    </row>
    <row r="52" spans="1:11" ht="11.25" customHeight="1">
      <c r="A52" s="2"/>
      <c r="B52" s="90"/>
      <c r="C52" s="90"/>
      <c r="D52" s="90"/>
      <c r="E52" s="90"/>
      <c r="F52" s="90"/>
      <c r="G52" s="90"/>
      <c r="H52" s="90"/>
      <c r="I52" s="122"/>
      <c r="J52" s="90"/>
      <c r="K52" s="123"/>
    </row>
    <row r="53" spans="1:11" ht="12.75">
      <c r="A53" s="2"/>
      <c r="B53" s="90"/>
      <c r="C53" s="90"/>
      <c r="D53" s="90"/>
      <c r="E53" s="90"/>
      <c r="F53" s="90"/>
      <c r="G53" s="90"/>
      <c r="H53" s="90"/>
      <c r="I53" s="122"/>
      <c r="J53" s="90"/>
      <c r="K53" s="123"/>
    </row>
    <row r="54" spans="1:11" ht="12.75">
      <c r="A54" s="2"/>
      <c r="B54" s="90"/>
      <c r="C54" s="90"/>
      <c r="D54" s="90"/>
      <c r="E54" s="90"/>
      <c r="F54" s="90"/>
      <c r="G54" s="90"/>
      <c r="H54" s="90"/>
      <c r="I54" s="122"/>
      <c r="J54" s="90"/>
      <c r="K54" s="123"/>
    </row>
    <row r="55" spans="1:11" ht="12.75">
      <c r="A55" s="2"/>
      <c r="B55" s="90"/>
      <c r="C55" s="90"/>
      <c r="D55" s="90"/>
      <c r="E55" s="90"/>
      <c r="F55" s="90"/>
      <c r="G55" s="90"/>
      <c r="H55" s="90"/>
      <c r="I55" s="122"/>
      <c r="J55" s="90"/>
      <c r="K55" s="123"/>
    </row>
    <row r="56" spans="1:11" ht="12.75">
      <c r="A56" s="2"/>
      <c r="B56" s="90"/>
      <c r="C56" s="90"/>
      <c r="D56" s="90"/>
      <c r="E56" s="90"/>
      <c r="F56" s="90"/>
      <c r="G56" s="90"/>
      <c r="H56" s="90"/>
      <c r="I56" s="122"/>
      <c r="J56" s="90"/>
      <c r="K56" s="123"/>
    </row>
    <row r="57" spans="1:11" ht="12.75">
      <c r="A57" s="2"/>
      <c r="B57" s="90"/>
      <c r="C57" s="90"/>
      <c r="D57" s="90"/>
      <c r="E57" s="90"/>
      <c r="F57" s="90"/>
      <c r="G57" s="90"/>
      <c r="H57" s="90"/>
      <c r="I57" s="122"/>
      <c r="J57" s="90"/>
      <c r="K57" s="123"/>
    </row>
    <row r="58" spans="1:11" ht="12.75">
      <c r="A58" s="334" t="str">
        <f>"Gráfico N° 4: Comparación de la producción de energía eléctrica por tipo de generación acumulada a "&amp;'1. Resumen'!Q4</f>
        <v>Gráfico N° 4: Comparación de la producción de energía eléctrica por tipo de generación acumulada a agosto</v>
      </c>
      <c r="B58" s="90"/>
      <c r="C58" s="90"/>
      <c r="D58" s="90"/>
      <c r="E58" s="90"/>
      <c r="F58" s="90"/>
      <c r="G58" s="90"/>
      <c r="H58" s="90"/>
      <c r="I58" s="122"/>
      <c r="J58" s="90"/>
      <c r="K58" s="123"/>
    </row>
    <row r="59" spans="1:11" ht="12.75">
      <c r="B59" s="90"/>
      <c r="C59" s="90"/>
      <c r="D59" s="90"/>
      <c r="E59" s="90"/>
      <c r="F59" s="90"/>
      <c r="G59" s="90"/>
      <c r="H59" s="90"/>
      <c r="I59" s="122"/>
      <c r="J59" s="90"/>
      <c r="K59" s="123"/>
    </row>
    <row r="60" spans="1:11" ht="12.75">
      <c r="A60" s="2"/>
      <c r="B60" s="90"/>
      <c r="C60" s="90"/>
      <c r="D60" s="90"/>
      <c r="E60" s="90"/>
      <c r="F60" s="90"/>
      <c r="G60" s="90"/>
      <c r="H60" s="90"/>
      <c r="I60" s="122"/>
      <c r="J60" s="90"/>
      <c r="K60" s="123"/>
    </row>
    <row r="61" spans="1:11" ht="12.75">
      <c r="A61" s="2"/>
      <c r="B61" s="90"/>
      <c r="C61" s="90"/>
      <c r="D61" s="90"/>
      <c r="E61" s="90"/>
      <c r="F61" s="90"/>
      <c r="G61" s="90"/>
      <c r="H61" s="90"/>
      <c r="I61" s="122"/>
      <c r="J61" s="90"/>
      <c r="K61" s="123"/>
    </row>
    <row r="63" spans="1:11" ht="12.75">
      <c r="A63" s="124"/>
      <c r="B63" s="125"/>
      <c r="C63" s="125"/>
      <c r="D63" s="125"/>
      <c r="E63" s="125"/>
      <c r="F63" s="125"/>
      <c r="G63" s="125"/>
      <c r="H63" s="122"/>
      <c r="I63" s="122"/>
      <c r="J63" s="125"/>
      <c r="K63" s="123"/>
    </row>
    <row r="64" spans="1:11" ht="12.75">
      <c r="A64" s="2"/>
      <c r="B64" s="90"/>
      <c r="C64" s="90"/>
      <c r="D64" s="90"/>
      <c r="E64" s="90"/>
      <c r="F64" s="90"/>
      <c r="G64" s="90"/>
      <c r="H64" s="90"/>
      <c r="I64" s="122"/>
      <c r="J64" s="90"/>
      <c r="K64" s="126"/>
    </row>
    <row r="65" spans="1:11" ht="12.75">
      <c r="A65" s="2"/>
      <c r="B65" s="90"/>
      <c r="C65" s="90"/>
      <c r="D65" s="90"/>
      <c r="E65" s="90"/>
      <c r="F65" s="90"/>
      <c r="G65" s="90"/>
      <c r="H65" s="90"/>
      <c r="I65" s="127"/>
      <c r="J65" s="90"/>
      <c r="K65" s="126"/>
    </row>
    <row r="66" spans="1:11" ht="12.75">
      <c r="A66" s="2"/>
      <c r="B66" s="90"/>
      <c r="C66" s="90"/>
      <c r="D66" s="90"/>
      <c r="E66" s="90"/>
      <c r="F66" s="90"/>
      <c r="G66" s="90"/>
      <c r="H66" s="128"/>
      <c r="I66" s="128"/>
      <c r="J66" s="90"/>
      <c r="K66" s="126"/>
    </row>
    <row r="67" spans="1:11" ht="12.75">
      <c r="A67" s="2"/>
      <c r="B67" s="90"/>
      <c r="C67" s="90"/>
      <c r="D67" s="90"/>
      <c r="E67" s="90"/>
      <c r="F67" s="90"/>
      <c r="G67" s="90"/>
      <c r="H67" s="128"/>
      <c r="I67" s="128"/>
      <c r="J67" s="90"/>
      <c r="K67" s="126"/>
    </row>
    <row r="68" spans="1:11" ht="12.75">
      <c r="A68" s="124"/>
      <c r="B68" s="125"/>
      <c r="C68" s="125"/>
      <c r="D68" s="125"/>
      <c r="E68" s="125"/>
      <c r="F68" s="125"/>
      <c r="G68" s="125"/>
      <c r="H68" s="129"/>
      <c r="I68" s="122"/>
      <c r="J68" s="125"/>
      <c r="K68" s="123"/>
    </row>
    <row r="69" spans="1:11" ht="12.75">
      <c r="A69" s="124"/>
      <c r="B69" s="125"/>
      <c r="C69" s="125"/>
      <c r="D69" s="125"/>
      <c r="E69" s="125"/>
      <c r="F69" s="125"/>
      <c r="G69" s="125"/>
      <c r="H69" s="122"/>
      <c r="I69" s="122"/>
      <c r="J69" s="125"/>
      <c r="K69" s="123"/>
    </row>
    <row r="70" spans="1:11">
      <c r="A70" s="61"/>
      <c r="B70" s="61"/>
      <c r="C70" s="61"/>
      <c r="D70" s="61"/>
      <c r="E70" s="61"/>
      <c r="F70" s="61"/>
      <c r="G70" s="61"/>
      <c r="H70" s="61"/>
      <c r="I70" s="61"/>
      <c r="J70" s="61"/>
      <c r="K70" s="61"/>
    </row>
    <row r="71" spans="1:11">
      <c r="A71" s="61"/>
      <c r="B71" s="61"/>
      <c r="C71" s="61"/>
      <c r="D71" s="61"/>
      <c r="E71" s="61"/>
      <c r="F71" s="61"/>
      <c r="G71" s="61"/>
      <c r="H71" s="61"/>
      <c r="I71" s="61"/>
      <c r="J71" s="61"/>
      <c r="K71" s="61"/>
    </row>
    <row r="72" spans="1:11">
      <c r="A72" s="61"/>
      <c r="B72" s="61"/>
      <c r="C72" s="61"/>
      <c r="D72" s="61"/>
      <c r="E72" s="61"/>
      <c r="F72" s="61"/>
      <c r="G72" s="61"/>
      <c r="H72" s="61"/>
      <c r="I72" s="61"/>
      <c r="J72" s="61"/>
      <c r="K72" s="61"/>
    </row>
    <row r="73" spans="1:11">
      <c r="A73" s="61"/>
      <c r="B73" s="61"/>
      <c r="C73" s="61"/>
      <c r="D73" s="61"/>
      <c r="E73" s="61"/>
      <c r="F73" s="61"/>
      <c r="G73" s="61"/>
      <c r="H73" s="61"/>
      <c r="I73" s="61"/>
      <c r="J73" s="61"/>
      <c r="K73" s="61"/>
    </row>
    <row r="74" spans="1:11">
      <c r="A74" s="61"/>
      <c r="B74" s="61"/>
      <c r="C74" s="61"/>
      <c r="D74" s="61"/>
      <c r="E74" s="61"/>
      <c r="F74" s="61"/>
      <c r="G74" s="61"/>
      <c r="H74" s="61"/>
      <c r="I74" s="61"/>
      <c r="J74" s="61"/>
      <c r="K74" s="61"/>
    </row>
    <row r="75" spans="1:11">
      <c r="A75" s="61"/>
      <c r="B75" s="61"/>
      <c r="C75" s="61"/>
      <c r="D75" s="61"/>
      <c r="E75" s="61"/>
      <c r="F75" s="61"/>
      <c r="G75" s="61"/>
      <c r="H75" s="61"/>
      <c r="I75" s="61"/>
      <c r="J75" s="61"/>
      <c r="K75" s="61"/>
    </row>
    <row r="76" spans="1:11">
      <c r="A76" s="61"/>
      <c r="B76" s="61"/>
      <c r="C76" s="61"/>
      <c r="D76" s="61"/>
      <c r="E76" s="61"/>
      <c r="F76" s="61"/>
      <c r="G76" s="61"/>
      <c r="H76" s="61"/>
      <c r="I76" s="61"/>
      <c r="J76" s="61"/>
      <c r="K76" s="61"/>
    </row>
    <row r="77" spans="1:11">
      <c r="A77" s="61"/>
      <c r="B77" s="61"/>
      <c r="C77" s="61"/>
      <c r="D77" s="61"/>
      <c r="E77" s="61"/>
      <c r="F77" s="61"/>
      <c r="G77" s="61"/>
      <c r="H77" s="61"/>
      <c r="I77" s="61"/>
      <c r="J77" s="61"/>
      <c r="K77" s="61"/>
    </row>
    <row r="78" spans="1:11">
      <c r="A78" s="61"/>
      <c r="B78" s="61"/>
      <c r="C78" s="61"/>
      <c r="D78" s="61"/>
      <c r="E78" s="61"/>
      <c r="F78" s="61"/>
      <c r="G78" s="61"/>
      <c r="H78" s="61"/>
      <c r="I78" s="61"/>
      <c r="J78" s="61"/>
      <c r="K78" s="61"/>
    </row>
    <row r="79" spans="1:11">
      <c r="A79" s="61"/>
      <c r="B79" s="61"/>
      <c r="C79" s="61"/>
      <c r="D79" s="61"/>
      <c r="E79" s="61"/>
      <c r="F79" s="61"/>
      <c r="G79" s="61"/>
      <c r="H79" s="61"/>
      <c r="I79" s="61"/>
      <c r="J79" s="61"/>
      <c r="K79" s="61"/>
    </row>
    <row r="80" spans="1:11">
      <c r="A80" s="61"/>
      <c r="B80" s="61"/>
      <c r="C80" s="61"/>
      <c r="D80" s="61"/>
      <c r="E80" s="61"/>
      <c r="F80" s="61"/>
      <c r="G80" s="61"/>
      <c r="H80" s="61"/>
      <c r="I80" s="61"/>
      <c r="J80" s="61"/>
      <c r="K80" s="61"/>
    </row>
    <row r="81" spans="1:11">
      <c r="A81" s="61"/>
      <c r="B81" s="61"/>
      <c r="C81" s="61"/>
      <c r="D81" s="61"/>
      <c r="E81" s="61"/>
      <c r="F81" s="61"/>
      <c r="G81" s="61"/>
      <c r="H81" s="61"/>
      <c r="I81" s="61"/>
      <c r="J81" s="61"/>
      <c r="K81" s="61"/>
    </row>
    <row r="82" spans="1:11">
      <c r="A82" s="61"/>
      <c r="B82" s="61"/>
      <c r="C82" s="61"/>
      <c r="D82" s="61"/>
      <c r="E82" s="61"/>
      <c r="F82" s="61"/>
      <c r="G82" s="61"/>
      <c r="H82" s="61"/>
      <c r="I82" s="61"/>
      <c r="J82" s="61"/>
      <c r="K82" s="61"/>
    </row>
    <row r="83" spans="1:11">
      <c r="A83" s="61"/>
      <c r="B83" s="61"/>
      <c r="C83" s="61"/>
      <c r="D83" s="61"/>
      <c r="E83" s="61"/>
      <c r="F83" s="61"/>
      <c r="G83" s="61"/>
      <c r="H83" s="61"/>
      <c r="I83" s="61"/>
      <c r="J83" s="61"/>
      <c r="K83" s="61"/>
    </row>
    <row r="84" spans="1:11">
      <c r="A84" s="61"/>
      <c r="B84" s="61"/>
      <c r="C84" s="61"/>
      <c r="D84" s="61"/>
      <c r="E84" s="61"/>
      <c r="F84" s="61"/>
      <c r="G84" s="61"/>
      <c r="H84" s="61"/>
      <c r="I84" s="61"/>
      <c r="J84" s="61"/>
      <c r="K84" s="61"/>
    </row>
    <row r="85" spans="1:11">
      <c r="A85" s="61"/>
      <c r="B85" s="61"/>
      <c r="C85" s="61"/>
      <c r="D85" s="61"/>
      <c r="E85" s="61"/>
      <c r="F85" s="61"/>
      <c r="G85" s="61"/>
      <c r="H85" s="61"/>
      <c r="I85" s="61"/>
      <c r="J85" s="61"/>
      <c r="K85" s="61"/>
    </row>
    <row r="86" spans="1:11">
      <c r="A86" s="61"/>
      <c r="B86" s="61"/>
      <c r="C86" s="61"/>
      <c r="D86" s="61"/>
      <c r="E86" s="61"/>
      <c r="F86" s="61"/>
      <c r="G86" s="61"/>
      <c r="H86" s="61"/>
      <c r="I86" s="61"/>
      <c r="J86" s="61"/>
      <c r="K86" s="61"/>
    </row>
    <row r="87" spans="1:11">
      <c r="A87" s="61"/>
      <c r="B87" s="61"/>
      <c r="C87" s="61"/>
      <c r="D87" s="61"/>
      <c r="E87" s="61"/>
      <c r="F87" s="61"/>
      <c r="G87" s="61"/>
      <c r="H87" s="61"/>
      <c r="I87" s="61"/>
      <c r="J87" s="61"/>
      <c r="K87" s="61"/>
    </row>
  </sheetData>
  <mergeCells count="9">
    <mergeCell ref="B42:D42"/>
    <mergeCell ref="G42:I42"/>
    <mergeCell ref="J42:K42"/>
    <mergeCell ref="A6:A7"/>
    <mergeCell ref="A2:K2"/>
    <mergeCell ref="A4:K4"/>
    <mergeCell ref="B6:D6"/>
    <mergeCell ref="E6:F6"/>
    <mergeCell ref="G6:K6"/>
  </mergeCells>
  <pageMargins left="0.7" right="0.5803571428571429" top="0.86956521739130432" bottom="0.61458333333333337" header="0.3" footer="0.3"/>
  <pageSetup scale="94" orientation="portrait" r:id="rId1"/>
  <headerFooter>
    <oddHeader>&amp;RInforme de la Operación Mensual - Agosto 2018
INFSGI-MES-08-2018
10/09/2018
Versión: 01</oddHeader>
    <oddFooter>&amp;L&amp;7COES, 2018&amp;C3&amp;R&amp;7Dirección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9F81-AF40-4915-B597-6F2B545F3600}">
  <sheetPr>
    <tabColor theme="4"/>
  </sheetPr>
  <dimension ref="A1:L63"/>
  <sheetViews>
    <sheetView showGridLines="0" view="pageBreakPreview" zoomScale="130" zoomScaleNormal="100" zoomScaleSheetLayoutView="130" zoomScalePageLayoutView="145" workbookViewId="0">
      <selection activeCell="Q15" sqref="Q15"/>
    </sheetView>
  </sheetViews>
  <sheetFormatPr defaultRowHeight="11.25"/>
  <cols>
    <col min="1" max="1" width="16.1640625" style="3" customWidth="1"/>
    <col min="2" max="6" width="9.5" style="3" bestFit="1" customWidth="1"/>
    <col min="7" max="8" width="10.5" style="3" bestFit="1" customWidth="1"/>
    <col min="9" max="9" width="9.5" style="3" bestFit="1" customWidth="1"/>
    <col min="10" max="10" width="10.5" style="3" bestFit="1" customWidth="1"/>
    <col min="11" max="11" width="9.33203125" style="3" customWidth="1"/>
    <col min="12" max="16384" width="9.33203125" style="3"/>
  </cols>
  <sheetData>
    <row r="1" spans="1:12" ht="11.25" customHeight="1"/>
    <row r="2" spans="1:12" ht="11.25" customHeight="1">
      <c r="A2" s="910" t="str">
        <f>+"3.2. PRODUCCIÓN POR TIPO DE RECURSO ENERGÉTICO (GWh)"</f>
        <v>3.2. PRODUCCIÓN POR TIPO DE RECURSO ENERGÉTICO (GWh)</v>
      </c>
      <c r="B2" s="910"/>
      <c r="C2" s="910"/>
      <c r="D2" s="910"/>
      <c r="E2" s="910"/>
      <c r="F2" s="910"/>
      <c r="G2" s="910"/>
      <c r="H2" s="910"/>
      <c r="I2" s="910"/>
      <c r="J2" s="910"/>
      <c r="K2" s="910"/>
    </row>
    <row r="3" spans="1:12" ht="18.75" customHeight="1">
      <c r="A3" s="147"/>
      <c r="B3" s="148"/>
      <c r="C3" s="149"/>
      <c r="D3" s="150"/>
      <c r="E3" s="150"/>
      <c r="F3" s="150"/>
      <c r="G3" s="151"/>
      <c r="H3" s="151"/>
      <c r="I3" s="151"/>
      <c r="J3" s="147"/>
      <c r="K3" s="147"/>
      <c r="L3" s="45"/>
    </row>
    <row r="4" spans="1:12" ht="14.25" customHeight="1">
      <c r="A4" s="914" t="s">
        <v>45</v>
      </c>
      <c r="B4" s="911" t="s">
        <v>33</v>
      </c>
      <c r="C4" s="912"/>
      <c r="D4" s="912"/>
      <c r="E4" s="912" t="s">
        <v>34</v>
      </c>
      <c r="F4" s="912"/>
      <c r="G4" s="913" t="str">
        <f>+'3. Tipo Generación'!G6:K6</f>
        <v>Generación Acumulada a agosto</v>
      </c>
      <c r="H4" s="913"/>
      <c r="I4" s="913"/>
      <c r="J4" s="913"/>
      <c r="K4" s="913"/>
      <c r="L4" s="152"/>
    </row>
    <row r="5" spans="1:12" ht="26.25" customHeight="1">
      <c r="A5" s="914"/>
      <c r="B5" s="788">
        <f>+'3. Tipo Generación'!B7</f>
        <v>43255</v>
      </c>
      <c r="C5" s="788">
        <f>+'3. Tipo Generación'!C7</f>
        <v>43285</v>
      </c>
      <c r="D5" s="788">
        <f>+'3. Tipo Generación'!D7</f>
        <v>43313</v>
      </c>
      <c r="E5" s="788">
        <f>+'3. Tipo Generación'!E7</f>
        <v>42948</v>
      </c>
      <c r="F5" s="789" t="s">
        <v>35</v>
      </c>
      <c r="G5" s="790">
        <v>2018</v>
      </c>
      <c r="H5" s="790">
        <v>2017</v>
      </c>
      <c r="I5" s="789" t="s">
        <v>43</v>
      </c>
      <c r="J5" s="790">
        <v>2016</v>
      </c>
      <c r="K5" s="789" t="s">
        <v>36</v>
      </c>
      <c r="L5" s="26"/>
    </row>
    <row r="6" spans="1:12" ht="11.25" customHeight="1">
      <c r="A6" s="161" t="s">
        <v>46</v>
      </c>
      <c r="B6" s="437">
        <v>2113.6878663950001</v>
      </c>
      <c r="C6" s="438">
        <v>1997.8919180625003</v>
      </c>
      <c r="D6" s="439">
        <v>1974.104242622501</v>
      </c>
      <c r="E6" s="437">
        <v>1758.1679867319565</v>
      </c>
      <c r="F6" s="345">
        <f>IF(E6=0,"",D6/E6-1)</f>
        <v>0.1228188987173644</v>
      </c>
      <c r="G6" s="437">
        <v>20299.991030210003</v>
      </c>
      <c r="H6" s="438">
        <v>19043.000136334569</v>
      </c>
      <c r="I6" s="345">
        <f t="shared" ref="I6:I16" si="0">IF(H6=0,"",G6/H6-1)</f>
        <v>6.6008028402891217E-2</v>
      </c>
      <c r="J6" s="437">
        <v>15585.306706963949</v>
      </c>
      <c r="K6" s="345">
        <f>IF(J6=0,"",H6/J6-1)</f>
        <v>0.22185597591259643</v>
      </c>
      <c r="L6" s="31"/>
    </row>
    <row r="7" spans="1:12" ht="11.25" customHeight="1">
      <c r="A7" s="162" t="s">
        <v>52</v>
      </c>
      <c r="B7" s="440">
        <v>1774.6731730525</v>
      </c>
      <c r="C7" s="335">
        <v>1851.7327688475004</v>
      </c>
      <c r="D7" s="441">
        <v>1870.6411623950003</v>
      </c>
      <c r="E7" s="440">
        <v>1884.4629786345504</v>
      </c>
      <c r="F7" s="346">
        <f t="shared" ref="F7:F19" si="1">IF(E7=0,"",D7/E7-1)</f>
        <v>-7.3346180828477436E-3</v>
      </c>
      <c r="G7" s="440">
        <v>11039.305630004999</v>
      </c>
      <c r="H7" s="335">
        <v>11057.227463209447</v>
      </c>
      <c r="I7" s="346">
        <f t="shared" si="0"/>
        <v>-1.6208252262223111E-3</v>
      </c>
      <c r="J7" s="440">
        <v>13482.612915017886</v>
      </c>
      <c r="K7" s="346">
        <f t="shared" ref="K7:K19" si="2">IF(J7=0,"",H7/J7-1)</f>
        <v>-0.17988986757209902</v>
      </c>
      <c r="L7" s="34"/>
    </row>
    <row r="8" spans="1:12" ht="11.25" customHeight="1">
      <c r="A8" s="163" t="s">
        <v>53</v>
      </c>
      <c r="B8" s="442">
        <v>32.5163646675</v>
      </c>
      <c r="C8" s="336">
        <v>70.669869724999998</v>
      </c>
      <c r="D8" s="443">
        <v>69.072626775000018</v>
      </c>
      <c r="E8" s="442">
        <v>64.804308906740999</v>
      </c>
      <c r="F8" s="627">
        <f t="shared" si="1"/>
        <v>6.5864723199216435E-2</v>
      </c>
      <c r="G8" s="442">
        <v>359.9173524775</v>
      </c>
      <c r="H8" s="336">
        <v>294.47979799465082</v>
      </c>
      <c r="I8" s="627">
        <f t="shared" si="0"/>
        <v>0.22221407012795447</v>
      </c>
      <c r="J8" s="442">
        <v>410.25848185415185</v>
      </c>
      <c r="K8" s="627">
        <f t="shared" si="2"/>
        <v>-0.28220911688709638</v>
      </c>
      <c r="L8" s="29"/>
    </row>
    <row r="9" spans="1:12" ht="11.25" customHeight="1">
      <c r="A9" s="162" t="s">
        <v>54</v>
      </c>
      <c r="B9" s="440">
        <v>21.7707488225</v>
      </c>
      <c r="C9" s="335">
        <v>61.959598970000009</v>
      </c>
      <c r="D9" s="441">
        <v>65.572510984999994</v>
      </c>
      <c r="E9" s="440">
        <v>9.7890968585255003</v>
      </c>
      <c r="F9" s="346">
        <f t="shared" si="1"/>
        <v>5.6985250971228991</v>
      </c>
      <c r="G9" s="440">
        <v>240.61071660500002</v>
      </c>
      <c r="H9" s="335">
        <v>52.993444373126401</v>
      </c>
      <c r="I9" s="346">
        <f t="shared" si="0"/>
        <v>3.5403864468756163</v>
      </c>
      <c r="J9" s="440">
        <v>312.75691015534215</v>
      </c>
      <c r="K9" s="346">
        <f t="shared" si="2"/>
        <v>-0.83056027652017261</v>
      </c>
      <c r="L9" s="29"/>
    </row>
    <row r="10" spans="1:12" ht="11.25" customHeight="1">
      <c r="A10" s="163" t="s">
        <v>55</v>
      </c>
      <c r="B10" s="442">
        <v>0</v>
      </c>
      <c r="C10" s="336">
        <v>0</v>
      </c>
      <c r="D10" s="443">
        <v>0</v>
      </c>
      <c r="E10" s="442">
        <v>0</v>
      </c>
      <c r="F10" s="627" t="str">
        <f t="shared" si="1"/>
        <v/>
      </c>
      <c r="G10" s="442">
        <v>0</v>
      </c>
      <c r="H10" s="336">
        <v>9.7034091828799998</v>
      </c>
      <c r="I10" s="627">
        <f t="shared" si="0"/>
        <v>-1</v>
      </c>
      <c r="J10" s="442">
        <v>83.153949073798003</v>
      </c>
      <c r="K10" s="627">
        <f t="shared" si="2"/>
        <v>-0.8833078970877456</v>
      </c>
      <c r="L10" s="29"/>
    </row>
    <row r="11" spans="1:12" ht="11.25" customHeight="1">
      <c r="A11" s="162" t="s">
        <v>26</v>
      </c>
      <c r="B11" s="440">
        <v>0</v>
      </c>
      <c r="C11" s="335">
        <v>10.7779047775</v>
      </c>
      <c r="D11" s="441">
        <v>5.4412924199999999</v>
      </c>
      <c r="E11" s="440">
        <v>95.228329028320317</v>
      </c>
      <c r="F11" s="346">
        <f t="shared" si="1"/>
        <v>-0.94286057021559422</v>
      </c>
      <c r="G11" s="440">
        <v>43.120710160000002</v>
      </c>
      <c r="H11" s="335">
        <v>560.49201917651203</v>
      </c>
      <c r="I11" s="346">
        <f t="shared" si="0"/>
        <v>-0.92306632621932072</v>
      </c>
      <c r="J11" s="440">
        <v>495.46995311074272</v>
      </c>
      <c r="K11" s="346">
        <f t="shared" si="2"/>
        <v>0.13123311647363645</v>
      </c>
      <c r="L11" s="31"/>
    </row>
    <row r="12" spans="1:12" ht="11.25" customHeight="1">
      <c r="A12" s="163" t="s">
        <v>47</v>
      </c>
      <c r="B12" s="442">
        <v>0</v>
      </c>
      <c r="C12" s="336">
        <v>2.6472260375000003</v>
      </c>
      <c r="D12" s="443">
        <v>0.80491174749999994</v>
      </c>
      <c r="E12" s="442">
        <v>22.344477910927573</v>
      </c>
      <c r="F12" s="627">
        <f t="shared" si="1"/>
        <v>-0.96397715128056949</v>
      </c>
      <c r="G12" s="442">
        <v>5.2548035325000013</v>
      </c>
      <c r="H12" s="336">
        <v>102.91590530752154</v>
      </c>
      <c r="I12" s="627">
        <f t="shared" si="0"/>
        <v>-0.94894080252417545</v>
      </c>
      <c r="J12" s="442">
        <v>153.53573092696857</v>
      </c>
      <c r="K12" s="627">
        <f t="shared" si="2"/>
        <v>-0.32969410647170505</v>
      </c>
      <c r="L12" s="34"/>
    </row>
    <row r="13" spans="1:12" ht="11.25" customHeight="1">
      <c r="A13" s="162" t="s">
        <v>48</v>
      </c>
      <c r="B13" s="440">
        <v>0</v>
      </c>
      <c r="C13" s="335">
        <v>0.56992320750000003</v>
      </c>
      <c r="D13" s="441">
        <v>0.44003538249999996</v>
      </c>
      <c r="E13" s="440">
        <v>2.5445556271000001E-2</v>
      </c>
      <c r="F13" s="346">
        <f>IF(E13=0,"",D13/E13-1)</f>
        <v>16.293211349500073</v>
      </c>
      <c r="G13" s="440">
        <v>2.4329590024999996</v>
      </c>
      <c r="H13" s="335">
        <v>0.27508084889600004</v>
      </c>
      <c r="I13" s="346">
        <f t="shared" si="0"/>
        <v>7.8445233910843051</v>
      </c>
      <c r="J13" s="440">
        <v>3.1951939469593698</v>
      </c>
      <c r="K13" s="346">
        <f t="shared" si="2"/>
        <v>-0.9139079337710394</v>
      </c>
      <c r="L13" s="29"/>
    </row>
    <row r="14" spans="1:12" ht="11.25" customHeight="1">
      <c r="A14" s="163" t="s">
        <v>49</v>
      </c>
      <c r="B14" s="442">
        <v>7.0902351625000009</v>
      </c>
      <c r="C14" s="336">
        <v>13.038341987499997</v>
      </c>
      <c r="D14" s="443">
        <v>26.244350392499999</v>
      </c>
      <c r="E14" s="442">
        <v>139.99950395387538</v>
      </c>
      <c r="F14" s="627">
        <f t="shared" si="1"/>
        <v>-0.81253969013242688</v>
      </c>
      <c r="G14" s="442">
        <v>97.775765842499993</v>
      </c>
      <c r="H14" s="336">
        <v>576.26981531268029</v>
      </c>
      <c r="I14" s="627">
        <f t="shared" si="0"/>
        <v>-0.83032988498721294</v>
      </c>
      <c r="J14" s="442">
        <v>426.90611401658487</v>
      </c>
      <c r="K14" s="627">
        <f t="shared" si="2"/>
        <v>0.34987482350813282</v>
      </c>
      <c r="L14" s="29"/>
    </row>
    <row r="15" spans="1:12" ht="11.25" customHeight="1">
      <c r="A15" s="162" t="s">
        <v>50</v>
      </c>
      <c r="B15" s="440">
        <v>7.0497050225000004</v>
      </c>
      <c r="C15" s="335">
        <v>8.1191125700000004</v>
      </c>
      <c r="D15" s="441">
        <v>7.4378331324999998</v>
      </c>
      <c r="E15" s="440">
        <v>7.2833323496322748</v>
      </c>
      <c r="F15" s="346">
        <f t="shared" si="1"/>
        <v>2.121292499792693E-2</v>
      </c>
      <c r="G15" s="440">
        <v>57.940617664999998</v>
      </c>
      <c r="H15" s="335">
        <v>56.240760592263506</v>
      </c>
      <c r="I15" s="346">
        <f>IF(H15=0,"",G15/H15-1)</f>
        <v>3.0224645876683276E-2</v>
      </c>
      <c r="J15" s="440">
        <v>63.051722924671395</v>
      </c>
      <c r="K15" s="346">
        <f t="shared" si="2"/>
        <v>-0.10802182742167132</v>
      </c>
      <c r="L15" s="29"/>
    </row>
    <row r="16" spans="1:12" ht="11.25" customHeight="1">
      <c r="A16" s="163" t="s">
        <v>51</v>
      </c>
      <c r="B16" s="442">
        <v>2.8349443750000001</v>
      </c>
      <c r="C16" s="336">
        <v>2.9110080250000001</v>
      </c>
      <c r="D16" s="443">
        <v>2.6808198999999999</v>
      </c>
      <c r="E16" s="442">
        <v>3.7453186999999999</v>
      </c>
      <c r="F16" s="627">
        <f t="shared" si="1"/>
        <v>-0.28422115319585484</v>
      </c>
      <c r="G16" s="442">
        <v>28.485763154999997</v>
      </c>
      <c r="H16" s="336">
        <v>26.177643705696624</v>
      </c>
      <c r="I16" s="627">
        <f t="shared" si="0"/>
        <v>8.8171398283684921E-2</v>
      </c>
      <c r="J16" s="442">
        <v>31.927751422025</v>
      </c>
      <c r="K16" s="627">
        <f t="shared" si="2"/>
        <v>-0.18009748448372498</v>
      </c>
      <c r="L16" s="29"/>
    </row>
    <row r="17" spans="1:12" ht="11.25" customHeight="1">
      <c r="A17" s="162" t="s">
        <v>30</v>
      </c>
      <c r="B17" s="440">
        <v>46.704256437500007</v>
      </c>
      <c r="C17" s="335">
        <v>49.3644935425</v>
      </c>
      <c r="D17" s="441">
        <v>65.050804804999999</v>
      </c>
      <c r="E17" s="440">
        <v>19.500341649968</v>
      </c>
      <c r="F17" s="346">
        <f t="shared" si="1"/>
        <v>2.3358802616213006</v>
      </c>
      <c r="G17" s="440">
        <v>445.21042083750001</v>
      </c>
      <c r="H17" s="335">
        <v>141.71379225200801</v>
      </c>
      <c r="I17" s="346">
        <f>IF(H17=0,"",G17/H17-1)</f>
        <v>2.1416167316007426</v>
      </c>
      <c r="J17" s="440">
        <v>151.84658156524992</v>
      </c>
      <c r="K17" s="346">
        <f t="shared" si="2"/>
        <v>-6.6730440743493213E-2</v>
      </c>
      <c r="L17" s="29"/>
    </row>
    <row r="18" spans="1:12" ht="11.25" customHeight="1">
      <c r="A18" s="163" t="s">
        <v>29</v>
      </c>
      <c r="B18" s="442">
        <v>128.59335152</v>
      </c>
      <c r="C18" s="336">
        <v>130.32940518999999</v>
      </c>
      <c r="D18" s="443">
        <v>134.3830846825</v>
      </c>
      <c r="E18" s="442">
        <v>111.42214168834684</v>
      </c>
      <c r="F18" s="627">
        <f t="shared" si="1"/>
        <v>0.20607163572906395</v>
      </c>
      <c r="G18" s="442">
        <v>923.2971126525</v>
      </c>
      <c r="H18" s="336">
        <v>653.16893138224395</v>
      </c>
      <c r="I18" s="627">
        <f>IF(H18=0,"",G18/H18-1)</f>
        <v>0.41356556978086445</v>
      </c>
      <c r="J18" s="442">
        <v>654.54863129121634</v>
      </c>
      <c r="K18" s="627">
        <f t="shared" si="2"/>
        <v>-2.1078646307007842E-3</v>
      </c>
      <c r="L18" s="29"/>
    </row>
    <row r="19" spans="1:12" ht="11.25" customHeight="1">
      <c r="A19" s="169" t="s">
        <v>44</v>
      </c>
      <c r="B19" s="444">
        <f>SUM(B6:B18)</f>
        <v>4134.9206454550003</v>
      </c>
      <c r="C19" s="445">
        <f>SUM(C6:C18)</f>
        <v>4200.0115709425008</v>
      </c>
      <c r="D19" s="446">
        <f>SUM(D6:D18)</f>
        <v>4221.8736752400018</v>
      </c>
      <c r="E19" s="444">
        <f>SUM(E6:E18)</f>
        <v>4116.7732619691151</v>
      </c>
      <c r="F19" s="628">
        <f t="shared" si="1"/>
        <v>2.552980370374236E-2</v>
      </c>
      <c r="G19" s="444">
        <f>SUM(G6:G18)</f>
        <v>33543.342882145007</v>
      </c>
      <c r="H19" s="445">
        <f>SUM(H6:H18)</f>
        <v>32574.658199672493</v>
      </c>
      <c r="I19" s="628">
        <f>IF(H19=0,"",G19/H19-1)</f>
        <v>2.973737058221082E-2</v>
      </c>
      <c r="J19" s="444">
        <f>SUM(J6:J18)</f>
        <v>31854.570642269544</v>
      </c>
      <c r="K19" s="628">
        <f t="shared" si="2"/>
        <v>2.2605470514407866E-2</v>
      </c>
      <c r="L19" s="39"/>
    </row>
    <row r="20" spans="1:12" ht="11.25" customHeight="1">
      <c r="A20" s="29"/>
      <c r="B20" s="29"/>
      <c r="C20" s="29"/>
      <c r="D20" s="29"/>
      <c r="E20" s="29"/>
      <c r="F20" s="29"/>
      <c r="G20" s="29"/>
      <c r="H20" s="29"/>
      <c r="I20" s="29"/>
      <c r="J20" s="29"/>
      <c r="K20" s="29"/>
      <c r="L20" s="29"/>
    </row>
    <row r="21" spans="1:12" ht="11.25" customHeight="1">
      <c r="A21" s="165" t="s">
        <v>40</v>
      </c>
      <c r="B21" s="321">
        <v>1.7041230000000001</v>
      </c>
      <c r="C21" s="322">
        <v>3.7181487299999998</v>
      </c>
      <c r="D21" s="532">
        <v>6.7408331799999992</v>
      </c>
      <c r="E21" s="321">
        <v>0</v>
      </c>
      <c r="F21" s="141" t="str">
        <f>IF(E21=0,"",D21/E21-1)</f>
        <v/>
      </c>
      <c r="G21" s="321">
        <v>14.28379191</v>
      </c>
      <c r="H21" s="531">
        <v>16.595158999999999</v>
      </c>
      <c r="I21" s="144">
        <f>IF(H21=0,"",G21/H21-1)</f>
        <v>-0.13927959894810282</v>
      </c>
      <c r="J21" s="321">
        <v>21.247349730000003</v>
      </c>
      <c r="K21" s="141">
        <f>IF(J21=0,"",H21/J21-1)</f>
        <v>-0.21895393021330023</v>
      </c>
      <c r="L21" s="29"/>
    </row>
    <row r="22" spans="1:12" ht="11.25" customHeight="1">
      <c r="A22" s="166" t="s">
        <v>41</v>
      </c>
      <c r="B22" s="318">
        <v>0</v>
      </c>
      <c r="C22" s="319">
        <v>0</v>
      </c>
      <c r="D22" s="320">
        <v>0</v>
      </c>
      <c r="E22" s="318">
        <v>0</v>
      </c>
      <c r="F22" s="142" t="str">
        <f>IF(E22=0,"",D22/E22-1)</f>
        <v/>
      </c>
      <c r="G22" s="318">
        <v>0</v>
      </c>
      <c r="H22" s="319">
        <v>0</v>
      </c>
      <c r="I22" s="136" t="str">
        <f>IF(H22=0,"",G22/H22-1)</f>
        <v/>
      </c>
      <c r="J22" s="318">
        <v>37.352100999999998</v>
      </c>
      <c r="K22" s="142">
        <f>IF(J22=0,"",H22/J22-1)</f>
        <v>-1</v>
      </c>
      <c r="L22" s="29"/>
    </row>
    <row r="23" spans="1:12" ht="23.25" customHeight="1">
      <c r="A23" s="167" t="s">
        <v>42</v>
      </c>
      <c r="B23" s="331">
        <f>+B22-B21</f>
        <v>-1.7041230000000001</v>
      </c>
      <c r="C23" s="332">
        <f>+C22-C21</f>
        <v>-3.7181487299999998</v>
      </c>
      <c r="D23" s="632">
        <f>+D22-D21</f>
        <v>-6.7408331799999992</v>
      </c>
      <c r="E23" s="331">
        <f>+E22-E21</f>
        <v>0</v>
      </c>
      <c r="F23" s="143"/>
      <c r="G23" s="331">
        <f>+G22-G21</f>
        <v>-14.28379191</v>
      </c>
      <c r="H23" s="332">
        <f>+H22-H21</f>
        <v>-16.595158999999999</v>
      </c>
      <c r="I23" s="145"/>
      <c r="J23" s="331">
        <f>+J22-J21</f>
        <v>16.104751269999994</v>
      </c>
      <c r="K23" s="143"/>
      <c r="L23" s="39"/>
    </row>
    <row r="24" spans="1:12" ht="11.25" customHeight="1">
      <c r="A24" s="316" t="s">
        <v>252</v>
      </c>
      <c r="B24" s="154"/>
      <c r="C24" s="154"/>
      <c r="D24" s="154"/>
      <c r="E24" s="154"/>
      <c r="F24" s="154"/>
      <c r="G24" s="154"/>
      <c r="H24" s="155"/>
      <c r="I24" s="155"/>
      <c r="J24" s="154"/>
      <c r="K24" s="156"/>
      <c r="L24" s="29"/>
    </row>
    <row r="25" spans="1:12" ht="11.25" customHeight="1">
      <c r="A25" s="157"/>
      <c r="B25" s="154"/>
      <c r="C25" s="154"/>
      <c r="D25" s="154"/>
      <c r="E25" s="154"/>
      <c r="F25" s="154"/>
      <c r="G25" s="154"/>
      <c r="H25" s="155"/>
      <c r="I25" s="155"/>
      <c r="J25" s="154"/>
      <c r="K25" s="156"/>
      <c r="L25" s="29"/>
    </row>
    <row r="26" spans="1:12" ht="11.25" customHeight="1">
      <c r="A26" s="158"/>
      <c r="B26" s="158"/>
      <c r="C26" s="158"/>
      <c r="D26" s="158"/>
      <c r="E26" s="158"/>
      <c r="F26" s="158"/>
      <c r="G26" s="158"/>
      <c r="H26" s="158"/>
      <c r="I26" s="158"/>
      <c r="J26" s="158"/>
      <c r="K26" s="158"/>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2" ht="11.25" customHeight="1">
      <c r="A33" s="157"/>
      <c r="B33" s="159"/>
      <c r="C33" s="159"/>
      <c r="D33" s="159"/>
      <c r="E33" s="159"/>
      <c r="F33" s="159"/>
      <c r="G33" s="159"/>
      <c r="H33" s="159"/>
      <c r="I33" s="159"/>
      <c r="J33" s="159"/>
      <c r="K33" s="159"/>
      <c r="L33" s="29"/>
    </row>
    <row r="34" spans="1:12" ht="11.25" customHeight="1">
      <c r="A34" s="157"/>
      <c r="B34" s="159"/>
      <c r="C34" s="159"/>
      <c r="D34" s="159"/>
      <c r="E34" s="159"/>
      <c r="F34" s="159"/>
      <c r="G34" s="159"/>
      <c r="H34" s="159"/>
      <c r="I34" s="159"/>
      <c r="J34" s="159"/>
      <c r="K34" s="159"/>
      <c r="L34" s="29"/>
    </row>
    <row r="35" spans="1:12" ht="11.25" customHeight="1">
      <c r="A35" s="157"/>
      <c r="B35" s="159"/>
      <c r="C35" s="159"/>
      <c r="D35" s="159"/>
      <c r="E35" s="159"/>
      <c r="F35" s="159"/>
      <c r="G35" s="159"/>
      <c r="H35" s="159"/>
      <c r="I35" s="159"/>
      <c r="J35" s="159"/>
      <c r="K35" s="159"/>
      <c r="L35" s="29"/>
    </row>
    <row r="36" spans="1:12" ht="11.25" customHeight="1">
      <c r="A36" s="157"/>
      <c r="B36" s="159"/>
      <c r="C36" s="159"/>
      <c r="D36" s="159"/>
      <c r="E36" s="159"/>
      <c r="F36" s="159"/>
      <c r="G36" s="159"/>
      <c r="H36" s="159"/>
      <c r="I36" s="159"/>
      <c r="J36" s="159"/>
      <c r="K36" s="159"/>
      <c r="L36" s="29"/>
    </row>
    <row r="37" spans="1:12" ht="11.25" customHeight="1">
      <c r="A37" s="157"/>
      <c r="B37" s="159"/>
      <c r="C37" s="159"/>
      <c r="D37" s="159"/>
      <c r="E37" s="159"/>
      <c r="F37" s="159"/>
      <c r="G37" s="159"/>
      <c r="H37" s="159"/>
      <c r="I37" s="159"/>
      <c r="J37" s="159"/>
      <c r="K37" s="159"/>
      <c r="L37" s="29"/>
    </row>
    <row r="38" spans="1:12" ht="11.25" customHeight="1">
      <c r="A38" s="157"/>
      <c r="B38" s="159"/>
      <c r="C38" s="159"/>
      <c r="D38" s="159"/>
      <c r="E38" s="159"/>
      <c r="F38" s="159"/>
      <c r="G38" s="159"/>
      <c r="H38" s="159"/>
      <c r="I38" s="159"/>
      <c r="J38" s="159"/>
      <c r="K38" s="159"/>
      <c r="L38" s="29"/>
    </row>
    <row r="39" spans="1:12" ht="11.25" customHeight="1">
      <c r="A39" s="157"/>
      <c r="B39" s="159"/>
      <c r="C39" s="159"/>
      <c r="D39" s="159"/>
      <c r="E39" s="159"/>
      <c r="F39" s="159"/>
      <c r="G39" s="159"/>
      <c r="H39" s="159"/>
      <c r="I39" s="159"/>
      <c r="J39" s="159"/>
      <c r="K39" s="159"/>
      <c r="L39" s="29"/>
    </row>
    <row r="40" spans="1:12" ht="11.25" customHeight="1">
      <c r="A40" s="157"/>
      <c r="B40" s="159"/>
      <c r="C40" s="159"/>
      <c r="D40" s="159"/>
      <c r="E40" s="159"/>
      <c r="F40" s="159"/>
      <c r="G40" s="159"/>
      <c r="H40" s="159"/>
      <c r="I40" s="159"/>
      <c r="J40" s="159"/>
      <c r="K40" s="159"/>
      <c r="L40" s="48"/>
    </row>
    <row r="41" spans="1:12" ht="11.25" customHeight="1">
      <c r="A41" s="157"/>
      <c r="B41" s="159"/>
      <c r="C41" s="159"/>
      <c r="D41" s="159"/>
      <c r="E41" s="159"/>
      <c r="F41" s="159"/>
      <c r="G41" s="159"/>
      <c r="H41" s="159"/>
      <c r="I41" s="159"/>
      <c r="J41" s="159"/>
      <c r="K41" s="159"/>
      <c r="L41" s="29"/>
    </row>
    <row r="42" spans="1:12" ht="11.25" customHeight="1">
      <c r="A42" s="157"/>
      <c r="B42" s="159"/>
      <c r="C42" s="159"/>
      <c r="D42" s="159"/>
      <c r="E42" s="159"/>
      <c r="F42" s="159"/>
      <c r="G42" s="159"/>
      <c r="H42" s="159"/>
      <c r="I42" s="159"/>
      <c r="J42" s="159"/>
      <c r="K42" s="159"/>
      <c r="L42" s="29"/>
    </row>
    <row r="43" spans="1:12" ht="11.25" customHeight="1">
      <c r="A43" s="157"/>
      <c r="B43" s="159"/>
      <c r="C43" s="159"/>
      <c r="D43" s="159"/>
      <c r="E43" s="159"/>
      <c r="F43" s="159"/>
      <c r="G43" s="159"/>
      <c r="H43" s="159"/>
      <c r="I43" s="159"/>
      <c r="J43" s="159"/>
      <c r="K43" s="159"/>
      <c r="L43" s="29"/>
    </row>
    <row r="44" spans="1:12" ht="11.25" customHeight="1">
      <c r="A44" s="157"/>
      <c r="B44" s="159"/>
      <c r="C44" s="159"/>
      <c r="D44" s="159"/>
      <c r="E44" s="159"/>
      <c r="F44" s="159"/>
      <c r="G44" s="159"/>
      <c r="H44" s="159"/>
      <c r="I44" s="159"/>
      <c r="J44" s="159"/>
      <c r="K44" s="159"/>
      <c r="L44" s="29"/>
    </row>
    <row r="45" spans="1:12" ht="11.25" customHeight="1">
      <c r="A45" s="157"/>
      <c r="B45" s="159"/>
      <c r="C45" s="159"/>
      <c r="D45" s="159"/>
      <c r="E45" s="159"/>
      <c r="F45" s="159"/>
      <c r="G45" s="159"/>
      <c r="H45" s="159"/>
      <c r="I45" s="159"/>
      <c r="J45" s="159"/>
      <c r="K45" s="159"/>
      <c r="L45" s="29"/>
    </row>
    <row r="46" spans="1:12" ht="11.25" customHeight="1">
      <c r="A46" s="157"/>
      <c r="B46" s="159"/>
      <c r="C46" s="159"/>
      <c r="D46" s="159"/>
      <c r="E46" s="159"/>
      <c r="F46" s="159"/>
      <c r="G46" s="159"/>
      <c r="H46" s="159"/>
      <c r="I46" s="159"/>
      <c r="J46" s="159"/>
      <c r="K46" s="159"/>
      <c r="L46" s="29"/>
    </row>
    <row r="47" spans="1:12" ht="11.25" customHeight="1">
      <c r="A47" s="157"/>
      <c r="B47" s="159"/>
      <c r="C47" s="159"/>
      <c r="D47" s="159"/>
      <c r="E47" s="159"/>
      <c r="F47" s="159"/>
      <c r="G47" s="159"/>
      <c r="H47" s="159"/>
      <c r="I47" s="159"/>
      <c r="J47" s="159"/>
      <c r="K47" s="159"/>
      <c r="L47" s="160"/>
    </row>
    <row r="48" spans="1:12" ht="11.25" customHeight="1">
      <c r="A48" s="157"/>
      <c r="B48" s="159"/>
      <c r="C48" s="159"/>
      <c r="D48" s="159"/>
      <c r="E48" s="159"/>
      <c r="F48" s="159"/>
      <c r="G48" s="159"/>
      <c r="H48" s="159"/>
      <c r="I48" s="159"/>
      <c r="J48" s="159"/>
      <c r="K48" s="159"/>
    </row>
    <row r="49" spans="1:11" ht="11.25" customHeight="1">
      <c r="A49" s="157"/>
      <c r="B49" s="159"/>
      <c r="C49" s="159"/>
      <c r="D49" s="159"/>
      <c r="E49" s="159"/>
      <c r="F49" s="159"/>
      <c r="G49" s="159"/>
      <c r="H49" s="159"/>
      <c r="I49" s="159"/>
      <c r="J49" s="159"/>
      <c r="K49" s="159"/>
    </row>
    <row r="50" spans="1:11" ht="11.25" customHeight="1">
      <c r="A50" s="157"/>
      <c r="B50" s="159"/>
      <c r="C50" s="159"/>
      <c r="D50" s="159"/>
      <c r="E50" s="159"/>
      <c r="F50" s="159"/>
      <c r="G50" s="159"/>
      <c r="H50" s="159"/>
      <c r="I50" s="159"/>
      <c r="J50" s="159"/>
      <c r="K50" s="159"/>
    </row>
    <row r="51" spans="1:11" ht="11.25" customHeight="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A60" s="157"/>
      <c r="B60" s="159"/>
      <c r="C60" s="159"/>
      <c r="D60" s="159"/>
      <c r="E60" s="159"/>
      <c r="F60" s="159"/>
      <c r="G60" s="159"/>
      <c r="H60" s="159"/>
      <c r="I60" s="159"/>
      <c r="J60" s="159"/>
      <c r="K60" s="159"/>
    </row>
    <row r="61" spans="1:11">
      <c r="A61" s="157"/>
      <c r="B61" s="159"/>
      <c r="C61" s="159"/>
      <c r="D61" s="159"/>
      <c r="E61" s="159"/>
      <c r="F61" s="159"/>
      <c r="G61" s="159"/>
      <c r="H61" s="159"/>
      <c r="I61" s="159"/>
      <c r="J61" s="159"/>
      <c r="K61" s="159"/>
    </row>
    <row r="62" spans="1:11">
      <c r="B62" s="159"/>
      <c r="C62" s="159"/>
      <c r="D62" s="159"/>
      <c r="E62" s="159"/>
      <c r="F62" s="159"/>
      <c r="G62" s="159"/>
      <c r="H62" s="159"/>
      <c r="I62" s="159"/>
      <c r="J62" s="159"/>
      <c r="K62" s="159"/>
    </row>
    <row r="63" spans="1:11">
      <c r="A63" s="316" t="str">
        <f>"Gráfico N° 5: Comparación de la producción de energía eléctrica (GWh) por tipo de recurso energético acumulada a "&amp;'1. Resumen'!Q4</f>
        <v>Gráfico N° 5: Comparación de la producción de energía eléctrica (GWh) por tipo de recurso energético acumulada a agosto</v>
      </c>
    </row>
  </sheetData>
  <mergeCells count="5">
    <mergeCell ref="A2:K2"/>
    <mergeCell ref="B4:D4"/>
    <mergeCell ref="E4:F4"/>
    <mergeCell ref="G4:K4"/>
    <mergeCell ref="A4:A5"/>
  </mergeCells>
  <pageMargins left="0.7" right="0.7" top="0.86956521739130432" bottom="0.61458333333333337" header="0.3" footer="0.3"/>
  <pageSetup orientation="portrait" r:id="rId1"/>
  <headerFooter>
    <oddHeader>&amp;R&amp;7Informe de la Operación Mensual - Agosto 2018
INFSGI-MES-08-2018
10/09/2018
Versión: 01</oddHeader>
    <oddFooter>&amp;L&amp;7COES, 2018&amp;C4&amp;R&amp;7Dirección Ejecutiva
Sub Dirección de Gestión de Información</oddFooter>
  </headerFooter>
  <ignoredErrors>
    <ignoredError sqref="K19 F19:J19 B19:E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08325-EFB5-4A50-BEC3-19ABF1A09CFD}">
  <sheetPr>
    <tabColor theme="4"/>
  </sheetPr>
  <dimension ref="A1:P61"/>
  <sheetViews>
    <sheetView showGridLines="0" view="pageBreakPreview" zoomScaleNormal="100" zoomScaleSheetLayoutView="100" zoomScalePageLayoutView="160" workbookViewId="0">
      <selection activeCell="Q15" sqref="Q15"/>
    </sheetView>
  </sheetViews>
  <sheetFormatPr defaultRowHeight="11.25"/>
  <cols>
    <col min="1" max="1" width="21.6640625" style="3" customWidth="1"/>
    <col min="2" max="2" width="10" style="3" customWidth="1"/>
    <col min="3" max="8" width="9.1640625" style="3" customWidth="1"/>
    <col min="9" max="9" width="9.83203125" style="3" customWidth="1"/>
    <col min="10" max="10" width="9.1640625" style="3" customWidth="1"/>
    <col min="11" max="11" width="9.6640625" style="3" customWidth="1"/>
    <col min="12" max="16384" width="9.33203125" style="3"/>
  </cols>
  <sheetData>
    <row r="1" spans="1:12" ht="11.25" customHeight="1"/>
    <row r="2" spans="1:12" ht="11.25" customHeight="1">
      <c r="A2" s="916" t="s">
        <v>260</v>
      </c>
      <c r="B2" s="916"/>
      <c r="C2" s="916"/>
      <c r="D2" s="916"/>
      <c r="E2" s="916"/>
      <c r="F2" s="916"/>
      <c r="G2" s="916"/>
      <c r="H2" s="916"/>
      <c r="I2" s="916"/>
      <c r="J2" s="916"/>
      <c r="K2" s="916"/>
      <c r="L2" s="45"/>
    </row>
    <row r="3" spans="1:12" ht="11.25" customHeight="1">
      <c r="A3" s="92"/>
      <c r="B3" s="91"/>
      <c r="C3" s="91"/>
      <c r="D3" s="91"/>
      <c r="E3" s="91"/>
      <c r="F3" s="91"/>
      <c r="G3" s="91"/>
      <c r="H3" s="91"/>
      <c r="I3" s="91"/>
      <c r="J3" s="91"/>
      <c r="K3" s="91"/>
      <c r="L3" s="45"/>
    </row>
    <row r="4" spans="1:12" ht="15.75" customHeight="1">
      <c r="A4" s="914" t="s">
        <v>256</v>
      </c>
      <c r="B4" s="911" t="s">
        <v>33</v>
      </c>
      <c r="C4" s="912"/>
      <c r="D4" s="912"/>
      <c r="E4" s="912" t="s">
        <v>34</v>
      </c>
      <c r="F4" s="912"/>
      <c r="G4" s="913" t="str">
        <f>+'4. Tipo Recurso'!G4:K4</f>
        <v>Generación Acumulada a agosto</v>
      </c>
      <c r="H4" s="913"/>
      <c r="I4" s="913"/>
      <c r="J4" s="913"/>
      <c r="K4" s="913"/>
      <c r="L4" s="29"/>
    </row>
    <row r="5" spans="1:12" ht="29.25" customHeight="1">
      <c r="A5" s="914"/>
      <c r="B5" s="788">
        <f>+'4. Tipo Recurso'!B5</f>
        <v>43255</v>
      </c>
      <c r="C5" s="788">
        <f>+'4. Tipo Recurso'!C5</f>
        <v>43285</v>
      </c>
      <c r="D5" s="788">
        <f>+'4. Tipo Recurso'!D5</f>
        <v>43313</v>
      </c>
      <c r="E5" s="788">
        <f>+'4. Tipo Recurso'!E5</f>
        <v>42948</v>
      </c>
      <c r="F5" s="788" t="s">
        <v>35</v>
      </c>
      <c r="G5" s="790">
        <v>2018</v>
      </c>
      <c r="H5" s="790">
        <v>2017</v>
      </c>
      <c r="I5" s="789" t="s">
        <v>43</v>
      </c>
      <c r="J5" s="790">
        <v>2016</v>
      </c>
      <c r="K5" s="789" t="s">
        <v>36</v>
      </c>
      <c r="L5" s="31"/>
    </row>
    <row r="6" spans="1:12" ht="11.25" customHeight="1">
      <c r="A6" s="161" t="s">
        <v>46</v>
      </c>
      <c r="B6" s="437">
        <v>90.464329837500003</v>
      </c>
      <c r="C6" s="438">
        <v>67.579665022500023</v>
      </c>
      <c r="D6" s="439">
        <v>87.314617757499988</v>
      </c>
      <c r="E6" s="437">
        <v>51.914027042574226</v>
      </c>
      <c r="F6" s="345">
        <f t="shared" ref="F6:F11" si="0">IF(E6=0,"",D6/E6-1)</f>
        <v>0.68190800698034959</v>
      </c>
      <c r="G6" s="437">
        <v>828.38801107250015</v>
      </c>
      <c r="H6" s="438">
        <v>717.64797787661189</v>
      </c>
      <c r="I6" s="349">
        <f t="shared" ref="I6:I11" si="1">IF(H6=0,"",G6/H6-1)</f>
        <v>0.15430968470579076</v>
      </c>
      <c r="J6" s="437">
        <v>580.67280870292677</v>
      </c>
      <c r="K6" s="345">
        <f t="shared" ref="K6:K11" si="2">IF(J6=0,"",H6/J6-1)</f>
        <v>0.23589044832261452</v>
      </c>
      <c r="L6" s="339"/>
    </row>
    <row r="7" spans="1:12" ht="11.25" customHeight="1">
      <c r="A7" s="162" t="s">
        <v>39</v>
      </c>
      <c r="B7" s="440">
        <v>128.59335152</v>
      </c>
      <c r="C7" s="335">
        <v>130.32940518999999</v>
      </c>
      <c r="D7" s="441">
        <v>134.3830846825</v>
      </c>
      <c r="E7" s="440">
        <v>111.42214168834684</v>
      </c>
      <c r="F7" s="346">
        <f t="shared" si="0"/>
        <v>0.20607163572906395</v>
      </c>
      <c r="G7" s="440">
        <v>923.2971126525</v>
      </c>
      <c r="H7" s="335">
        <v>653.16893138224395</v>
      </c>
      <c r="I7" s="328">
        <f t="shared" si="1"/>
        <v>0.41356556978086445</v>
      </c>
      <c r="J7" s="440">
        <v>654.54863129121634</v>
      </c>
      <c r="K7" s="346">
        <f t="shared" si="2"/>
        <v>-2.1078646307007842E-3</v>
      </c>
      <c r="L7" s="339"/>
    </row>
    <row r="8" spans="1:12" ht="11.25" customHeight="1">
      <c r="A8" s="343" t="s">
        <v>30</v>
      </c>
      <c r="B8" s="649">
        <v>46.704256437500007</v>
      </c>
      <c r="C8" s="448">
        <v>49.3644935425</v>
      </c>
      <c r="D8" s="650">
        <v>65.050804804999999</v>
      </c>
      <c r="E8" s="649">
        <v>19.500341649968</v>
      </c>
      <c r="F8" s="347">
        <f t="shared" si="0"/>
        <v>2.3358802616213006</v>
      </c>
      <c r="G8" s="649">
        <v>445.21042083750001</v>
      </c>
      <c r="H8" s="448">
        <v>141.71379225200801</v>
      </c>
      <c r="I8" s="342">
        <f t="shared" si="1"/>
        <v>2.1416167316007426</v>
      </c>
      <c r="J8" s="649">
        <v>151.84658156524992</v>
      </c>
      <c r="K8" s="347">
        <f t="shared" si="2"/>
        <v>-6.6730440743493213E-2</v>
      </c>
      <c r="L8" s="339"/>
    </row>
    <row r="9" spans="1:12" ht="11.25" customHeight="1">
      <c r="A9" s="162" t="s">
        <v>50</v>
      </c>
      <c r="B9" s="440">
        <v>7.0497050225000004</v>
      </c>
      <c r="C9" s="335">
        <v>8.1191125700000004</v>
      </c>
      <c r="D9" s="441">
        <v>7.4378331324999998</v>
      </c>
      <c r="E9" s="440">
        <v>7.2833323496322748</v>
      </c>
      <c r="F9" s="346">
        <f t="shared" si="0"/>
        <v>2.121292499792693E-2</v>
      </c>
      <c r="G9" s="440">
        <v>57.940617664999998</v>
      </c>
      <c r="H9" s="335">
        <v>56.240760592263506</v>
      </c>
      <c r="I9" s="328">
        <f t="shared" si="1"/>
        <v>3.0224645876683276E-2</v>
      </c>
      <c r="J9" s="440">
        <v>63.051722924671395</v>
      </c>
      <c r="K9" s="346">
        <f t="shared" si="2"/>
        <v>-0.10802182742167132</v>
      </c>
      <c r="L9" s="44"/>
    </row>
    <row r="10" spans="1:12" ht="11.25" customHeight="1">
      <c r="A10" s="344" t="s">
        <v>51</v>
      </c>
      <c r="B10" s="651">
        <v>2.8349443750000001</v>
      </c>
      <c r="C10" s="652">
        <v>2.9110080250000001</v>
      </c>
      <c r="D10" s="653">
        <v>2.6808198999999999</v>
      </c>
      <c r="E10" s="651">
        <v>3.7453186999999999</v>
      </c>
      <c r="F10" s="348">
        <f t="shared" si="0"/>
        <v>-0.28422115319585484</v>
      </c>
      <c r="G10" s="651">
        <v>28.485763154999997</v>
      </c>
      <c r="H10" s="652">
        <v>26.177643705696624</v>
      </c>
      <c r="I10" s="350">
        <f t="shared" si="1"/>
        <v>8.8171398283684921E-2</v>
      </c>
      <c r="J10" s="651">
        <v>31.927751422025</v>
      </c>
      <c r="K10" s="348">
        <f t="shared" si="2"/>
        <v>-0.18009748448372498</v>
      </c>
      <c r="L10" s="340"/>
    </row>
    <row r="11" spans="1:12" ht="11.25" customHeight="1">
      <c r="A11" s="351" t="s">
        <v>253</v>
      </c>
      <c r="B11" s="544">
        <f>+SUM(B6:B10)</f>
        <v>275.64658719250002</v>
      </c>
      <c r="C11" s="545">
        <f>+SUM(C6:C10)</f>
        <v>258.30368434999997</v>
      </c>
      <c r="D11" s="546">
        <f>+SUM(D6:D10)</f>
        <v>296.86716027749998</v>
      </c>
      <c r="E11" s="547">
        <f>+SUM(E6:E10)</f>
        <v>193.86516143052134</v>
      </c>
      <c r="F11" s="352">
        <f t="shared" si="0"/>
        <v>0.53130742051295887</v>
      </c>
      <c r="G11" s="647">
        <f>+SUM(G6:G10)</f>
        <v>2283.3219253825</v>
      </c>
      <c r="H11" s="648">
        <f>+SUM(H6:H10)</f>
        <v>1594.9491058088242</v>
      </c>
      <c r="I11" s="353">
        <f t="shared" si="1"/>
        <v>0.43159547666230447</v>
      </c>
      <c r="J11" s="647">
        <f>+SUM(J6:J10)</f>
        <v>1482.0474959060894</v>
      </c>
      <c r="K11" s="352">
        <f t="shared" si="2"/>
        <v>7.617948157168164E-2</v>
      </c>
      <c r="L11" s="29"/>
    </row>
    <row r="12" spans="1:12" ht="24.75" customHeight="1">
      <c r="A12" s="354" t="s">
        <v>254</v>
      </c>
      <c r="B12" s="355">
        <f>B11/'4. Tipo Recurso'!B19</f>
        <v>6.6663090014915702E-2</v>
      </c>
      <c r="C12" s="353">
        <f>C11/'4. Tipo Recurso'!C19</f>
        <v>6.150070779258246E-2</v>
      </c>
      <c r="D12" s="352">
        <f>D11/'4. Tipo Recurso'!D19</f>
        <v>7.0316447888655473E-2</v>
      </c>
      <c r="E12" s="355">
        <f>E11/'4. Tipo Recurso'!E19</f>
        <v>4.7091532395396651E-2</v>
      </c>
      <c r="F12" s="356"/>
      <c r="G12" s="355">
        <f>G11/'4. Tipo Recurso'!G19</f>
        <v>6.8070792270316732E-2</v>
      </c>
      <c r="H12" s="353">
        <f>H11/'4. Tipo Recurso'!H19</f>
        <v>4.8962880777820718E-2</v>
      </c>
      <c r="I12" s="353"/>
      <c r="J12" s="355">
        <f>J11/'4. Tipo Recurso'!J19</f>
        <v>4.6525426839044592E-2</v>
      </c>
      <c r="K12" s="356"/>
      <c r="L12" s="29"/>
    </row>
    <row r="13" spans="1:12" ht="11.25" customHeight="1">
      <c r="A13" s="357" t="s">
        <v>255</v>
      </c>
      <c r="B13" s="155"/>
      <c r="C13" s="155"/>
      <c r="D13" s="155"/>
      <c r="E13" s="155"/>
      <c r="F13" s="155"/>
      <c r="G13" s="155"/>
      <c r="H13" s="155"/>
      <c r="I13" s="155"/>
      <c r="J13" s="155"/>
      <c r="K13" s="156"/>
      <c r="L13" s="29"/>
    </row>
    <row r="14" spans="1:12" ht="23.25" customHeight="1">
      <c r="A14" s="917" t="s">
        <v>56</v>
      </c>
      <c r="B14" s="917"/>
      <c r="C14" s="917"/>
      <c r="D14" s="917"/>
      <c r="E14" s="917"/>
      <c r="F14" s="917"/>
      <c r="G14" s="917"/>
      <c r="H14" s="917"/>
      <c r="I14" s="917"/>
      <c r="J14" s="917"/>
      <c r="K14" s="917"/>
      <c r="L14" s="29"/>
    </row>
    <row r="15" spans="1:12" ht="11.25" customHeight="1">
      <c r="L15" s="29"/>
    </row>
    <row r="16" spans="1:12" ht="11.25" customHeight="1">
      <c r="A16" s="157"/>
      <c r="B16" s="170"/>
      <c r="C16" s="170"/>
      <c r="D16" s="170"/>
      <c r="E16" s="170"/>
      <c r="F16" s="170"/>
      <c r="G16" s="170"/>
      <c r="H16" s="170"/>
      <c r="I16" s="170"/>
      <c r="J16" s="170"/>
      <c r="K16" s="170"/>
      <c r="L16" s="29"/>
    </row>
    <row r="17" spans="1:12" ht="11.25" customHeight="1">
      <c r="A17" s="170"/>
      <c r="B17" s="170"/>
      <c r="C17" s="170"/>
      <c r="D17" s="170"/>
      <c r="E17" s="170"/>
      <c r="F17" s="170"/>
      <c r="G17" s="170"/>
      <c r="H17" s="170"/>
      <c r="I17" s="170"/>
      <c r="J17" s="170"/>
      <c r="K17" s="170"/>
      <c r="L17" s="29"/>
    </row>
    <row r="18" spans="1:12" ht="11.25" customHeight="1">
      <c r="A18" s="170"/>
      <c r="B18" s="170"/>
      <c r="C18" s="170"/>
      <c r="D18" s="170"/>
      <c r="E18" s="170"/>
      <c r="F18" s="170"/>
      <c r="G18" s="170"/>
      <c r="H18" s="170"/>
      <c r="I18" s="170"/>
      <c r="J18" s="170"/>
      <c r="K18" s="170"/>
      <c r="L18" s="39"/>
    </row>
    <row r="19" spans="1:12" ht="11.25" customHeight="1">
      <c r="A19" s="157"/>
      <c r="B19" s="159"/>
      <c r="C19" s="159"/>
      <c r="D19" s="159"/>
      <c r="E19" s="159"/>
      <c r="F19" s="159"/>
      <c r="G19" s="159"/>
      <c r="H19" s="159"/>
      <c r="I19" s="159"/>
      <c r="J19" s="159"/>
      <c r="K19" s="159"/>
      <c r="L19" s="29"/>
    </row>
    <row r="20" spans="1:12" ht="11.25" customHeight="1">
      <c r="A20" s="157"/>
      <c r="B20" s="159"/>
      <c r="C20" s="159"/>
      <c r="D20" s="159"/>
      <c r="E20" s="159"/>
      <c r="F20" s="159"/>
      <c r="G20" s="159"/>
      <c r="H20" s="159"/>
      <c r="I20" s="159"/>
      <c r="J20" s="159"/>
      <c r="K20" s="159"/>
      <c r="L20" s="29"/>
    </row>
    <row r="21" spans="1:12" ht="11.25" customHeight="1">
      <c r="A21" s="157"/>
      <c r="B21" s="159"/>
      <c r="C21" s="159"/>
      <c r="D21" s="159"/>
      <c r="E21" s="159"/>
      <c r="F21" s="159"/>
      <c r="G21" s="159"/>
      <c r="H21" s="159"/>
      <c r="I21" s="159"/>
      <c r="J21" s="159"/>
      <c r="K21" s="159"/>
      <c r="L21" s="29"/>
    </row>
    <row r="22" spans="1:12" ht="11.25" customHeight="1">
      <c r="A22" s="157"/>
      <c r="B22" s="159"/>
      <c r="C22" s="159"/>
      <c r="D22" s="159"/>
      <c r="E22" s="159"/>
      <c r="F22" s="159"/>
      <c r="G22" s="159"/>
      <c r="H22" s="159"/>
      <c r="I22" s="159"/>
      <c r="J22" s="159"/>
      <c r="K22" s="159"/>
      <c r="L22" s="39"/>
    </row>
    <row r="23" spans="1:12" ht="11.25" customHeight="1">
      <c r="A23" s="157"/>
      <c r="B23" s="159"/>
      <c r="C23" s="159"/>
      <c r="D23" s="159"/>
      <c r="E23" s="159"/>
      <c r="F23" s="159"/>
      <c r="G23" s="159"/>
      <c r="H23" s="159"/>
      <c r="I23" s="159"/>
      <c r="J23" s="159"/>
      <c r="K23" s="159"/>
      <c r="L23" s="29"/>
    </row>
    <row r="24" spans="1:12" ht="11.25" customHeight="1">
      <c r="A24" s="157"/>
      <c r="B24" s="159"/>
      <c r="C24" s="159"/>
      <c r="D24" s="159"/>
      <c r="E24" s="159"/>
      <c r="F24" s="159"/>
      <c r="G24" s="159"/>
      <c r="H24" s="159"/>
      <c r="I24" s="159"/>
      <c r="J24" s="159"/>
      <c r="K24" s="159"/>
      <c r="L24" s="29"/>
    </row>
    <row r="25" spans="1:12" ht="11.25" customHeight="1">
      <c r="A25" s="157"/>
      <c r="B25" s="159"/>
      <c r="C25" s="159"/>
      <c r="D25" s="159"/>
      <c r="E25" s="159"/>
      <c r="F25" s="159"/>
      <c r="G25" s="159"/>
      <c r="H25" s="159"/>
      <c r="I25" s="159"/>
      <c r="J25" s="159"/>
      <c r="K25" s="159"/>
      <c r="L25" s="29"/>
    </row>
    <row r="26" spans="1:12" ht="11.25" customHeight="1">
      <c r="A26" s="157"/>
      <c r="B26" s="159"/>
      <c r="C26" s="159"/>
      <c r="D26" s="159"/>
      <c r="E26" s="159"/>
      <c r="F26" s="159"/>
      <c r="G26" s="159"/>
      <c r="H26" s="159"/>
      <c r="I26" s="159"/>
      <c r="J26" s="159"/>
      <c r="K26" s="159"/>
      <c r="L26" s="29"/>
    </row>
    <row r="27" spans="1:12" ht="11.25" customHeight="1">
      <c r="A27" s="157"/>
      <c r="B27" s="159"/>
      <c r="C27" s="159"/>
      <c r="D27" s="159"/>
      <c r="E27" s="159"/>
      <c r="F27" s="159"/>
      <c r="G27" s="159"/>
      <c r="H27" s="159"/>
      <c r="I27" s="159"/>
      <c r="J27" s="159"/>
      <c r="K27" s="159"/>
      <c r="L27" s="29"/>
    </row>
    <row r="28" spans="1:12" ht="11.25" customHeight="1">
      <c r="A28" s="157"/>
      <c r="B28" s="159"/>
      <c r="C28" s="159"/>
      <c r="D28" s="159"/>
      <c r="E28" s="159"/>
      <c r="F28" s="159"/>
      <c r="G28" s="159"/>
      <c r="H28" s="159"/>
      <c r="I28" s="159"/>
      <c r="J28" s="159"/>
      <c r="K28" s="159"/>
      <c r="L28" s="29"/>
    </row>
    <row r="29" spans="1:12" ht="11.25" customHeight="1">
      <c r="A29" s="157"/>
      <c r="B29" s="159"/>
      <c r="C29" s="159"/>
      <c r="D29" s="159"/>
      <c r="E29" s="159"/>
      <c r="F29" s="159"/>
      <c r="G29" s="159"/>
      <c r="H29" s="159"/>
      <c r="I29" s="159"/>
      <c r="J29" s="159"/>
      <c r="K29" s="159"/>
      <c r="L29" s="29"/>
    </row>
    <row r="30" spans="1:12" ht="11.25" customHeight="1">
      <c r="A30" s="157"/>
      <c r="B30" s="159"/>
      <c r="C30" s="159"/>
      <c r="D30" s="159"/>
      <c r="E30" s="159"/>
      <c r="F30" s="159"/>
      <c r="G30" s="159"/>
      <c r="H30" s="159"/>
      <c r="I30" s="159"/>
      <c r="J30" s="159"/>
      <c r="K30" s="159"/>
      <c r="L30" s="29"/>
    </row>
    <row r="31" spans="1:12" ht="11.25" customHeight="1">
      <c r="A31" s="157"/>
      <c r="B31" s="159"/>
      <c r="C31" s="159"/>
      <c r="D31" s="159"/>
      <c r="E31" s="159"/>
      <c r="F31" s="159"/>
      <c r="G31" s="159"/>
      <c r="H31" s="159"/>
      <c r="I31" s="159"/>
      <c r="J31" s="159"/>
      <c r="K31" s="159"/>
      <c r="L31" s="29"/>
    </row>
    <row r="32" spans="1:12" ht="11.25" customHeight="1">
      <c r="A32" s="157"/>
      <c r="B32" s="159"/>
      <c r="C32" s="159"/>
      <c r="D32" s="159"/>
      <c r="E32" s="159"/>
      <c r="F32" s="159"/>
      <c r="G32" s="159"/>
      <c r="H32" s="159"/>
      <c r="I32" s="159"/>
      <c r="J32" s="159"/>
      <c r="K32" s="159"/>
      <c r="L32" s="29"/>
    </row>
    <row r="33" spans="1:16" ht="11.25" customHeight="1">
      <c r="A33" s="157"/>
      <c r="B33" s="159"/>
      <c r="C33" s="159"/>
      <c r="D33" s="159"/>
      <c r="E33" s="159"/>
      <c r="F33" s="159"/>
      <c r="G33" s="159"/>
      <c r="H33" s="159"/>
      <c r="I33" s="159"/>
      <c r="J33" s="159"/>
      <c r="K33" s="159"/>
      <c r="L33" s="29"/>
    </row>
    <row r="34" spans="1:16" ht="11.25" customHeight="1">
      <c r="A34" s="915" t="str">
        <f>"Gráfico N° 6: Comparación de la producción de energía eléctrica acumulada (GWh) con recursos energéticos renovables en "&amp;'1. Resumen'!Q4</f>
        <v>Gráfico N° 6: Comparación de la producción de energía eléctrica acumulada (GWh) con recursos energéticos renovables en agosto</v>
      </c>
      <c r="B34" s="915"/>
      <c r="C34" s="915"/>
      <c r="D34" s="915"/>
      <c r="E34" s="915"/>
      <c r="F34" s="915"/>
      <c r="G34" s="915"/>
      <c r="H34" s="915"/>
      <c r="I34" s="915"/>
      <c r="J34" s="915"/>
      <c r="K34" s="915"/>
      <c r="L34" s="29"/>
    </row>
    <row r="35" spans="1:16" ht="11.25" customHeight="1">
      <c r="L35" s="48"/>
    </row>
    <row r="36" spans="1:16" ht="11.25" customHeight="1">
      <c r="A36" s="157"/>
      <c r="B36" s="159"/>
      <c r="C36" s="159"/>
      <c r="D36" s="159"/>
      <c r="E36" s="159"/>
      <c r="F36" s="159"/>
      <c r="G36" s="159"/>
      <c r="H36" s="159"/>
      <c r="I36" s="159"/>
      <c r="J36" s="159"/>
      <c r="K36" s="159"/>
      <c r="L36" s="29"/>
    </row>
    <row r="37" spans="1:16" ht="11.25" customHeight="1">
      <c r="A37" s="157"/>
      <c r="B37" s="159"/>
      <c r="C37" s="159"/>
      <c r="D37" s="159"/>
      <c r="E37" s="159"/>
      <c r="F37" s="159"/>
      <c r="G37" s="159"/>
      <c r="H37" s="159"/>
      <c r="I37" s="159"/>
      <c r="J37" s="159"/>
      <c r="K37" s="159"/>
      <c r="L37" s="29"/>
    </row>
    <row r="38" spans="1:16" ht="11.25" customHeight="1">
      <c r="A38" s="157"/>
      <c r="B38" s="159"/>
      <c r="C38" s="159"/>
      <c r="D38" s="159"/>
      <c r="E38" s="159"/>
      <c r="F38" s="159"/>
      <c r="G38" s="159"/>
      <c r="H38" s="159"/>
      <c r="I38" s="159"/>
      <c r="J38" s="159"/>
      <c r="K38" s="159"/>
      <c r="L38" s="29"/>
    </row>
    <row r="39" spans="1:16" ht="11.25" customHeight="1">
      <c r="A39" s="157"/>
      <c r="B39" s="159"/>
      <c r="C39" s="358" t="s">
        <v>258</v>
      </c>
      <c r="D39" s="192"/>
      <c r="E39" s="192"/>
      <c r="F39" s="646">
        <f>+'4. Tipo Recurso'!D19</f>
        <v>4221.8736752400018</v>
      </c>
      <c r="G39" s="358" t="s">
        <v>257</v>
      </c>
      <c r="H39" s="159"/>
      <c r="I39" s="159"/>
      <c r="J39" s="159"/>
      <c r="K39" s="159"/>
      <c r="L39" s="29"/>
      <c r="M39" s="359">
        <f>+F39-F40</f>
        <v>3925.0036752400019</v>
      </c>
      <c r="P39" s="548"/>
    </row>
    <row r="40" spans="1:16" ht="11.25" customHeight="1">
      <c r="A40" s="157"/>
      <c r="B40" s="159"/>
      <c r="C40" s="358" t="s">
        <v>259</v>
      </c>
      <c r="D40" s="192"/>
      <c r="E40" s="192"/>
      <c r="F40" s="646">
        <f>ROUND(D11,2)</f>
        <v>296.87</v>
      </c>
      <c r="G40" s="358" t="s">
        <v>257</v>
      </c>
      <c r="H40" s="159"/>
      <c r="I40" s="159"/>
      <c r="J40" s="159"/>
      <c r="K40" s="159"/>
      <c r="L40" s="29"/>
      <c r="M40" s="548"/>
      <c r="P40" s="548"/>
    </row>
    <row r="41" spans="1:16" ht="11.25" customHeight="1">
      <c r="A41" s="157"/>
      <c r="B41" s="159"/>
      <c r="C41" s="159"/>
      <c r="D41" s="159"/>
      <c r="E41" s="159"/>
      <c r="F41" s="159"/>
      <c r="G41" s="159"/>
      <c r="H41" s="159"/>
      <c r="I41" s="159"/>
      <c r="J41" s="159"/>
      <c r="K41" s="159"/>
      <c r="L41" s="29"/>
      <c r="P41" s="548"/>
    </row>
    <row r="42" spans="1:16" ht="11.25" customHeight="1">
      <c r="A42" s="157"/>
      <c r="B42" s="159"/>
      <c r="C42" s="159"/>
      <c r="D42" s="159"/>
      <c r="E42" s="159"/>
      <c r="F42" s="159"/>
      <c r="G42" s="159"/>
      <c r="H42" s="159"/>
      <c r="I42" s="159"/>
      <c r="J42" s="159"/>
      <c r="K42" s="159"/>
      <c r="L42" s="29"/>
      <c r="P42" s="548"/>
    </row>
    <row r="43" spans="1:16" ht="11.25" customHeight="1">
      <c r="A43" s="157"/>
      <c r="B43" s="159"/>
      <c r="C43" s="159"/>
      <c r="D43" s="159"/>
      <c r="E43" s="159"/>
      <c r="F43" s="159"/>
      <c r="G43" s="159"/>
      <c r="H43" s="159"/>
      <c r="I43" s="159"/>
      <c r="J43" s="159"/>
      <c r="K43" s="159"/>
      <c r="L43" s="29"/>
      <c r="P43" s="548"/>
    </row>
    <row r="44" spans="1:16" ht="11.25" customHeight="1">
      <c r="A44" s="157"/>
      <c r="B44" s="159"/>
      <c r="C44" s="159"/>
      <c r="D44" s="159"/>
      <c r="E44" s="159"/>
      <c r="F44" s="159"/>
      <c r="G44" s="159"/>
      <c r="H44" s="159"/>
      <c r="I44" s="159"/>
      <c r="J44" s="159"/>
      <c r="K44" s="159"/>
      <c r="L44" s="160"/>
    </row>
    <row r="45" spans="1:16" ht="11.25" customHeight="1">
      <c r="A45" s="157"/>
      <c r="B45" s="159"/>
      <c r="C45" s="159"/>
      <c r="D45" s="159"/>
      <c r="E45" s="159"/>
      <c r="F45" s="159"/>
      <c r="G45" s="159"/>
      <c r="H45" s="159"/>
      <c r="I45" s="159"/>
      <c r="J45" s="159"/>
      <c r="K45" s="159"/>
    </row>
    <row r="46" spans="1:16" ht="11.25" customHeight="1">
      <c r="A46" s="157"/>
      <c r="B46" s="159"/>
      <c r="C46" s="159"/>
      <c r="D46" s="159"/>
      <c r="E46" s="159"/>
      <c r="F46" s="159"/>
      <c r="G46" s="159"/>
      <c r="H46" s="159"/>
      <c r="I46" s="159"/>
      <c r="J46" s="159"/>
      <c r="K46" s="159"/>
    </row>
    <row r="47" spans="1:16" ht="11.25" customHeight="1">
      <c r="A47" s="157"/>
      <c r="B47" s="159"/>
      <c r="C47" s="159"/>
      <c r="D47" s="159"/>
      <c r="E47" s="159"/>
      <c r="F47" s="159"/>
      <c r="G47" s="159"/>
      <c r="H47" s="159"/>
      <c r="I47" s="159"/>
      <c r="J47" s="159"/>
      <c r="K47" s="159"/>
    </row>
    <row r="48" spans="1:16" ht="11.25" customHeight="1">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A53" s="157"/>
      <c r="B53" s="159"/>
      <c r="C53" s="159"/>
      <c r="D53" s="159"/>
      <c r="E53" s="159"/>
      <c r="F53" s="159"/>
      <c r="G53" s="159"/>
      <c r="H53" s="159"/>
      <c r="I53" s="159"/>
      <c r="J53" s="159"/>
      <c r="K53" s="159"/>
    </row>
    <row r="54" spans="1:11">
      <c r="A54" s="157"/>
      <c r="B54" s="159"/>
      <c r="C54" s="159"/>
      <c r="D54" s="159"/>
      <c r="E54" s="159"/>
      <c r="F54" s="159"/>
      <c r="G54" s="159"/>
      <c r="H54" s="159"/>
      <c r="I54" s="159"/>
      <c r="J54" s="159"/>
      <c r="K54" s="159"/>
    </row>
    <row r="55" spans="1:11">
      <c r="A55" s="157"/>
      <c r="B55" s="159"/>
      <c r="C55" s="159"/>
      <c r="D55" s="159"/>
      <c r="E55" s="159"/>
      <c r="F55" s="159"/>
      <c r="G55" s="159"/>
      <c r="H55" s="159"/>
      <c r="I55" s="159"/>
      <c r="J55" s="159"/>
      <c r="K55" s="159"/>
    </row>
    <row r="56" spans="1:11">
      <c r="A56" s="157"/>
      <c r="B56" s="159"/>
      <c r="C56" s="159"/>
      <c r="D56" s="159"/>
      <c r="E56" s="159"/>
      <c r="F56" s="159"/>
      <c r="G56" s="159"/>
      <c r="H56" s="159"/>
      <c r="I56" s="159"/>
      <c r="J56" s="159"/>
      <c r="K56" s="159"/>
    </row>
    <row r="57" spans="1:11">
      <c r="A57" s="157"/>
      <c r="B57" s="159"/>
      <c r="C57" s="159"/>
      <c r="D57" s="159"/>
      <c r="E57" s="159"/>
      <c r="F57" s="159"/>
      <c r="G57" s="159"/>
      <c r="H57" s="159"/>
      <c r="I57" s="159"/>
      <c r="J57" s="159"/>
      <c r="K57" s="159"/>
    </row>
    <row r="58" spans="1:11">
      <c r="A58" s="157"/>
      <c r="B58" s="159"/>
      <c r="C58" s="159"/>
      <c r="D58" s="159"/>
      <c r="E58" s="159"/>
      <c r="F58" s="159"/>
      <c r="G58" s="159"/>
      <c r="H58" s="159"/>
      <c r="I58" s="159"/>
      <c r="J58" s="159"/>
      <c r="K58" s="159"/>
    </row>
    <row r="59" spans="1:11">
      <c r="A59" s="157"/>
      <c r="B59" s="159"/>
      <c r="C59" s="159"/>
      <c r="D59" s="159"/>
      <c r="E59" s="159"/>
      <c r="F59" s="159"/>
      <c r="G59" s="159"/>
      <c r="H59" s="159"/>
      <c r="I59" s="159"/>
      <c r="J59" s="159"/>
      <c r="K59" s="159"/>
    </row>
    <row r="60" spans="1:11">
      <c r="B60" s="159"/>
      <c r="C60" s="159"/>
      <c r="D60" s="159"/>
      <c r="E60" s="159"/>
      <c r="F60" s="159"/>
      <c r="G60" s="159"/>
      <c r="H60" s="159"/>
      <c r="I60" s="159"/>
      <c r="J60" s="159"/>
      <c r="K60" s="159"/>
    </row>
    <row r="61" spans="1:11">
      <c r="A61" s="316" t="str">
        <f>"Gráfico N° 7: Participación de las RER en la Matriz de Generación del SEIN en "&amp;'1. Resumen'!Q4&amp;" "&amp;'1. Resumen'!Q5</f>
        <v>Gráfico N° 7: Participación de las RER en la Matriz de Generación del SEIN en agosto 2018</v>
      </c>
      <c r="B61" s="159"/>
      <c r="C61" s="159"/>
      <c r="D61" s="159"/>
      <c r="E61" s="159"/>
      <c r="F61" s="159"/>
      <c r="G61" s="159"/>
      <c r="H61" s="159"/>
      <c r="I61" s="159"/>
      <c r="J61" s="159"/>
      <c r="K61" s="159"/>
    </row>
  </sheetData>
  <mergeCells count="7">
    <mergeCell ref="A34:K34"/>
    <mergeCell ref="A2:K2"/>
    <mergeCell ref="A4:A5"/>
    <mergeCell ref="B4:D4"/>
    <mergeCell ref="E4:F4"/>
    <mergeCell ref="G4:K4"/>
    <mergeCell ref="A14:K14"/>
  </mergeCells>
  <pageMargins left="0.6428571428571429" right="0.54761904761904767" top="0.86956521739130432" bottom="0.61458333333333337" header="0.3" footer="0.3"/>
  <pageSetup orientation="portrait" r:id="rId1"/>
  <headerFooter>
    <oddHeader>&amp;R&amp;7Informe de la Operación Mensual - Agosto 2018
INFSGI-MES-08-2018
10/09/2018
Versión: 01</oddHeader>
    <oddFooter>&amp;L&amp;7COES, 2018&amp;C5&amp;R&amp;7Dirección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7CCD-E29E-4ECA-B9FC-DDA2646DA177}">
  <sheetPr>
    <tabColor theme="4"/>
  </sheetPr>
  <dimension ref="A2:V64"/>
  <sheetViews>
    <sheetView showGridLines="0" view="pageBreakPreview" zoomScale="160" zoomScaleNormal="100" zoomScaleSheetLayoutView="160" zoomScalePageLayoutView="160" workbookViewId="0">
      <selection activeCell="Q15" sqref="Q15"/>
    </sheetView>
  </sheetViews>
  <sheetFormatPr defaultRowHeight="11.25"/>
  <cols>
    <col min="1" max="11" width="10.33203125" style="3" customWidth="1"/>
    <col min="12" max="12" width="21.1640625" style="656" bestFit="1" customWidth="1"/>
    <col min="13" max="14" width="9.33203125" style="656"/>
    <col min="15" max="15" width="11.83203125" style="656" customWidth="1"/>
    <col min="16" max="17" width="9.33203125" style="656"/>
    <col min="18" max="19" width="9.33203125" style="657"/>
    <col min="20" max="20" width="15" style="657" customWidth="1"/>
    <col min="21" max="22" width="9.33203125" style="657"/>
    <col min="23" max="16384" width="9.33203125" style="3"/>
  </cols>
  <sheetData>
    <row r="2" spans="1:22" ht="11.25" customHeight="1">
      <c r="A2" s="918" t="s">
        <v>265</v>
      </c>
      <c r="B2" s="918"/>
      <c r="C2" s="918"/>
      <c r="D2" s="918"/>
      <c r="E2" s="918"/>
      <c r="F2" s="918"/>
      <c r="G2" s="918"/>
      <c r="H2" s="918"/>
      <c r="I2" s="918"/>
      <c r="J2" s="918"/>
      <c r="K2" s="918"/>
    </row>
    <row r="3" spans="1:22" ht="11.25" customHeight="1"/>
    <row r="4" spans="1:22" ht="11.25" customHeight="1">
      <c r="L4" s="658" t="s">
        <v>57</v>
      </c>
      <c r="M4" s="659" t="s">
        <v>31</v>
      </c>
      <c r="N4" s="658" t="s">
        <v>597</v>
      </c>
      <c r="O4" s="660">
        <v>43282</v>
      </c>
      <c r="P4" s="661"/>
      <c r="Q4" s="661"/>
    </row>
    <row r="5" spans="1:22" ht="11.25" customHeight="1">
      <c r="A5" s="172"/>
      <c r="B5" s="159"/>
      <c r="C5" s="159"/>
      <c r="D5" s="159"/>
      <c r="E5" s="159"/>
      <c r="F5" s="159"/>
      <c r="G5" s="159"/>
      <c r="H5" s="159"/>
      <c r="I5" s="159"/>
      <c r="J5" s="159"/>
      <c r="K5" s="159"/>
      <c r="L5" s="658"/>
      <c r="M5" s="659"/>
      <c r="N5" s="658"/>
      <c r="O5" s="658" t="s">
        <v>58</v>
      </c>
      <c r="P5" s="658" t="s">
        <v>59</v>
      </c>
      <c r="Q5" s="658"/>
      <c r="U5" s="657">
        <v>2018</v>
      </c>
      <c r="V5" s="657">
        <v>2017</v>
      </c>
    </row>
    <row r="6" spans="1:22" ht="11.25" customHeight="1">
      <c r="A6" s="132"/>
      <c r="B6" s="159"/>
      <c r="C6" s="159"/>
      <c r="D6" s="159"/>
      <c r="E6" s="159"/>
      <c r="F6" s="159"/>
      <c r="G6" s="159"/>
      <c r="H6" s="159"/>
      <c r="I6" s="159"/>
      <c r="J6" s="159"/>
      <c r="K6" s="159"/>
      <c r="L6" s="662" t="s">
        <v>527</v>
      </c>
      <c r="M6" s="663" t="s">
        <v>61</v>
      </c>
      <c r="N6" s="664">
        <v>20</v>
      </c>
      <c r="O6" s="663">
        <v>14.74453653</v>
      </c>
      <c r="P6" s="663">
        <v>0.99089627217741927</v>
      </c>
      <c r="Q6" s="663"/>
      <c r="S6" s="657" t="s">
        <v>61</v>
      </c>
      <c r="T6" s="657" t="s">
        <v>62</v>
      </c>
      <c r="U6" s="665">
        <v>0.99959813405921361</v>
      </c>
      <c r="V6" s="665">
        <v>0.91439259299999998</v>
      </c>
    </row>
    <row r="7" spans="1:22" ht="11.25" customHeight="1">
      <c r="A7" s="157"/>
      <c r="B7" s="159"/>
      <c r="C7" s="159"/>
      <c r="D7" s="159"/>
      <c r="E7" s="159"/>
      <c r="F7" s="159"/>
      <c r="G7" s="159"/>
      <c r="H7" s="159"/>
      <c r="I7" s="159"/>
      <c r="J7" s="159"/>
      <c r="K7" s="159"/>
      <c r="L7" s="662" t="s">
        <v>62</v>
      </c>
      <c r="M7" s="663" t="s">
        <v>61</v>
      </c>
      <c r="N7" s="664">
        <v>15</v>
      </c>
      <c r="O7" s="663">
        <v>10.9556863025</v>
      </c>
      <c r="P7" s="663">
        <v>0.98169232101254478</v>
      </c>
      <c r="Q7" s="663"/>
      <c r="T7" s="657" t="s">
        <v>75</v>
      </c>
      <c r="U7" s="665">
        <v>0.85246495171802805</v>
      </c>
      <c r="V7" s="665">
        <v>0.83082807000000003</v>
      </c>
    </row>
    <row r="8" spans="1:22" ht="11.25" customHeight="1">
      <c r="A8" s="157"/>
      <c r="B8" s="159"/>
      <c r="C8" s="159"/>
      <c r="D8" s="159"/>
      <c r="E8" s="159"/>
      <c r="F8" s="159"/>
      <c r="G8" s="159"/>
      <c r="H8" s="159"/>
      <c r="I8" s="159"/>
      <c r="J8" s="159"/>
      <c r="K8" s="159"/>
      <c r="L8" s="662" t="s">
        <v>60</v>
      </c>
      <c r="M8" s="663" t="s">
        <v>61</v>
      </c>
      <c r="N8" s="664">
        <v>19.966000000000001</v>
      </c>
      <c r="O8" s="663">
        <v>7.8021295400000001</v>
      </c>
      <c r="P8" s="663">
        <v>0.52522955287429485</v>
      </c>
      <c r="Q8" s="663"/>
      <c r="T8" s="657" t="s">
        <v>65</v>
      </c>
      <c r="U8" s="665">
        <v>0.79810155736975086</v>
      </c>
      <c r="V8" s="665">
        <v>0.94395363700000001</v>
      </c>
    </row>
    <row r="9" spans="1:22" ht="11.25" customHeight="1">
      <c r="A9" s="157"/>
      <c r="B9" s="159"/>
      <c r="C9" s="159"/>
      <c r="D9" s="159"/>
      <c r="E9" s="159"/>
      <c r="F9" s="159"/>
      <c r="G9" s="159"/>
      <c r="H9" s="159"/>
      <c r="I9" s="159"/>
      <c r="J9" s="159"/>
      <c r="K9" s="159"/>
      <c r="L9" s="662" t="s">
        <v>65</v>
      </c>
      <c r="M9" s="666" t="s">
        <v>61</v>
      </c>
      <c r="N9" s="664">
        <v>9.9830000000000005</v>
      </c>
      <c r="O9" s="663">
        <v>6.0585698424999999</v>
      </c>
      <c r="P9" s="663">
        <v>0.81571061160155056</v>
      </c>
      <c r="Q9" s="663"/>
      <c r="T9" s="657" t="s">
        <v>69</v>
      </c>
      <c r="U9" s="665">
        <v>0.78904525990705099</v>
      </c>
      <c r="V9" s="665">
        <v>0.73209083799999997</v>
      </c>
    </row>
    <row r="10" spans="1:22" ht="11.25" customHeight="1">
      <c r="A10" s="157"/>
      <c r="B10" s="159"/>
      <c r="C10" s="159"/>
      <c r="D10" s="159"/>
      <c r="E10" s="159"/>
      <c r="F10" s="159"/>
      <c r="G10" s="159"/>
      <c r="H10" s="159"/>
      <c r="I10" s="159"/>
      <c r="J10" s="159"/>
      <c r="K10" s="159"/>
      <c r="L10" s="662" t="s">
        <v>63</v>
      </c>
      <c r="M10" s="666" t="s">
        <v>61</v>
      </c>
      <c r="N10" s="664">
        <v>19.966999999999999</v>
      </c>
      <c r="O10" s="663">
        <v>5.4051990724999994</v>
      </c>
      <c r="P10" s="663">
        <v>0.36385298326243681</v>
      </c>
      <c r="Q10" s="663"/>
      <c r="T10" s="657" t="s">
        <v>73</v>
      </c>
      <c r="U10" s="665">
        <v>0.77065594176942831</v>
      </c>
      <c r="V10" s="665">
        <v>0.53741921199999998</v>
      </c>
    </row>
    <row r="11" spans="1:22" ht="11.25" customHeight="1">
      <c r="A11" s="157"/>
      <c r="B11" s="159"/>
      <c r="C11" s="159"/>
      <c r="D11" s="159"/>
      <c r="E11" s="159"/>
      <c r="F11" s="159"/>
      <c r="G11" s="159"/>
      <c r="H11" s="159"/>
      <c r="I11" s="159"/>
      <c r="J11" s="159"/>
      <c r="K11" s="159"/>
      <c r="L11" s="662" t="s">
        <v>69</v>
      </c>
      <c r="M11" s="666" t="s">
        <v>61</v>
      </c>
      <c r="N11" s="664">
        <v>7.7450000000000001</v>
      </c>
      <c r="O11" s="663">
        <v>4.9531025</v>
      </c>
      <c r="P11" s="663">
        <v>0.85957338067570477</v>
      </c>
      <c r="Q11" s="663"/>
      <c r="T11" s="657" t="s">
        <v>76</v>
      </c>
      <c r="U11" s="665">
        <v>0.76937957657992806</v>
      </c>
      <c r="V11" s="665">
        <v>0.68106693500000004</v>
      </c>
    </row>
    <row r="12" spans="1:22" ht="11.25" customHeight="1">
      <c r="A12" s="157"/>
      <c r="B12" s="159"/>
      <c r="C12" s="159"/>
      <c r="D12" s="159"/>
      <c r="E12" s="159"/>
      <c r="F12" s="159"/>
      <c r="G12" s="159"/>
      <c r="H12" s="159"/>
      <c r="I12" s="159"/>
      <c r="J12" s="159"/>
      <c r="K12" s="159"/>
      <c r="L12" s="662" t="s">
        <v>72</v>
      </c>
      <c r="M12" s="663" t="s">
        <v>61</v>
      </c>
      <c r="N12" s="664">
        <v>9.5660000000000007</v>
      </c>
      <c r="O12" s="663">
        <v>3.2195525324999998</v>
      </c>
      <c r="P12" s="663">
        <v>0.4523683414630445</v>
      </c>
      <c r="Q12" s="663"/>
      <c r="T12" s="657" t="s">
        <v>60</v>
      </c>
      <c r="U12" s="665">
        <v>0.76720415421236676</v>
      </c>
      <c r="V12" s="665">
        <v>0.75952924700000002</v>
      </c>
    </row>
    <row r="13" spans="1:22" ht="11.25" customHeight="1">
      <c r="A13" s="157"/>
      <c r="B13" s="159"/>
      <c r="C13" s="159"/>
      <c r="D13" s="159"/>
      <c r="E13" s="159"/>
      <c r="F13" s="159"/>
      <c r="G13" s="159"/>
      <c r="H13" s="159"/>
      <c r="I13" s="159"/>
      <c r="J13" s="159"/>
      <c r="K13" s="159"/>
      <c r="L13" s="662" t="s">
        <v>67</v>
      </c>
      <c r="M13" s="663" t="s">
        <v>61</v>
      </c>
      <c r="N13" s="664">
        <v>10.222</v>
      </c>
      <c r="O13" s="663">
        <v>3.1398369824999999</v>
      </c>
      <c r="P13" s="663">
        <v>0.41285570318762188</v>
      </c>
      <c r="Q13" s="663"/>
      <c r="T13" s="657" t="s">
        <v>77</v>
      </c>
      <c r="U13" s="665">
        <v>0.70714015300945821</v>
      </c>
      <c r="V13" s="665">
        <v>0.70474537000000004</v>
      </c>
    </row>
    <row r="14" spans="1:22" ht="11.25" customHeight="1">
      <c r="A14" s="157"/>
      <c r="B14" s="159"/>
      <c r="C14" s="159"/>
      <c r="D14" s="159"/>
      <c r="E14" s="159"/>
      <c r="F14" s="159"/>
      <c r="G14" s="159"/>
      <c r="H14" s="159"/>
      <c r="I14" s="159"/>
      <c r="J14" s="159"/>
      <c r="K14" s="159"/>
      <c r="L14" s="662" t="s">
        <v>68</v>
      </c>
      <c r="M14" s="663" t="s">
        <v>61</v>
      </c>
      <c r="N14" s="664">
        <v>9.85</v>
      </c>
      <c r="O14" s="663">
        <v>2.909497295</v>
      </c>
      <c r="P14" s="663">
        <v>0.39701671510834563</v>
      </c>
      <c r="Q14" s="663"/>
      <c r="T14" s="657" t="s">
        <v>67</v>
      </c>
      <c r="U14" s="665">
        <v>0.69480882162058555</v>
      </c>
      <c r="V14" s="665">
        <v>0.59189352699999997</v>
      </c>
    </row>
    <row r="15" spans="1:22" ht="11.25" customHeight="1">
      <c r="A15" s="157"/>
      <c r="B15" s="159"/>
      <c r="C15" s="159"/>
      <c r="D15" s="159"/>
      <c r="E15" s="159"/>
      <c r="F15" s="159"/>
      <c r="G15" s="159"/>
      <c r="H15" s="159"/>
      <c r="I15" s="159"/>
      <c r="J15" s="159"/>
      <c r="K15" s="159"/>
      <c r="L15" s="662" t="s">
        <v>73</v>
      </c>
      <c r="M15" s="663" t="s">
        <v>61</v>
      </c>
      <c r="N15" s="664">
        <v>5.1890000000000001</v>
      </c>
      <c r="O15" s="663">
        <v>2.5635129825000003</v>
      </c>
      <c r="P15" s="663">
        <v>0.66401656691574618</v>
      </c>
      <c r="Q15" s="663"/>
      <c r="T15" s="657" t="s">
        <v>68</v>
      </c>
      <c r="U15" s="665">
        <v>0.68436545960323925</v>
      </c>
      <c r="V15" s="665">
        <v>0.59560934899999995</v>
      </c>
    </row>
    <row r="16" spans="1:22" ht="11.25" customHeight="1">
      <c r="A16" s="157"/>
      <c r="B16" s="159"/>
      <c r="C16" s="159"/>
      <c r="D16" s="159"/>
      <c r="E16" s="159"/>
      <c r="F16" s="159"/>
      <c r="G16" s="159"/>
      <c r="H16" s="159"/>
      <c r="I16" s="159"/>
      <c r="J16" s="159"/>
      <c r="K16" s="159"/>
      <c r="L16" s="662" t="s">
        <v>77</v>
      </c>
      <c r="M16" s="663" t="s">
        <v>61</v>
      </c>
      <c r="N16" s="664">
        <v>3.964</v>
      </c>
      <c r="O16" s="663">
        <v>2.339</v>
      </c>
      <c r="P16" s="663">
        <v>0.79309213024749636</v>
      </c>
      <c r="Q16" s="663"/>
      <c r="T16" s="657" t="s">
        <v>64</v>
      </c>
      <c r="U16" s="665">
        <v>0.68327529753021754</v>
      </c>
      <c r="V16" s="665">
        <v>0.75329043500000004</v>
      </c>
    </row>
    <row r="17" spans="1:22" ht="11.25" customHeight="1">
      <c r="A17" s="157"/>
      <c r="B17" s="159"/>
      <c r="C17" s="159"/>
      <c r="D17" s="159"/>
      <c r="E17" s="159"/>
      <c r="F17" s="159"/>
      <c r="G17" s="159"/>
      <c r="H17" s="159"/>
      <c r="I17" s="159"/>
      <c r="J17" s="159"/>
      <c r="K17" s="159"/>
      <c r="L17" s="662" t="s">
        <v>64</v>
      </c>
      <c r="M17" s="663" t="s">
        <v>61</v>
      </c>
      <c r="N17" s="664">
        <v>19.1995</v>
      </c>
      <c r="O17" s="663">
        <v>1.8440929650000002</v>
      </c>
      <c r="P17" s="663">
        <v>0.12909813154576441</v>
      </c>
      <c r="Q17" s="663"/>
      <c r="T17" s="657" t="s">
        <v>717</v>
      </c>
      <c r="U17" s="665">
        <v>0.67080357142857161</v>
      </c>
      <c r="V17" s="665"/>
    </row>
    <row r="18" spans="1:22">
      <c r="A18" s="157"/>
      <c r="B18" s="159"/>
      <c r="C18" s="159"/>
      <c r="D18" s="159"/>
      <c r="E18" s="159"/>
      <c r="F18" s="159"/>
      <c r="G18" s="159"/>
      <c r="H18" s="159"/>
      <c r="I18" s="159"/>
      <c r="J18" s="159"/>
      <c r="K18" s="159"/>
      <c r="L18" s="662" t="s">
        <v>76</v>
      </c>
      <c r="M18" s="663" t="s">
        <v>61</v>
      </c>
      <c r="N18" s="664">
        <v>3.91621</v>
      </c>
      <c r="O18" s="663">
        <v>1.8385223449999999</v>
      </c>
      <c r="P18" s="663">
        <v>0.63100093818763159</v>
      </c>
      <c r="Q18" s="663"/>
      <c r="T18" s="657" t="s">
        <v>72</v>
      </c>
      <c r="U18" s="665">
        <v>0.6646161429891303</v>
      </c>
      <c r="V18" s="665">
        <v>0.49027923000000001</v>
      </c>
    </row>
    <row r="19" spans="1:22">
      <c r="A19" s="157"/>
      <c r="B19" s="159"/>
      <c r="C19" s="159"/>
      <c r="D19" s="159"/>
      <c r="E19" s="159"/>
      <c r="F19" s="159"/>
      <c r="G19" s="159"/>
      <c r="H19" s="159"/>
      <c r="I19" s="159"/>
      <c r="J19" s="159"/>
      <c r="K19" s="159"/>
      <c r="L19" s="662" t="s">
        <v>75</v>
      </c>
      <c r="M19" s="663" t="s">
        <v>61</v>
      </c>
      <c r="N19" s="664">
        <v>3.48</v>
      </c>
      <c r="O19" s="663">
        <v>1.4575312825000002</v>
      </c>
      <c r="P19" s="663">
        <v>0.56294466169972812</v>
      </c>
      <c r="Q19" s="663"/>
      <c r="T19" s="657" t="s">
        <v>74</v>
      </c>
      <c r="U19" s="665">
        <v>0.64152464077957061</v>
      </c>
      <c r="V19" s="665">
        <v>0.768208157</v>
      </c>
    </row>
    <row r="20" spans="1:22">
      <c r="A20" s="157"/>
      <c r="B20" s="159"/>
      <c r="C20" s="159"/>
      <c r="D20" s="159"/>
      <c r="E20" s="159"/>
      <c r="F20" s="159"/>
      <c r="G20" s="159"/>
      <c r="H20" s="159"/>
      <c r="I20" s="159"/>
      <c r="J20" s="159"/>
      <c r="K20" s="159"/>
      <c r="L20" s="662" t="s">
        <v>66</v>
      </c>
      <c r="M20" s="663" t="s">
        <v>61</v>
      </c>
      <c r="N20" s="664">
        <v>19.899999999999999</v>
      </c>
      <c r="O20" s="663">
        <v>1.2879379774999999</v>
      </c>
      <c r="P20" s="663">
        <v>8.6989921212244026E-2</v>
      </c>
      <c r="Q20" s="663"/>
      <c r="T20" s="657" t="s">
        <v>527</v>
      </c>
      <c r="U20" s="665">
        <v>0.63429872548010979</v>
      </c>
      <c r="V20" s="665"/>
    </row>
    <row r="21" spans="1:22">
      <c r="A21" s="157"/>
      <c r="B21" s="159"/>
      <c r="C21" s="159"/>
      <c r="D21" s="159"/>
      <c r="E21" s="159"/>
      <c r="F21" s="159"/>
      <c r="G21" s="159"/>
      <c r="H21" s="159"/>
      <c r="I21" s="159"/>
      <c r="J21" s="159"/>
      <c r="K21" s="159"/>
      <c r="L21" s="662" t="s">
        <v>70</v>
      </c>
      <c r="M21" s="663" t="s">
        <v>61</v>
      </c>
      <c r="N21" s="664">
        <v>7.4240000000000004</v>
      </c>
      <c r="O21" s="663">
        <v>1.1752434825</v>
      </c>
      <c r="P21" s="663">
        <v>0.21277321345548875</v>
      </c>
      <c r="Q21" s="663"/>
      <c r="T21" s="657" t="s">
        <v>63</v>
      </c>
      <c r="U21" s="665">
        <v>0.60434415433012478</v>
      </c>
      <c r="V21" s="665">
        <v>0.62647542300000003</v>
      </c>
    </row>
    <row r="22" spans="1:22">
      <c r="A22" s="157"/>
      <c r="B22" s="159"/>
      <c r="C22" s="159"/>
      <c r="D22" s="159"/>
      <c r="E22" s="159"/>
      <c r="F22" s="159"/>
      <c r="G22" s="159"/>
      <c r="H22" s="159"/>
      <c r="I22" s="159"/>
      <c r="J22" s="159"/>
      <c r="K22" s="159"/>
      <c r="L22" s="662" t="s">
        <v>71</v>
      </c>
      <c r="M22" s="663" t="s">
        <v>61</v>
      </c>
      <c r="N22" s="664">
        <v>6.9580000000000002</v>
      </c>
      <c r="O22" s="663">
        <v>0.96047411500000002</v>
      </c>
      <c r="P22" s="663">
        <v>0.18553604943794871</v>
      </c>
      <c r="Q22" s="663"/>
      <c r="T22" s="657" t="s">
        <v>66</v>
      </c>
      <c r="U22" s="665">
        <v>0.59080362706019818</v>
      </c>
      <c r="V22" s="665">
        <v>0.40592748699999998</v>
      </c>
    </row>
    <row r="23" spans="1:22">
      <c r="A23" s="157"/>
      <c r="B23" s="159"/>
      <c r="C23" s="159"/>
      <c r="D23" s="159"/>
      <c r="E23" s="159"/>
      <c r="F23" s="159"/>
      <c r="G23" s="159"/>
      <c r="H23" s="159"/>
      <c r="I23" s="159"/>
      <c r="J23" s="159"/>
      <c r="K23" s="159"/>
      <c r="L23" s="662" t="s">
        <v>74</v>
      </c>
      <c r="M23" s="663" t="s">
        <v>61</v>
      </c>
      <c r="N23" s="664">
        <v>5.67</v>
      </c>
      <c r="O23" s="663">
        <v>0.84253854500000003</v>
      </c>
      <c r="P23" s="663">
        <v>0.19972562273615144</v>
      </c>
      <c r="Q23" s="663"/>
      <c r="T23" s="657" t="s">
        <v>70</v>
      </c>
      <c r="U23" s="665">
        <v>0.56456578554547066</v>
      </c>
      <c r="V23" s="665">
        <v>0.61411139100000001</v>
      </c>
    </row>
    <row r="24" spans="1:22">
      <c r="A24" s="157"/>
      <c r="B24" s="159"/>
      <c r="C24" s="159"/>
      <c r="D24" s="159"/>
      <c r="E24" s="159"/>
      <c r="F24" s="159"/>
      <c r="G24" s="159"/>
      <c r="H24" s="159"/>
      <c r="I24" s="159"/>
      <c r="J24" s="159"/>
      <c r="K24" s="159"/>
      <c r="L24" s="662" t="s">
        <v>714</v>
      </c>
      <c r="M24" s="663" t="s">
        <v>61</v>
      </c>
      <c r="N24" s="664">
        <v>20.16</v>
      </c>
      <c r="O24" s="663">
        <v>0.33590999999999999</v>
      </c>
      <c r="P24" s="663">
        <v>0.34712921626984122</v>
      </c>
      <c r="Q24" s="663"/>
      <c r="T24" s="657" t="s">
        <v>71</v>
      </c>
      <c r="U24" s="665">
        <v>0.54429502284380382</v>
      </c>
      <c r="V24" s="665">
        <v>0.61025407099999995</v>
      </c>
    </row>
    <row r="25" spans="1:22">
      <c r="A25" s="157"/>
      <c r="B25" s="159"/>
      <c r="C25" s="159"/>
      <c r="D25" s="159"/>
      <c r="E25" s="159"/>
      <c r="F25" s="159"/>
      <c r="G25" s="159"/>
      <c r="H25" s="159"/>
      <c r="I25" s="159"/>
      <c r="J25" s="159"/>
      <c r="K25" s="159"/>
      <c r="L25" s="662" t="s">
        <v>715</v>
      </c>
      <c r="M25" s="663" t="s">
        <v>61</v>
      </c>
      <c r="N25" s="664">
        <v>20.16</v>
      </c>
      <c r="O25" s="663">
        <v>0.317413</v>
      </c>
      <c r="P25" s="663">
        <v>0.32801442625661376</v>
      </c>
      <c r="Q25" s="663"/>
      <c r="T25" s="657" t="s">
        <v>714</v>
      </c>
      <c r="U25" s="665">
        <v>0.34712921626984122</v>
      </c>
      <c r="V25" s="665"/>
    </row>
    <row r="26" spans="1:22">
      <c r="A26" s="157"/>
      <c r="B26" s="159"/>
      <c r="C26" s="159"/>
      <c r="D26" s="159"/>
      <c r="E26" s="159"/>
      <c r="F26" s="159"/>
      <c r="G26" s="159"/>
      <c r="H26" s="159"/>
      <c r="I26" s="159"/>
      <c r="J26" s="159"/>
      <c r="K26" s="159"/>
      <c r="L26" s="662" t="s">
        <v>716</v>
      </c>
      <c r="M26" s="663" t="s">
        <v>61</v>
      </c>
      <c r="N26" s="664">
        <v>20.16</v>
      </c>
      <c r="O26" s="663">
        <v>0.28944600000000004</v>
      </c>
      <c r="P26" s="663">
        <v>0.29911334325396827</v>
      </c>
      <c r="Q26" s="663"/>
      <c r="T26" s="657" t="s">
        <v>715</v>
      </c>
      <c r="U26" s="665">
        <v>0.32801442625661376</v>
      </c>
      <c r="V26" s="665"/>
    </row>
    <row r="27" spans="1:22">
      <c r="A27" s="157"/>
      <c r="B27" s="159"/>
      <c r="C27" s="159"/>
      <c r="D27" s="159"/>
      <c r="E27" s="159"/>
      <c r="F27" s="159"/>
      <c r="G27" s="159"/>
      <c r="H27" s="159"/>
      <c r="I27" s="159"/>
      <c r="J27" s="159"/>
      <c r="K27" s="159"/>
      <c r="L27" s="662" t="s">
        <v>78</v>
      </c>
      <c r="M27" s="663" t="s">
        <v>61</v>
      </c>
      <c r="N27" s="664">
        <v>1.714</v>
      </c>
      <c r="O27" s="663">
        <v>0.2063930725</v>
      </c>
      <c r="P27" s="663">
        <v>0.16184950039836388</v>
      </c>
      <c r="Q27" s="663"/>
      <c r="T27" s="657" t="s">
        <v>716</v>
      </c>
      <c r="U27" s="665">
        <v>0.29911334325396827</v>
      </c>
      <c r="V27" s="665"/>
    </row>
    <row r="28" spans="1:22">
      <c r="A28" s="157"/>
      <c r="B28" s="159"/>
      <c r="C28" s="159"/>
      <c r="D28" s="159"/>
      <c r="E28" s="159"/>
      <c r="F28" s="159"/>
      <c r="G28" s="159"/>
      <c r="H28" s="159"/>
      <c r="I28" s="159"/>
      <c r="J28" s="159"/>
      <c r="K28" s="159"/>
      <c r="L28" s="662" t="s">
        <v>717</v>
      </c>
      <c r="M28" s="663" t="s">
        <v>61</v>
      </c>
      <c r="N28" s="664">
        <v>0.7</v>
      </c>
      <c r="O28" s="663">
        <v>2.2539E-2</v>
      </c>
      <c r="P28" s="663">
        <v>0.67080357142857161</v>
      </c>
      <c r="Q28" s="663"/>
      <c r="T28" s="657" t="s">
        <v>78</v>
      </c>
      <c r="U28" s="665">
        <v>0.17493623254910345</v>
      </c>
      <c r="V28" s="665">
        <v>0.123505266</v>
      </c>
    </row>
    <row r="29" spans="1:22">
      <c r="A29" s="157"/>
      <c r="B29" s="159"/>
      <c r="C29" s="159"/>
      <c r="D29" s="159"/>
      <c r="E29" s="159"/>
      <c r="F29" s="159"/>
      <c r="G29" s="159"/>
      <c r="H29" s="159"/>
      <c r="I29" s="159"/>
      <c r="J29" s="159"/>
      <c r="K29" s="159"/>
      <c r="L29" s="662" t="s">
        <v>552</v>
      </c>
      <c r="M29" s="663" t="s">
        <v>240</v>
      </c>
      <c r="N29" s="664">
        <v>132.30000000000001</v>
      </c>
      <c r="O29" s="663">
        <v>50.296656275000004</v>
      </c>
      <c r="P29" s="663">
        <v>0.5109828618872877</v>
      </c>
      <c r="Q29" s="663"/>
      <c r="S29" s="657" t="s">
        <v>80</v>
      </c>
      <c r="T29" s="657" t="s">
        <v>79</v>
      </c>
      <c r="U29" s="665">
        <v>0.54038606178875737</v>
      </c>
      <c r="V29" s="665">
        <v>0.55638007599999995</v>
      </c>
    </row>
    <row r="30" spans="1:22">
      <c r="A30" s="157"/>
      <c r="B30" s="159"/>
      <c r="C30" s="159"/>
      <c r="D30" s="159"/>
      <c r="E30" s="159"/>
      <c r="F30" s="159"/>
      <c r="G30" s="159"/>
      <c r="H30" s="159"/>
      <c r="I30" s="159"/>
      <c r="J30" s="159"/>
      <c r="K30" s="159"/>
      <c r="L30" s="662" t="s">
        <v>79</v>
      </c>
      <c r="M30" s="663" t="s">
        <v>240</v>
      </c>
      <c r="N30" s="664">
        <v>97.15</v>
      </c>
      <c r="O30" s="663">
        <v>40.436329412500001</v>
      </c>
      <c r="P30" s="663">
        <v>0.55944318192823428</v>
      </c>
      <c r="Q30" s="663"/>
      <c r="T30" s="657" t="s">
        <v>82</v>
      </c>
      <c r="U30" s="665">
        <v>0.52093370837887942</v>
      </c>
      <c r="V30" s="665">
        <v>0.57277685899999997</v>
      </c>
    </row>
    <row r="31" spans="1:22">
      <c r="A31" s="157"/>
      <c r="B31" s="159"/>
      <c r="C31" s="159"/>
      <c r="D31" s="159"/>
      <c r="E31" s="159"/>
      <c r="F31" s="159"/>
      <c r="G31" s="159"/>
      <c r="H31" s="159"/>
      <c r="I31" s="159"/>
      <c r="J31" s="159"/>
      <c r="K31" s="159"/>
      <c r="L31" s="662" t="s">
        <v>81</v>
      </c>
      <c r="M31" s="663" t="s">
        <v>240</v>
      </c>
      <c r="N31" s="664">
        <v>83.15</v>
      </c>
      <c r="O31" s="663">
        <v>18.606367079999998</v>
      </c>
      <c r="P31" s="663">
        <v>0.30076437646693693</v>
      </c>
      <c r="Q31" s="663"/>
      <c r="T31" s="657" t="s">
        <v>83</v>
      </c>
      <c r="U31" s="665">
        <v>0.41865790597521269</v>
      </c>
      <c r="V31" s="665">
        <v>0.39776732199999998</v>
      </c>
    </row>
    <row r="32" spans="1:22">
      <c r="A32" s="157"/>
      <c r="B32" s="159"/>
      <c r="C32" s="159"/>
      <c r="D32" s="159"/>
      <c r="E32" s="159"/>
      <c r="F32" s="159"/>
      <c r="G32" s="159"/>
      <c r="H32" s="159"/>
      <c r="I32" s="159"/>
      <c r="J32" s="159"/>
      <c r="K32" s="159"/>
      <c r="L32" s="662" t="s">
        <v>82</v>
      </c>
      <c r="M32" s="663" t="s">
        <v>240</v>
      </c>
      <c r="N32" s="664">
        <v>32</v>
      </c>
      <c r="O32" s="663">
        <v>12.986847152500001</v>
      </c>
      <c r="P32" s="663">
        <v>0.54548249128444226</v>
      </c>
      <c r="Q32" s="663"/>
      <c r="T32" s="657" t="s">
        <v>81</v>
      </c>
      <c r="U32" s="665">
        <v>0.36678060410887497</v>
      </c>
      <c r="V32" s="665">
        <v>0.32809378700000003</v>
      </c>
    </row>
    <row r="33" spans="1:22">
      <c r="A33" s="157"/>
      <c r="B33" s="159"/>
      <c r="C33" s="159"/>
      <c r="D33" s="159"/>
      <c r="E33" s="159"/>
      <c r="F33" s="159"/>
      <c r="G33" s="159"/>
      <c r="H33" s="159"/>
      <c r="I33" s="159"/>
      <c r="J33" s="159"/>
      <c r="K33" s="159"/>
      <c r="L33" s="662" t="s">
        <v>83</v>
      </c>
      <c r="M33" s="663" t="s">
        <v>240</v>
      </c>
      <c r="N33" s="664">
        <v>30.86</v>
      </c>
      <c r="O33" s="663">
        <v>12.056884762499999</v>
      </c>
      <c r="P33" s="663">
        <v>0.52512930240367528</v>
      </c>
      <c r="Q33" s="663"/>
      <c r="T33" s="657" t="s">
        <v>552</v>
      </c>
      <c r="U33" s="665">
        <v>0.22040740101462777</v>
      </c>
      <c r="V33" s="665"/>
    </row>
    <row r="34" spans="1:22">
      <c r="B34" s="159"/>
      <c r="C34" s="159"/>
      <c r="D34" s="159"/>
      <c r="E34" s="159"/>
      <c r="F34" s="159"/>
      <c r="G34" s="159"/>
      <c r="H34" s="159"/>
      <c r="I34" s="159"/>
      <c r="J34" s="159"/>
      <c r="K34" s="159"/>
      <c r="L34" s="662" t="s">
        <v>86</v>
      </c>
      <c r="M34" s="663" t="s">
        <v>84</v>
      </c>
      <c r="N34" s="664">
        <v>144.47999999999999</v>
      </c>
      <c r="O34" s="663">
        <v>35.931422802499995</v>
      </c>
      <c r="P34" s="663">
        <v>0.33426718661157107</v>
      </c>
      <c r="Q34" s="663"/>
      <c r="S34" s="657" t="s">
        <v>84</v>
      </c>
      <c r="T34" s="657" t="s">
        <v>85</v>
      </c>
      <c r="U34" s="665">
        <v>0.3160442125075017</v>
      </c>
      <c r="V34" s="665">
        <v>0.30537694399999998</v>
      </c>
    </row>
    <row r="35" spans="1:22">
      <c r="A35" s="157"/>
      <c r="B35" s="159"/>
      <c r="C35" s="159"/>
      <c r="D35" s="159"/>
      <c r="E35" s="159"/>
      <c r="F35" s="159"/>
      <c r="G35" s="159"/>
      <c r="H35" s="159"/>
      <c r="I35" s="159"/>
      <c r="J35" s="159"/>
      <c r="K35" s="159"/>
      <c r="L35" s="662" t="s">
        <v>528</v>
      </c>
      <c r="M35" s="663" t="s">
        <v>84</v>
      </c>
      <c r="N35" s="664">
        <v>44.54</v>
      </c>
      <c r="O35" s="663">
        <v>8.9048775199999994</v>
      </c>
      <c r="P35" s="663">
        <v>0.26872297705095333</v>
      </c>
      <c r="Q35" s="663"/>
      <c r="T35" s="657" t="s">
        <v>262</v>
      </c>
      <c r="U35" s="665">
        <v>0.27462113953189304</v>
      </c>
      <c r="V35" s="665">
        <v>0.26222473400000001</v>
      </c>
    </row>
    <row r="36" spans="1:22">
      <c r="A36" s="157"/>
      <c r="B36" s="159"/>
      <c r="C36" s="159"/>
      <c r="D36" s="159"/>
      <c r="E36" s="159"/>
      <c r="F36" s="159"/>
      <c r="G36" s="159"/>
      <c r="H36" s="159"/>
      <c r="I36" s="159"/>
      <c r="J36" s="159"/>
      <c r="K36" s="159"/>
      <c r="L36" s="662" t="s">
        <v>262</v>
      </c>
      <c r="M36" s="663" t="s">
        <v>84</v>
      </c>
      <c r="N36" s="664">
        <v>20</v>
      </c>
      <c r="O36" s="663">
        <v>4.5183410000000004</v>
      </c>
      <c r="P36" s="663">
        <v>0.30365194892473119</v>
      </c>
      <c r="Q36" s="663"/>
      <c r="T36" s="657" t="s">
        <v>261</v>
      </c>
      <c r="U36" s="665">
        <v>0.25872447455847053</v>
      </c>
      <c r="V36" s="665">
        <v>0.24703975</v>
      </c>
    </row>
    <row r="37" spans="1:22">
      <c r="A37" s="157"/>
      <c r="B37" s="159"/>
      <c r="C37" s="159"/>
      <c r="D37" s="159"/>
      <c r="E37" s="159"/>
      <c r="F37" s="159"/>
      <c r="G37" s="159"/>
      <c r="H37" s="159"/>
      <c r="I37" s="159"/>
      <c r="J37" s="159"/>
      <c r="K37" s="159"/>
      <c r="L37" s="662" t="s">
        <v>85</v>
      </c>
      <c r="M37" s="663" t="s">
        <v>84</v>
      </c>
      <c r="N37" s="664">
        <v>16</v>
      </c>
      <c r="O37" s="663">
        <v>4.2114220475000002</v>
      </c>
      <c r="P37" s="663">
        <v>0.35378209404401884</v>
      </c>
      <c r="Q37" s="663"/>
      <c r="T37" s="657" t="s">
        <v>263</v>
      </c>
      <c r="U37" s="665">
        <v>0.24086052537722907</v>
      </c>
      <c r="V37" s="665">
        <v>0.24070915900000001</v>
      </c>
    </row>
    <row r="38" spans="1:22" ht="11.25" customHeight="1">
      <c r="A38" s="157"/>
      <c r="B38" s="159"/>
      <c r="C38" s="159"/>
      <c r="D38" s="159"/>
      <c r="E38" s="159"/>
      <c r="F38" s="159"/>
      <c r="G38" s="159"/>
      <c r="H38" s="159"/>
      <c r="I38" s="159"/>
      <c r="J38" s="159"/>
      <c r="K38" s="159"/>
      <c r="L38" s="667" t="s">
        <v>263</v>
      </c>
      <c r="M38" s="667" t="s">
        <v>84</v>
      </c>
      <c r="N38" s="664">
        <v>20</v>
      </c>
      <c r="O38" s="663">
        <v>3.8511682999999999</v>
      </c>
      <c r="P38" s="663">
        <v>0.25881507392473119</v>
      </c>
      <c r="Q38" s="667"/>
      <c r="T38" s="657" t="s">
        <v>86</v>
      </c>
      <c r="U38" s="665">
        <v>0.22705322945137815</v>
      </c>
      <c r="V38" s="665"/>
    </row>
    <row r="39" spans="1:22">
      <c r="A39" s="157"/>
      <c r="B39" s="159"/>
      <c r="C39" s="159"/>
      <c r="D39" s="159"/>
      <c r="E39" s="159"/>
      <c r="F39" s="159"/>
      <c r="G39" s="159"/>
      <c r="H39" s="159"/>
      <c r="I39" s="159"/>
      <c r="J39" s="159"/>
      <c r="K39" s="159"/>
      <c r="L39" s="656" t="s">
        <v>261</v>
      </c>
      <c r="M39" s="656" t="s">
        <v>84</v>
      </c>
      <c r="N39" s="664">
        <v>20</v>
      </c>
      <c r="O39" s="663">
        <v>3.8199425924999999</v>
      </c>
      <c r="P39" s="663">
        <v>0.25671657207661291</v>
      </c>
      <c r="T39" s="657" t="s">
        <v>87</v>
      </c>
      <c r="U39" s="665">
        <v>0.2186354177169067</v>
      </c>
      <c r="V39" s="665">
        <v>0.220692156</v>
      </c>
    </row>
    <row r="40" spans="1:22">
      <c r="A40" s="157"/>
      <c r="B40" s="159"/>
      <c r="C40" s="159"/>
      <c r="D40" s="159"/>
      <c r="E40" s="159"/>
      <c r="F40" s="159"/>
      <c r="G40" s="159"/>
      <c r="H40" s="159"/>
      <c r="I40" s="159"/>
      <c r="J40" s="159"/>
      <c r="K40" s="159"/>
      <c r="L40" s="656" t="s">
        <v>87</v>
      </c>
      <c r="M40" s="656" t="s">
        <v>84</v>
      </c>
      <c r="N40" s="664">
        <v>20</v>
      </c>
      <c r="O40" s="663">
        <v>3.8136305424999999</v>
      </c>
      <c r="P40" s="663">
        <v>0.25629237516801073</v>
      </c>
      <c r="T40" s="657" t="s">
        <v>528</v>
      </c>
      <c r="U40" s="665">
        <v>0.14601371456268714</v>
      </c>
      <c r="V40" s="665"/>
    </row>
    <row r="41" spans="1:22">
      <c r="A41" s="157"/>
      <c r="B41" s="159"/>
      <c r="C41" s="159"/>
      <c r="D41" s="159"/>
      <c r="E41" s="159"/>
      <c r="F41" s="159"/>
      <c r="G41" s="159"/>
      <c r="H41" s="159"/>
      <c r="I41" s="159"/>
      <c r="J41" s="159"/>
      <c r="K41" s="159"/>
      <c r="L41" s="656" t="s">
        <v>88</v>
      </c>
      <c r="M41" s="656" t="s">
        <v>513</v>
      </c>
      <c r="N41" s="664">
        <v>12.74105</v>
      </c>
      <c r="O41" s="663">
        <v>7.4378331324999998</v>
      </c>
      <c r="P41" s="663">
        <v>0.78463608130278095</v>
      </c>
      <c r="S41" s="657" t="s">
        <v>264</v>
      </c>
      <c r="T41" s="657" t="s">
        <v>89</v>
      </c>
      <c r="U41" s="665">
        <v>0.87925993638093392</v>
      </c>
      <c r="V41" s="665">
        <v>0.76556309099999997</v>
      </c>
    </row>
    <row r="42" spans="1:22">
      <c r="A42" s="157"/>
      <c r="B42" s="159"/>
      <c r="C42" s="159"/>
      <c r="D42" s="159"/>
      <c r="E42" s="159"/>
      <c r="F42" s="159"/>
      <c r="G42" s="159"/>
      <c r="H42" s="159"/>
      <c r="I42" s="159"/>
      <c r="J42" s="159"/>
      <c r="K42" s="159"/>
      <c r="L42" s="656" t="s">
        <v>89</v>
      </c>
      <c r="M42" s="656" t="s">
        <v>513</v>
      </c>
      <c r="N42" s="664">
        <v>4.2625000000000002</v>
      </c>
      <c r="O42" s="663">
        <v>1.99217815</v>
      </c>
      <c r="P42" s="663">
        <v>0.62818974868350519</v>
      </c>
      <c r="T42" s="657" t="s">
        <v>88</v>
      </c>
      <c r="U42" s="665">
        <v>0.77975898056232029</v>
      </c>
      <c r="V42" s="665">
        <v>0.75706932800000004</v>
      </c>
    </row>
    <row r="43" spans="1:22" ht="26.25" customHeight="1">
      <c r="A43" s="915" t="str">
        <f>"Gráfico N° 8: Producción de energía eléctrica (GWh) y factor de planta de las centrales con recursos energético renovables por tipo de generación en "&amp;'1. Resumen'!Q4&amp;" "&amp;'1. Resumen'!Q5</f>
        <v>Gráfico N° 8: Producción de energía eléctrica (GWh) y factor de planta de las centrales con recursos energético renovables por tipo de generación en agosto 2018</v>
      </c>
      <c r="B43" s="915"/>
      <c r="C43" s="915"/>
      <c r="D43" s="915"/>
      <c r="E43" s="915"/>
      <c r="F43" s="915"/>
      <c r="G43" s="915"/>
      <c r="H43" s="915"/>
      <c r="I43" s="915"/>
      <c r="J43" s="915"/>
      <c r="K43" s="915"/>
      <c r="L43" s="656" t="s">
        <v>90</v>
      </c>
      <c r="M43" s="656" t="s">
        <v>513</v>
      </c>
      <c r="N43" s="664">
        <v>2.9537</v>
      </c>
      <c r="O43" s="663">
        <v>0.55370792499999999</v>
      </c>
      <c r="P43" s="663">
        <v>0.25196569793453882</v>
      </c>
      <c r="T43" s="657" t="s">
        <v>718</v>
      </c>
      <c r="U43" s="665">
        <v>0.72763888888888895</v>
      </c>
      <c r="V43" s="665"/>
    </row>
    <row r="44" spans="1:22">
      <c r="A44" s="157"/>
      <c r="B44" s="159"/>
      <c r="C44" s="159"/>
      <c r="D44" s="159"/>
      <c r="E44" s="159"/>
      <c r="F44" s="159"/>
      <c r="G44" s="159"/>
      <c r="H44" s="159"/>
      <c r="I44" s="159"/>
      <c r="J44" s="159"/>
      <c r="K44" s="159"/>
      <c r="L44" s="656" t="s">
        <v>718</v>
      </c>
      <c r="M44" s="656" t="s">
        <v>513</v>
      </c>
      <c r="N44" s="664">
        <v>2.4</v>
      </c>
      <c r="O44" s="663">
        <v>0.12573599999999999</v>
      </c>
      <c r="P44" s="663">
        <v>0.72763888888888895</v>
      </c>
      <c r="T44" s="657" t="s">
        <v>90</v>
      </c>
      <c r="U44" s="665">
        <v>0.37157213360374353</v>
      </c>
      <c r="V44" s="665">
        <v>0.39890024699999999</v>
      </c>
    </row>
    <row r="45" spans="1:22" ht="12">
      <c r="A45" s="157"/>
      <c r="B45" s="159"/>
      <c r="C45" s="919" t="str">
        <f>"Factor de planta de las centrales RER  Acumulado al "&amp;'1. Resumen'!Q7&amp;" de "&amp;'1. Resumen'!Q4</f>
        <v>Factor de planta de las centrales RER  Acumulado al 31 de agosto</v>
      </c>
      <c r="D45" s="919"/>
      <c r="E45" s="919"/>
      <c r="F45" s="919"/>
      <c r="G45" s="919"/>
      <c r="H45" s="919"/>
      <c r="I45" s="919"/>
      <c r="J45" s="159"/>
      <c r="K45" s="159"/>
    </row>
    <row r="46" spans="1:22">
      <c r="A46" s="157"/>
      <c r="B46" s="159"/>
      <c r="C46" s="159"/>
      <c r="D46" s="159"/>
      <c r="E46" s="159"/>
      <c r="F46" s="159"/>
      <c r="G46" s="159"/>
      <c r="H46" s="159"/>
      <c r="I46" s="159"/>
      <c r="J46" s="159"/>
      <c r="K46" s="159"/>
    </row>
    <row r="47" spans="1:22">
      <c r="A47" s="157"/>
      <c r="B47" s="159"/>
      <c r="C47" s="159"/>
      <c r="D47" s="159"/>
      <c r="E47" s="159"/>
      <c r="F47" s="159"/>
      <c r="G47" s="159"/>
      <c r="H47" s="159"/>
      <c r="I47" s="159"/>
      <c r="J47" s="159"/>
      <c r="K47" s="159"/>
    </row>
    <row r="48" spans="1:22">
      <c r="A48" s="157"/>
      <c r="B48" s="159"/>
      <c r="C48" s="159"/>
      <c r="D48" s="159"/>
      <c r="E48" s="159"/>
      <c r="F48" s="159"/>
      <c r="G48" s="159"/>
      <c r="H48" s="159"/>
      <c r="I48" s="159"/>
      <c r="J48" s="159"/>
      <c r="K48" s="159"/>
    </row>
    <row r="49" spans="1:11">
      <c r="A49" s="157"/>
      <c r="B49" s="159"/>
      <c r="C49" s="159"/>
      <c r="D49" s="159"/>
      <c r="E49" s="159"/>
      <c r="F49" s="159"/>
      <c r="G49" s="159"/>
      <c r="H49" s="159"/>
      <c r="I49" s="159"/>
      <c r="J49" s="159"/>
      <c r="K49" s="159"/>
    </row>
    <row r="50" spans="1:11">
      <c r="A50" s="157"/>
      <c r="B50" s="159"/>
      <c r="C50" s="159"/>
      <c r="D50" s="159"/>
      <c r="E50" s="159"/>
      <c r="F50" s="159"/>
      <c r="G50" s="159"/>
      <c r="H50" s="159"/>
      <c r="I50" s="159"/>
      <c r="J50" s="159"/>
      <c r="K50" s="159"/>
    </row>
    <row r="51" spans="1:11">
      <c r="A51" s="157"/>
      <c r="B51" s="159"/>
      <c r="C51" s="159"/>
      <c r="D51" s="159"/>
      <c r="E51" s="159"/>
      <c r="F51" s="159"/>
      <c r="G51" s="159"/>
      <c r="H51" s="159"/>
      <c r="I51" s="159"/>
      <c r="J51" s="159"/>
      <c r="K51" s="159"/>
    </row>
    <row r="52" spans="1:11">
      <c r="A52" s="157"/>
      <c r="B52" s="159"/>
      <c r="C52" s="159"/>
      <c r="D52" s="159"/>
      <c r="E52" s="159"/>
      <c r="F52" s="159"/>
      <c r="G52" s="159"/>
      <c r="H52" s="159"/>
      <c r="I52" s="159"/>
      <c r="J52" s="159"/>
      <c r="K52" s="159"/>
    </row>
    <row r="53" spans="1:11">
      <c r="B53" s="159"/>
      <c r="C53" s="159"/>
      <c r="D53" s="159"/>
      <c r="E53" s="159"/>
      <c r="F53" s="159"/>
      <c r="G53" s="159"/>
      <c r="H53" s="159"/>
      <c r="I53" s="159"/>
      <c r="J53" s="159"/>
      <c r="K53" s="159"/>
    </row>
    <row r="64" spans="1:11">
      <c r="A64" s="316" t="str">
        <f>"Gráfico N° 9: factor de planta de las centrales con recursos energético renovables en el SEIN en "&amp;'1. Resumen'!Q4</f>
        <v>Gráfico N° 9: factor de planta de las centrales con recursos energético renovables en el SEIN en agosto</v>
      </c>
    </row>
  </sheetData>
  <mergeCells count="3">
    <mergeCell ref="A43:K43"/>
    <mergeCell ref="A2:K2"/>
    <mergeCell ref="C45:I45"/>
  </mergeCells>
  <pageMargins left="0.7" right="0.59782608695652173" top="0.86956521739130432" bottom="0.61458333333333337" header="0.3" footer="0.3"/>
  <pageSetup orientation="portrait" r:id="rId1"/>
  <headerFooter>
    <oddHeader>&amp;R&amp;7Informe de la Operación Mensual - Agosto 2018
INFSGI-MES-08-2018
10/09/2018
Versión: 01</oddHeader>
    <oddFooter>&amp;L&amp;7COES, 2018&amp;C6&amp;R&amp;7Dirección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BCF9-2029-4238-BBFC-D23F9CC4BAF5}">
  <sheetPr>
    <tabColor theme="4"/>
  </sheetPr>
  <dimension ref="A1:N72"/>
  <sheetViews>
    <sheetView showGridLines="0" view="pageBreakPreview" zoomScale="145" zoomScaleNormal="100" zoomScaleSheetLayoutView="145" zoomScalePageLayoutView="145" workbookViewId="0">
      <selection activeCell="Q15" sqref="Q15"/>
    </sheetView>
  </sheetViews>
  <sheetFormatPr defaultRowHeight="11.25"/>
  <cols>
    <col min="1" max="1" width="30.1640625" style="3" customWidth="1"/>
    <col min="2" max="3" width="9.5" style="3" bestFit="1" customWidth="1"/>
    <col min="4" max="4" width="10.1640625" style="3" bestFit="1" customWidth="1"/>
    <col min="5" max="9" width="9.33203125" style="3"/>
    <col min="10" max="10" width="9.33203125" style="3" customWidth="1"/>
    <col min="11" max="11" width="22.83203125" style="3" customWidth="1"/>
    <col min="12" max="12" width="19.1640625" style="3" customWidth="1"/>
    <col min="13" max="14" width="9.5" style="3" bestFit="1" customWidth="1"/>
    <col min="15" max="16384" width="9.33203125" style="3"/>
  </cols>
  <sheetData>
    <row r="1" spans="1:14" ht="11.25" customHeight="1"/>
    <row r="2" spans="1:14" ht="11.25" customHeight="1">
      <c r="A2" s="916" t="s">
        <v>266</v>
      </c>
      <c r="B2" s="916"/>
      <c r="C2" s="916"/>
      <c r="D2" s="916"/>
      <c r="E2" s="916"/>
      <c r="F2" s="916"/>
      <c r="G2" s="916"/>
      <c r="H2" s="916"/>
      <c r="I2" s="916"/>
      <c r="J2" s="84"/>
    </row>
    <row r="3" spans="1:14" ht="6" customHeight="1">
      <c r="A3" s="84"/>
      <c r="B3" s="84"/>
      <c r="C3" s="84"/>
      <c r="D3" s="84"/>
      <c r="E3" s="84"/>
      <c r="F3" s="84"/>
      <c r="G3" s="84"/>
      <c r="H3" s="84"/>
      <c r="I3" s="84"/>
      <c r="J3" s="84"/>
      <c r="K3" s="507"/>
      <c r="L3" s="507"/>
    </row>
    <row r="4" spans="1:14" ht="11.25" customHeight="1">
      <c r="A4" s="922" t="s">
        <v>278</v>
      </c>
      <c r="B4" s="923" t="str">
        <f>+'1. Resumen'!Q4</f>
        <v>agosto</v>
      </c>
      <c r="C4" s="924"/>
      <c r="D4" s="924"/>
      <c r="E4" s="159"/>
      <c r="F4" s="159"/>
      <c r="G4" s="925" t="s">
        <v>279</v>
      </c>
      <c r="H4" s="925"/>
      <c r="I4" s="925"/>
      <c r="J4" s="159"/>
      <c r="K4" s="160"/>
      <c r="L4" s="508"/>
      <c r="M4" s="509">
        <v>2018</v>
      </c>
      <c r="N4" s="509">
        <v>2017</v>
      </c>
    </row>
    <row r="5" spans="1:14" ht="11.25" customHeight="1">
      <c r="A5" s="922"/>
      <c r="B5" s="791">
        <f>+'1. Resumen'!Q5</f>
        <v>2018</v>
      </c>
      <c r="C5" s="792">
        <f>+B5-1</f>
        <v>2017</v>
      </c>
      <c r="D5" s="792" t="s">
        <v>35</v>
      </c>
      <c r="E5" s="159"/>
      <c r="F5" s="159"/>
      <c r="G5" s="159"/>
      <c r="H5" s="159"/>
      <c r="I5" s="159"/>
      <c r="J5" s="159"/>
      <c r="K5" s="510"/>
      <c r="L5" s="515" t="s">
        <v>128</v>
      </c>
      <c r="M5" s="512"/>
      <c r="N5" s="512">
        <v>0</v>
      </c>
    </row>
    <row r="6" spans="1:14" ht="10.5" customHeight="1">
      <c r="A6" s="591" t="s">
        <v>92</v>
      </c>
      <c r="B6" s="635">
        <v>669.88341770750003</v>
      </c>
      <c r="C6" s="636">
        <v>827.9529029025</v>
      </c>
      <c r="D6" s="592">
        <f>IF(C6=0,"",B6/C6-1)</f>
        <v>-0.19091603476582564</v>
      </c>
      <c r="E6" s="159"/>
      <c r="F6" s="159"/>
      <c r="G6" s="159"/>
      <c r="H6" s="159"/>
      <c r="I6" s="159"/>
      <c r="J6" s="159"/>
      <c r="K6" s="513"/>
      <c r="L6" s="515" t="s">
        <v>578</v>
      </c>
      <c r="M6" s="512"/>
      <c r="N6" s="512">
        <v>1.5229932499999999</v>
      </c>
    </row>
    <row r="7" spans="1:14" ht="10.5" customHeight="1">
      <c r="A7" s="593" t="s">
        <v>557</v>
      </c>
      <c r="B7" s="637">
        <v>657.63196068750005</v>
      </c>
      <c r="C7" s="637">
        <v>323.23935239999997</v>
      </c>
      <c r="D7" s="594">
        <f t="shared" ref="D7:D59" si="0">IF(C7=0,"",B7/C7-1)</f>
        <v>1.0345046350473388</v>
      </c>
      <c r="E7" s="625"/>
      <c r="F7" s="159"/>
      <c r="G7" s="159"/>
      <c r="H7" s="159"/>
      <c r="I7" s="159"/>
      <c r="J7" s="159"/>
      <c r="K7" s="160"/>
      <c r="L7" s="512" t="s">
        <v>129</v>
      </c>
      <c r="M7" s="512"/>
      <c r="N7" s="512">
        <v>185.2573822125</v>
      </c>
    </row>
    <row r="8" spans="1:14" ht="10.5" customHeight="1">
      <c r="A8" s="591" t="s">
        <v>94</v>
      </c>
      <c r="B8" s="636">
        <v>597.16367982249994</v>
      </c>
      <c r="C8" s="636">
        <v>548.61848499749988</v>
      </c>
      <c r="D8" s="592">
        <f t="shared" si="0"/>
        <v>8.8486254387183605E-2</v>
      </c>
      <c r="E8" s="159"/>
      <c r="F8" s="159"/>
      <c r="G8" s="159"/>
      <c r="H8" s="159"/>
      <c r="I8" s="159"/>
      <c r="J8" s="159"/>
      <c r="K8" s="160"/>
      <c r="L8" s="515" t="s">
        <v>127</v>
      </c>
      <c r="M8" s="512">
        <v>0</v>
      </c>
      <c r="N8" s="512">
        <v>0</v>
      </c>
    </row>
    <row r="9" spans="1:14" ht="10.5" customHeight="1">
      <c r="A9" s="593" t="s">
        <v>93</v>
      </c>
      <c r="B9" s="637">
        <v>514.67862350750011</v>
      </c>
      <c r="C9" s="637">
        <v>501.40857443250002</v>
      </c>
      <c r="D9" s="594">
        <f t="shared" si="0"/>
        <v>2.6465540781825059E-2</v>
      </c>
      <c r="E9" s="159"/>
      <c r="F9" s="159"/>
      <c r="G9" s="159"/>
      <c r="H9" s="159"/>
      <c r="I9" s="159"/>
      <c r="J9" s="159"/>
      <c r="K9" s="160"/>
      <c r="L9" s="515" t="s">
        <v>275</v>
      </c>
      <c r="M9" s="512">
        <v>0</v>
      </c>
      <c r="N9" s="512">
        <v>3.0188575475000001</v>
      </c>
    </row>
    <row r="10" spans="1:14" ht="10.5" customHeight="1">
      <c r="A10" s="591" t="s">
        <v>271</v>
      </c>
      <c r="B10" s="636">
        <v>388.93439438250005</v>
      </c>
      <c r="C10" s="636">
        <v>411.35341860999995</v>
      </c>
      <c r="D10" s="592">
        <f t="shared" si="0"/>
        <v>-5.4500639142019969E-2</v>
      </c>
      <c r="E10" s="159"/>
      <c r="F10" s="159"/>
      <c r="G10" s="159"/>
      <c r="H10" s="159"/>
      <c r="I10" s="159"/>
      <c r="J10" s="159"/>
      <c r="K10" s="510"/>
      <c r="L10" s="512" t="s">
        <v>124</v>
      </c>
      <c r="M10" s="512">
        <v>0.2063930725</v>
      </c>
      <c r="N10" s="512">
        <v>0.22051265249999999</v>
      </c>
    </row>
    <row r="11" spans="1:14" ht="10.5" customHeight="1">
      <c r="A11" s="593" t="s">
        <v>105</v>
      </c>
      <c r="B11" s="637">
        <v>148.1309641725</v>
      </c>
      <c r="C11" s="637">
        <v>137.3482827</v>
      </c>
      <c r="D11" s="594">
        <f t="shared" si="0"/>
        <v>7.8506125162495444E-2</v>
      </c>
      <c r="E11" s="159"/>
      <c r="F11" s="159"/>
      <c r="G11" s="159"/>
      <c r="H11" s="159"/>
      <c r="I11" s="159"/>
      <c r="J11" s="159"/>
      <c r="K11" s="513"/>
      <c r="L11" s="512" t="s">
        <v>713</v>
      </c>
      <c r="M11" s="512">
        <v>0.26512574999999999</v>
      </c>
      <c r="N11" s="512"/>
    </row>
    <row r="12" spans="1:14" ht="10.5" customHeight="1">
      <c r="A12" s="591" t="s">
        <v>95</v>
      </c>
      <c r="B12" s="636">
        <v>142.92843044499998</v>
      </c>
      <c r="C12" s="636">
        <v>150.4925199475</v>
      </c>
      <c r="D12" s="592">
        <f t="shared" si="0"/>
        <v>-5.0262229014031989E-2</v>
      </c>
      <c r="E12" s="159"/>
      <c r="F12" s="159"/>
      <c r="G12" s="159"/>
      <c r="H12" s="159"/>
      <c r="I12" s="159"/>
      <c r="J12" s="159"/>
      <c r="K12" s="513"/>
      <c r="L12" s="512" t="s">
        <v>123</v>
      </c>
      <c r="M12" s="512">
        <v>0.45813150999999996</v>
      </c>
      <c r="N12" s="512">
        <v>0.31773877499999997</v>
      </c>
    </row>
    <row r="13" spans="1:14" ht="10.5" customHeight="1">
      <c r="A13" s="593" t="s">
        <v>103</v>
      </c>
      <c r="B13" s="637">
        <v>86.228079077499999</v>
      </c>
      <c r="C13" s="637"/>
      <c r="D13" s="595" t="str">
        <f t="shared" si="0"/>
        <v/>
      </c>
      <c r="E13" s="159"/>
      <c r="F13" s="159"/>
      <c r="G13" s="159"/>
      <c r="H13" s="159"/>
      <c r="I13" s="159"/>
      <c r="J13" s="159"/>
      <c r="K13" s="513"/>
      <c r="L13" s="515" t="s">
        <v>125</v>
      </c>
      <c r="M13" s="512">
        <v>0.72900189500000001</v>
      </c>
      <c r="N13" s="512">
        <v>1.80556173</v>
      </c>
    </row>
    <row r="14" spans="1:14" ht="10.5" customHeight="1">
      <c r="A14" s="591" t="s">
        <v>97</v>
      </c>
      <c r="B14" s="636">
        <v>85.481327607499992</v>
      </c>
      <c r="C14" s="636">
        <v>70.0277021375</v>
      </c>
      <c r="D14" s="592">
        <f t="shared" si="0"/>
        <v>0.22067874567205803</v>
      </c>
      <c r="E14" s="159"/>
      <c r="F14" s="159"/>
      <c r="G14" s="159"/>
      <c r="H14" s="159"/>
      <c r="I14" s="159"/>
      <c r="J14" s="159"/>
      <c r="K14" s="513"/>
      <c r="L14" s="515" t="s">
        <v>126</v>
      </c>
      <c r="M14" s="512">
        <v>1.2879379774999999</v>
      </c>
      <c r="N14" s="512">
        <v>1.4889191675</v>
      </c>
    </row>
    <row r="15" spans="1:14" ht="10.5" customHeight="1">
      <c r="A15" s="593" t="s">
        <v>98</v>
      </c>
      <c r="B15" s="637">
        <v>82.6433125625</v>
      </c>
      <c r="C15" s="637">
        <v>41.822466800000001</v>
      </c>
      <c r="D15" s="594">
        <f t="shared" si="0"/>
        <v>0.97605064659887542</v>
      </c>
      <c r="E15" s="159"/>
      <c r="F15" s="159"/>
      <c r="G15" s="159"/>
      <c r="H15" s="159"/>
      <c r="I15" s="159"/>
      <c r="J15" s="159"/>
      <c r="K15" s="513"/>
      <c r="L15" s="518" t="s">
        <v>122</v>
      </c>
      <c r="M15" s="512">
        <v>1.4575312825000002</v>
      </c>
      <c r="N15" s="512">
        <v>2.0312855000000001</v>
      </c>
    </row>
    <row r="16" spans="1:14" ht="10.5" customHeight="1">
      <c r="A16" s="591" t="s">
        <v>268</v>
      </c>
      <c r="B16" s="636">
        <v>81.841410192500007</v>
      </c>
      <c r="C16" s="636">
        <v>53.945246757500001</v>
      </c>
      <c r="D16" s="592">
        <f t="shared" si="0"/>
        <v>0.51711995239175734</v>
      </c>
      <c r="E16" s="159"/>
      <c r="F16" s="159"/>
      <c r="G16" s="159"/>
      <c r="H16" s="159"/>
      <c r="I16" s="159"/>
      <c r="J16" s="159" t="s">
        <v>8</v>
      </c>
      <c r="K16" s="513"/>
      <c r="L16" s="512" t="s">
        <v>120</v>
      </c>
      <c r="M16" s="512">
        <v>1.8385223449999999</v>
      </c>
      <c r="N16" s="512">
        <v>2.0943279074999999</v>
      </c>
    </row>
    <row r="17" spans="1:14" ht="10.5" customHeight="1">
      <c r="A17" s="593" t="s">
        <v>96</v>
      </c>
      <c r="B17" s="637">
        <v>75.196365619999995</v>
      </c>
      <c r="C17" s="637">
        <v>132.61895015500005</v>
      </c>
      <c r="D17" s="594">
        <f t="shared" si="0"/>
        <v>-0.43298928597976905</v>
      </c>
      <c r="E17" s="159"/>
      <c r="F17" s="159"/>
      <c r="G17" s="159"/>
      <c r="H17" s="159"/>
      <c r="I17" s="159"/>
      <c r="J17" s="159"/>
      <c r="K17" s="513"/>
      <c r="L17" s="512" t="s">
        <v>109</v>
      </c>
      <c r="M17" s="512">
        <v>1.8440929650000002</v>
      </c>
      <c r="N17" s="512">
        <v>3.5660180399999999</v>
      </c>
    </row>
    <row r="18" spans="1:14" ht="10.5" customHeight="1">
      <c r="A18" s="591" t="s">
        <v>101</v>
      </c>
      <c r="B18" s="636">
        <v>69.072626775000003</v>
      </c>
      <c r="C18" s="636">
        <v>64.805748475000001</v>
      </c>
      <c r="D18" s="592">
        <f t="shared" si="0"/>
        <v>6.5841046518366086E-2</v>
      </c>
      <c r="E18" s="159"/>
      <c r="F18" s="159"/>
      <c r="G18" s="159"/>
      <c r="H18" s="159"/>
      <c r="I18" s="159"/>
      <c r="J18" s="159"/>
      <c r="K18" s="517"/>
      <c r="L18" s="512" t="s">
        <v>121</v>
      </c>
      <c r="M18" s="512">
        <v>2.339</v>
      </c>
      <c r="N18" s="512">
        <v>2.2928000000000002</v>
      </c>
    </row>
    <row r="19" spans="1:14" ht="10.5" customHeight="1">
      <c r="A19" s="593" t="s">
        <v>273</v>
      </c>
      <c r="B19" s="637">
        <v>69.015507389999996</v>
      </c>
      <c r="C19" s="637">
        <v>96.914024345000001</v>
      </c>
      <c r="D19" s="594">
        <f t="shared" si="0"/>
        <v>-0.28786872842763489</v>
      </c>
      <c r="E19" s="159"/>
      <c r="F19" s="159"/>
      <c r="G19" s="159"/>
      <c r="H19" s="159"/>
      <c r="I19" s="159"/>
      <c r="J19" s="159"/>
      <c r="K19" s="513"/>
      <c r="L19" s="514" t="s">
        <v>119</v>
      </c>
      <c r="M19" s="512">
        <v>2.5635129825000003</v>
      </c>
      <c r="N19" s="512">
        <v>2.7101479999999998</v>
      </c>
    </row>
    <row r="20" spans="1:14" ht="10.5" customHeight="1">
      <c r="A20" s="591" t="s">
        <v>99</v>
      </c>
      <c r="B20" s="636">
        <v>68.064380529999994</v>
      </c>
      <c r="C20" s="636">
        <v>59.5670712525</v>
      </c>
      <c r="D20" s="592">
        <f t="shared" si="0"/>
        <v>0.14265111745179793</v>
      </c>
      <c r="E20" s="159"/>
      <c r="F20" s="159"/>
      <c r="G20" s="159"/>
      <c r="H20" s="159"/>
      <c r="I20" s="159"/>
      <c r="J20" s="159"/>
      <c r="K20" s="513"/>
      <c r="L20" s="512" t="s">
        <v>579</v>
      </c>
      <c r="M20" s="512">
        <v>2.6808199000000004</v>
      </c>
      <c r="N20" s="512">
        <v>2.22232545</v>
      </c>
    </row>
    <row r="21" spans="1:14" ht="10.5" customHeight="1">
      <c r="A21" s="593" t="s">
        <v>110</v>
      </c>
      <c r="B21" s="637">
        <v>65.572510985000008</v>
      </c>
      <c r="C21" s="637">
        <v>9.7890968775000005</v>
      </c>
      <c r="D21" s="594">
        <f t="shared" si="0"/>
        <v>5.6985250841389483</v>
      </c>
      <c r="E21" s="159"/>
      <c r="F21" s="159"/>
      <c r="G21" s="159"/>
      <c r="H21" s="159"/>
      <c r="I21" s="159"/>
      <c r="J21" s="159"/>
      <c r="K21" s="513"/>
      <c r="L21" s="514" t="s">
        <v>118</v>
      </c>
      <c r="M21" s="512">
        <v>3.2195525324999998</v>
      </c>
      <c r="N21" s="512">
        <v>4.5777515124999999</v>
      </c>
    </row>
    <row r="22" spans="1:14" ht="10.5" customHeight="1">
      <c r="A22" s="591" t="s">
        <v>100</v>
      </c>
      <c r="B22" s="636">
        <v>55.090652457499999</v>
      </c>
      <c r="C22" s="636">
        <v>32.000341345000002</v>
      </c>
      <c r="D22" s="592">
        <f t="shared" si="0"/>
        <v>0.72156452531428439</v>
      </c>
      <c r="E22" s="159"/>
      <c r="F22" s="159"/>
      <c r="G22" s="159"/>
      <c r="H22" s="159"/>
      <c r="I22" s="159"/>
      <c r="J22" s="159"/>
      <c r="K22" s="517"/>
      <c r="L22" s="512" t="s">
        <v>267</v>
      </c>
      <c r="M22" s="512">
        <v>3.784817785</v>
      </c>
      <c r="N22" s="512">
        <v>0</v>
      </c>
    </row>
    <row r="23" spans="1:14" ht="10.5" customHeight="1">
      <c r="A23" s="593" t="s">
        <v>577</v>
      </c>
      <c r="B23" s="637">
        <v>47.673655862499999</v>
      </c>
      <c r="C23" s="637">
        <v>36.933139979999993</v>
      </c>
      <c r="D23" s="594">
        <f t="shared" si="0"/>
        <v>0.29080971421103663</v>
      </c>
      <c r="E23" s="159"/>
      <c r="F23" s="159"/>
      <c r="G23" s="159"/>
      <c r="H23" s="159"/>
      <c r="I23" s="159"/>
      <c r="J23" s="159"/>
      <c r="K23" s="513"/>
      <c r="L23" s="515" t="s">
        <v>117</v>
      </c>
      <c r="M23" s="512">
        <v>3.8136305424999999</v>
      </c>
      <c r="N23" s="512">
        <v>3.5822516775</v>
      </c>
    </row>
    <row r="24" spans="1:14" ht="10.5" customHeight="1">
      <c r="A24" s="591" t="s">
        <v>269</v>
      </c>
      <c r="B24" s="636">
        <v>40.792124494999996</v>
      </c>
      <c r="C24" s="636">
        <v>49.703086249999998</v>
      </c>
      <c r="D24" s="592">
        <f t="shared" si="0"/>
        <v>-0.1792838720352099</v>
      </c>
      <c r="E24" s="159"/>
      <c r="F24" s="159"/>
      <c r="G24" s="159"/>
      <c r="H24" s="159"/>
      <c r="I24" s="159"/>
      <c r="J24" s="159"/>
      <c r="K24" s="513"/>
      <c r="L24" s="515" t="s">
        <v>114</v>
      </c>
      <c r="M24" s="512">
        <v>3.8199425924999999</v>
      </c>
      <c r="N24" s="512">
        <v>3.6330478149999998</v>
      </c>
    </row>
    <row r="25" spans="1:14" ht="10.5" customHeight="1">
      <c r="A25" s="593" t="s">
        <v>104</v>
      </c>
      <c r="B25" s="637">
        <v>40.436329412500001</v>
      </c>
      <c r="C25" s="637">
        <v>51.897870920000003</v>
      </c>
      <c r="D25" s="594">
        <f t="shared" si="0"/>
        <v>-0.22084800983778008</v>
      </c>
      <c r="E25" s="159"/>
      <c r="F25" s="159"/>
      <c r="G25" s="159"/>
      <c r="H25" s="159"/>
      <c r="I25" s="159"/>
      <c r="J25" s="159"/>
      <c r="K25" s="513"/>
      <c r="L25" s="515" t="s">
        <v>116</v>
      </c>
      <c r="M25" s="512">
        <v>3.8511682999999999</v>
      </c>
      <c r="N25" s="512">
        <v>3.8345293875000004</v>
      </c>
    </row>
    <row r="26" spans="1:14" ht="10.5" customHeight="1">
      <c r="A26" s="591" t="s">
        <v>102</v>
      </c>
      <c r="B26" s="636">
        <v>30.663251842499996</v>
      </c>
      <c r="C26" s="636">
        <v>42.186943042500005</v>
      </c>
      <c r="D26" s="592">
        <f t="shared" si="0"/>
        <v>-0.27315776799449065</v>
      </c>
      <c r="E26" s="159"/>
      <c r="F26" s="159"/>
      <c r="G26" s="159"/>
      <c r="H26" s="159"/>
      <c r="I26" s="159"/>
      <c r="J26" s="159"/>
      <c r="K26" s="513"/>
      <c r="L26" s="512" t="s">
        <v>115</v>
      </c>
      <c r="M26" s="512">
        <v>4.2114220475000002</v>
      </c>
      <c r="N26" s="512">
        <v>4.1244202574999997</v>
      </c>
    </row>
    <row r="27" spans="1:14" ht="10.5" customHeight="1">
      <c r="A27" s="593" t="s">
        <v>106</v>
      </c>
      <c r="B27" s="637">
        <v>23.442433000000001</v>
      </c>
      <c r="C27" s="637">
        <v>24.893852437500001</v>
      </c>
      <c r="D27" s="594">
        <f t="shared" si="0"/>
        <v>-5.8304332009038062E-2</v>
      </c>
      <c r="E27" s="159"/>
      <c r="F27" s="159"/>
      <c r="G27" s="159"/>
      <c r="H27" s="159"/>
      <c r="I27" s="159"/>
      <c r="J27" s="159"/>
      <c r="K27" s="513"/>
      <c r="L27" s="515" t="s">
        <v>112</v>
      </c>
      <c r="M27" s="512">
        <v>4.5183410000000004</v>
      </c>
      <c r="N27" s="512">
        <v>4.3260924999999997</v>
      </c>
    </row>
    <row r="28" spans="1:14" ht="10.5" customHeight="1">
      <c r="A28" s="596" t="s">
        <v>107</v>
      </c>
      <c r="B28" s="636">
        <v>20.498671337500003</v>
      </c>
      <c r="C28" s="636">
        <v>20.985056947500002</v>
      </c>
      <c r="D28" s="592">
        <f t="shared" si="0"/>
        <v>-2.317771217952036E-2</v>
      </c>
      <c r="E28" s="159"/>
      <c r="F28" s="159"/>
      <c r="G28" s="159"/>
      <c r="H28" s="159"/>
      <c r="I28" s="159"/>
      <c r="J28" s="159"/>
      <c r="K28" s="513"/>
      <c r="L28" s="515" t="s">
        <v>111</v>
      </c>
      <c r="M28" s="512">
        <v>7.4378331324999998</v>
      </c>
      <c r="N28" s="512">
        <v>7.2833323674999999</v>
      </c>
    </row>
    <row r="29" spans="1:14" ht="10.5" customHeight="1">
      <c r="A29" s="597" t="s">
        <v>113</v>
      </c>
      <c r="B29" s="637">
        <v>18.18601</v>
      </c>
      <c r="C29" s="637">
        <v>5.0616882250000002</v>
      </c>
      <c r="D29" s="594">
        <f t="shared" si="0"/>
        <v>2.5928743912313958</v>
      </c>
      <c r="E29" s="159"/>
      <c r="F29" s="159"/>
      <c r="G29" s="159"/>
      <c r="H29" s="159"/>
      <c r="I29" s="159"/>
      <c r="J29" s="159"/>
      <c r="K29" s="513"/>
      <c r="L29" s="515" t="s">
        <v>277</v>
      </c>
      <c r="M29" s="512">
        <v>8.1850518749999992</v>
      </c>
      <c r="N29" s="512">
        <v>4.7249319974999997</v>
      </c>
    </row>
    <row r="30" spans="1:14" ht="10.5" customHeight="1">
      <c r="A30" s="598" t="s">
        <v>512</v>
      </c>
      <c r="B30" s="636">
        <v>14.74453653</v>
      </c>
      <c r="C30" s="636"/>
      <c r="D30" s="592" t="str">
        <f t="shared" si="0"/>
        <v/>
      </c>
      <c r="E30" s="159"/>
      <c r="F30" s="159"/>
      <c r="G30" s="159"/>
      <c r="H30" s="159"/>
      <c r="I30" s="159"/>
      <c r="J30" s="159"/>
      <c r="K30" s="513"/>
      <c r="L30" s="512" t="s">
        <v>276</v>
      </c>
      <c r="M30" s="512">
        <v>9.6296871350000011</v>
      </c>
      <c r="N30" s="512">
        <v>126.30588842750001</v>
      </c>
    </row>
    <row r="31" spans="1:14" ht="10.5" customHeight="1">
      <c r="A31" s="597" t="s">
        <v>270</v>
      </c>
      <c r="B31" s="637">
        <v>13.2073286125</v>
      </c>
      <c r="C31" s="637">
        <v>5.7755991799999995</v>
      </c>
      <c r="D31" s="594">
        <f t="shared" si="0"/>
        <v>1.2867460502167329</v>
      </c>
      <c r="E31" s="159"/>
      <c r="F31" s="159"/>
      <c r="G31" s="159"/>
      <c r="H31" s="159"/>
      <c r="I31" s="159"/>
      <c r="J31" s="159"/>
      <c r="K31" s="513"/>
      <c r="L31" s="512" t="s">
        <v>576</v>
      </c>
      <c r="M31" s="512">
        <v>9.8935111474999999</v>
      </c>
      <c r="N31" s="512">
        <v>8.8996021175000006</v>
      </c>
    </row>
    <row r="32" spans="1:14" ht="10.5" customHeight="1">
      <c r="A32" s="598" t="s">
        <v>274</v>
      </c>
      <c r="B32" s="636">
        <v>12.986847152500001</v>
      </c>
      <c r="C32" s="636">
        <v>17.337327930000001</v>
      </c>
      <c r="D32" s="592">
        <f t="shared" si="0"/>
        <v>-0.25093144659114719</v>
      </c>
      <c r="E32" s="159"/>
      <c r="F32" s="159"/>
      <c r="G32" s="159"/>
      <c r="H32" s="159"/>
      <c r="I32" s="159"/>
      <c r="J32" s="159"/>
      <c r="K32" s="513"/>
      <c r="L32" s="512" t="s">
        <v>272</v>
      </c>
      <c r="M32" s="512">
        <v>10.9556863025</v>
      </c>
      <c r="N32" s="512">
        <v>9.0396534975000016</v>
      </c>
    </row>
    <row r="33" spans="1:14" ht="10.5" customHeight="1">
      <c r="A33" s="597" t="s">
        <v>108</v>
      </c>
      <c r="B33" s="637">
        <v>12.694129</v>
      </c>
      <c r="C33" s="637">
        <v>11.214147000000001</v>
      </c>
      <c r="D33" s="594">
        <f t="shared" si="0"/>
        <v>0.13197454964697708</v>
      </c>
      <c r="E33" s="159"/>
      <c r="F33" s="159"/>
      <c r="G33" s="159"/>
      <c r="H33" s="159"/>
      <c r="I33" s="159"/>
      <c r="J33" s="159"/>
      <c r="K33" s="513"/>
      <c r="L33" s="515" t="s">
        <v>108</v>
      </c>
      <c r="M33" s="512">
        <v>12.694129</v>
      </c>
      <c r="N33" s="512">
        <v>11.214147000000001</v>
      </c>
    </row>
    <row r="34" spans="1:14" ht="10.5" customHeight="1">
      <c r="A34" s="598" t="s">
        <v>272</v>
      </c>
      <c r="B34" s="636">
        <v>10.9556863025</v>
      </c>
      <c r="C34" s="636">
        <v>9.0396534975000016</v>
      </c>
      <c r="D34" s="592">
        <f>IF(C34=0,"",B34/C34-1)</f>
        <v>0.21195865588541585</v>
      </c>
      <c r="E34" s="159"/>
      <c r="F34" s="159"/>
      <c r="G34" s="159"/>
      <c r="H34" s="159"/>
      <c r="I34" s="159"/>
      <c r="J34" s="159"/>
      <c r="K34" s="519"/>
      <c r="L34" s="515" t="s">
        <v>274</v>
      </c>
      <c r="M34" s="512">
        <v>12.986847152500001</v>
      </c>
      <c r="N34" s="512">
        <v>17.337327930000001</v>
      </c>
    </row>
    <row r="35" spans="1:14" ht="10.5" customHeight="1">
      <c r="A35" s="597" t="s">
        <v>576</v>
      </c>
      <c r="B35" s="637">
        <v>9.8935111474999999</v>
      </c>
      <c r="C35" s="637">
        <v>8.8996021175000006</v>
      </c>
      <c r="D35" s="594"/>
      <c r="E35" s="159"/>
      <c r="F35" s="159"/>
      <c r="G35" s="159"/>
      <c r="H35" s="159"/>
      <c r="I35" s="159"/>
      <c r="J35" s="159"/>
      <c r="K35" s="519"/>
      <c r="L35" s="515" t="s">
        <v>270</v>
      </c>
      <c r="M35" s="512">
        <v>13.2073286125</v>
      </c>
      <c r="N35" s="512">
        <v>5.7755991799999995</v>
      </c>
    </row>
    <row r="36" spans="1:14" ht="10.5" customHeight="1">
      <c r="A36" s="598" t="s">
        <v>276</v>
      </c>
      <c r="B36" s="636">
        <v>9.6296871350000011</v>
      </c>
      <c r="C36" s="636">
        <v>126.30588842750001</v>
      </c>
      <c r="D36" s="592">
        <f t="shared" si="0"/>
        <v>-0.92375900082815643</v>
      </c>
      <c r="E36" s="159"/>
      <c r="F36" s="159"/>
      <c r="G36" s="159"/>
      <c r="H36" s="159"/>
      <c r="I36" s="159"/>
      <c r="J36" s="159"/>
      <c r="K36" s="517"/>
      <c r="L36" s="515" t="s">
        <v>512</v>
      </c>
      <c r="M36" s="512">
        <v>14.74453653</v>
      </c>
      <c r="N36" s="512"/>
    </row>
    <row r="37" spans="1:14" ht="10.5" customHeight="1">
      <c r="A37" s="597" t="s">
        <v>277</v>
      </c>
      <c r="B37" s="637">
        <v>8.1850518749999992</v>
      </c>
      <c r="C37" s="637">
        <v>4.7249319974999997</v>
      </c>
      <c r="D37" s="594">
        <f t="shared" si="0"/>
        <v>0.73231104264162483</v>
      </c>
      <c r="E37" s="159"/>
      <c r="F37" s="159"/>
      <c r="G37" s="159"/>
      <c r="H37" s="159"/>
      <c r="I37" s="159"/>
      <c r="J37" s="159"/>
      <c r="K37" s="517"/>
      <c r="L37" s="518" t="s">
        <v>113</v>
      </c>
      <c r="M37" s="512">
        <v>18.18601</v>
      </c>
      <c r="N37" s="512">
        <v>5.0616882250000002</v>
      </c>
    </row>
    <row r="38" spans="1:14" ht="10.5" customHeight="1">
      <c r="A38" s="598" t="s">
        <v>111</v>
      </c>
      <c r="B38" s="636">
        <v>7.4378331324999998</v>
      </c>
      <c r="C38" s="636">
        <v>7.2833323674999999</v>
      </c>
      <c r="D38" s="592">
        <f t="shared" si="0"/>
        <v>2.1212922492651831E-2</v>
      </c>
      <c r="E38" s="159"/>
      <c r="F38" s="159"/>
      <c r="G38" s="159"/>
      <c r="H38" s="159"/>
      <c r="I38" s="159"/>
      <c r="J38" s="159"/>
      <c r="K38" s="517"/>
      <c r="L38" s="515" t="s">
        <v>107</v>
      </c>
      <c r="M38" s="512">
        <v>20.498671337500003</v>
      </c>
      <c r="N38" s="512">
        <v>20.985056947500002</v>
      </c>
    </row>
    <row r="39" spans="1:14" ht="10.5" customHeight="1">
      <c r="A39" s="597" t="s">
        <v>112</v>
      </c>
      <c r="B39" s="637">
        <v>4.5183410000000004</v>
      </c>
      <c r="C39" s="637">
        <v>4.3260924999999997</v>
      </c>
      <c r="D39" s="594">
        <f t="shared" si="0"/>
        <v>4.4439294813969132E-2</v>
      </c>
      <c r="E39" s="159"/>
      <c r="F39" s="159"/>
      <c r="G39" s="159"/>
      <c r="H39" s="159"/>
      <c r="I39" s="159"/>
      <c r="J39" s="159"/>
      <c r="K39" s="519"/>
      <c r="L39" s="512" t="s">
        <v>106</v>
      </c>
      <c r="M39" s="512">
        <v>23.442433000000001</v>
      </c>
      <c r="N39" s="512">
        <v>24.893852437500001</v>
      </c>
    </row>
    <row r="40" spans="1:14" ht="10.5" customHeight="1">
      <c r="A40" s="598" t="s">
        <v>115</v>
      </c>
      <c r="B40" s="636">
        <v>4.2114220475000002</v>
      </c>
      <c r="C40" s="636">
        <v>4.1244202574999997</v>
      </c>
      <c r="D40" s="592">
        <f t="shared" si="0"/>
        <v>2.1094307701013948E-2</v>
      </c>
      <c r="E40" s="159"/>
      <c r="F40" s="159"/>
      <c r="G40" s="159"/>
      <c r="H40" s="159"/>
      <c r="I40" s="159"/>
      <c r="J40" s="159"/>
      <c r="K40" s="519"/>
      <c r="L40" s="515" t="s">
        <v>102</v>
      </c>
      <c r="M40" s="512">
        <v>30.663251842499996</v>
      </c>
      <c r="N40" s="512">
        <v>42.186943042500005</v>
      </c>
    </row>
    <row r="41" spans="1:14" ht="10.5" customHeight="1">
      <c r="A41" s="597" t="s">
        <v>116</v>
      </c>
      <c r="B41" s="637">
        <v>3.8511682999999999</v>
      </c>
      <c r="C41" s="637">
        <v>3.8345293875000004</v>
      </c>
      <c r="D41" s="594">
        <f t="shared" si="0"/>
        <v>4.3392319678758895E-3</v>
      </c>
      <c r="E41" s="159"/>
      <c r="F41" s="159"/>
      <c r="G41" s="159"/>
      <c r="H41" s="159"/>
      <c r="I41" s="159"/>
      <c r="J41" s="159"/>
      <c r="K41" s="519"/>
      <c r="L41" s="512" t="s">
        <v>104</v>
      </c>
      <c r="M41" s="512">
        <v>40.436329412500001</v>
      </c>
      <c r="N41" s="512">
        <v>51.897870920000003</v>
      </c>
    </row>
    <row r="42" spans="1:14" ht="10.5" customHeight="1">
      <c r="A42" s="598" t="s">
        <v>114</v>
      </c>
      <c r="B42" s="636">
        <v>3.8199425924999999</v>
      </c>
      <c r="C42" s="636">
        <v>3.6330478149999998</v>
      </c>
      <c r="D42" s="592">
        <f t="shared" si="0"/>
        <v>5.1442972131650944E-2</v>
      </c>
      <c r="E42" s="159"/>
      <c r="F42" s="159"/>
      <c r="G42" s="159"/>
      <c r="H42" s="159"/>
      <c r="I42" s="159"/>
      <c r="J42" s="159"/>
      <c r="K42" s="160"/>
      <c r="L42" s="515" t="s">
        <v>269</v>
      </c>
      <c r="M42" s="512">
        <v>40.792124494999996</v>
      </c>
      <c r="N42" s="512">
        <v>49.703086249999998</v>
      </c>
    </row>
    <row r="43" spans="1:14" ht="10.5" customHeight="1">
      <c r="A43" s="597" t="s">
        <v>117</v>
      </c>
      <c r="B43" s="637">
        <v>3.8136305424999999</v>
      </c>
      <c r="C43" s="637">
        <v>3.5822516775</v>
      </c>
      <c r="D43" s="594">
        <f t="shared" si="0"/>
        <v>6.4590343122255423E-2</v>
      </c>
      <c r="E43" s="159"/>
      <c r="F43" s="159"/>
      <c r="G43" s="159"/>
      <c r="H43" s="159"/>
      <c r="I43" s="159"/>
      <c r="J43" s="159"/>
      <c r="L43" s="515" t="s">
        <v>577</v>
      </c>
      <c r="M43" s="512">
        <v>47.673655862499999</v>
      </c>
      <c r="N43" s="512">
        <v>36.933139979999993</v>
      </c>
    </row>
    <row r="44" spans="1:14" ht="10.5" customHeight="1">
      <c r="A44" s="598" t="s">
        <v>267</v>
      </c>
      <c r="B44" s="636">
        <v>3.784817785</v>
      </c>
      <c r="C44" s="636">
        <v>0</v>
      </c>
      <c r="D44" s="592" t="str">
        <f t="shared" si="0"/>
        <v/>
      </c>
      <c r="E44" s="159"/>
      <c r="F44" s="159"/>
      <c r="G44" s="159"/>
      <c r="H44" s="159"/>
      <c r="I44" s="159"/>
      <c r="J44" s="159"/>
      <c r="L44" s="516" t="s">
        <v>100</v>
      </c>
      <c r="M44" s="512">
        <v>55.090652457499999</v>
      </c>
      <c r="N44" s="512">
        <v>32.000341345000002</v>
      </c>
    </row>
    <row r="45" spans="1:14" ht="10.5" customHeight="1">
      <c r="A45" s="597" t="s">
        <v>118</v>
      </c>
      <c r="B45" s="637">
        <v>3.2195525324999998</v>
      </c>
      <c r="C45" s="637">
        <v>4.5777515124999999</v>
      </c>
      <c r="D45" s="594">
        <f t="shared" si="0"/>
        <v>-0.29669565425106725</v>
      </c>
      <c r="E45" s="159"/>
      <c r="F45" s="159"/>
      <c r="G45" s="159"/>
      <c r="H45" s="159"/>
      <c r="I45" s="159"/>
      <c r="J45" s="159"/>
      <c r="L45" s="515" t="s">
        <v>110</v>
      </c>
      <c r="M45" s="512">
        <v>65.572510985000008</v>
      </c>
      <c r="N45" s="512">
        <v>9.7890968775000005</v>
      </c>
    </row>
    <row r="46" spans="1:14" ht="10.5" customHeight="1">
      <c r="A46" s="598" t="s">
        <v>579</v>
      </c>
      <c r="B46" s="636">
        <v>2.6808199000000004</v>
      </c>
      <c r="C46" s="636">
        <v>2.22232545</v>
      </c>
      <c r="D46" s="592">
        <f t="shared" si="0"/>
        <v>0.20631291874914193</v>
      </c>
      <c r="E46" s="159"/>
      <c r="F46" s="159"/>
      <c r="G46" s="159"/>
      <c r="H46" s="159"/>
      <c r="I46" s="159"/>
      <c r="J46" s="159"/>
      <c r="L46" s="515" t="s">
        <v>99</v>
      </c>
      <c r="M46" s="512">
        <v>68.064380529999994</v>
      </c>
      <c r="N46" s="512">
        <v>59.5670712525</v>
      </c>
    </row>
    <row r="47" spans="1:14" ht="10.5" customHeight="1">
      <c r="A47" s="597" t="s">
        <v>119</v>
      </c>
      <c r="B47" s="637">
        <v>2.5635129825000003</v>
      </c>
      <c r="C47" s="637">
        <v>2.7101479999999998</v>
      </c>
      <c r="D47" s="594">
        <f t="shared" si="0"/>
        <v>-5.4105907684746213E-2</v>
      </c>
      <c r="E47" s="159"/>
      <c r="F47" s="159"/>
      <c r="G47" s="159"/>
      <c r="H47" s="159"/>
      <c r="I47" s="159"/>
      <c r="J47" s="159"/>
      <c r="L47" s="515" t="s">
        <v>273</v>
      </c>
      <c r="M47" s="512">
        <v>69.015507389999996</v>
      </c>
      <c r="N47" s="512">
        <v>96.914024345000001</v>
      </c>
    </row>
    <row r="48" spans="1:14" ht="10.5" customHeight="1">
      <c r="A48" s="598" t="s">
        <v>121</v>
      </c>
      <c r="B48" s="636">
        <v>2.339</v>
      </c>
      <c r="C48" s="636">
        <v>2.2928000000000002</v>
      </c>
      <c r="D48" s="592">
        <f t="shared" si="0"/>
        <v>2.0150034891835311E-2</v>
      </c>
      <c r="E48" s="159"/>
      <c r="F48" s="159"/>
      <c r="G48" s="159"/>
      <c r="H48" s="159"/>
      <c r="I48" s="159"/>
      <c r="J48" s="159"/>
      <c r="L48" s="512" t="s">
        <v>101</v>
      </c>
      <c r="M48" s="512">
        <v>69.072626775000003</v>
      </c>
      <c r="N48" s="512">
        <v>64.805748475000001</v>
      </c>
    </row>
    <row r="49" spans="1:14" ht="10.5" customHeight="1">
      <c r="A49" s="597" t="s">
        <v>109</v>
      </c>
      <c r="B49" s="637">
        <v>1.8440929650000002</v>
      </c>
      <c r="C49" s="637">
        <v>3.5660180399999999</v>
      </c>
      <c r="D49" s="594">
        <f t="shared" si="0"/>
        <v>-0.4828705451529347</v>
      </c>
      <c r="E49" s="159"/>
      <c r="F49" s="159"/>
      <c r="G49" s="159"/>
      <c r="H49" s="159"/>
      <c r="I49" s="159"/>
      <c r="J49" s="159"/>
      <c r="L49" s="511" t="s">
        <v>96</v>
      </c>
      <c r="M49" s="512">
        <v>75.196365619999995</v>
      </c>
      <c r="N49" s="512">
        <v>132.61895015500005</v>
      </c>
    </row>
    <row r="50" spans="1:14" ht="10.5" customHeight="1">
      <c r="A50" s="598" t="s">
        <v>120</v>
      </c>
      <c r="B50" s="636">
        <v>1.8385223449999999</v>
      </c>
      <c r="C50" s="636">
        <v>2.0943279074999999</v>
      </c>
      <c r="D50" s="592">
        <f t="shared" si="0"/>
        <v>-0.12214207793532927</v>
      </c>
      <c r="E50" s="159"/>
      <c r="F50" s="159"/>
      <c r="G50" s="159"/>
      <c r="H50" s="159"/>
      <c r="I50" s="159"/>
      <c r="J50" s="159"/>
      <c r="L50" s="515" t="s">
        <v>268</v>
      </c>
      <c r="M50" s="512">
        <v>81.841410192500007</v>
      </c>
      <c r="N50" s="512">
        <v>53.945246757500001</v>
      </c>
    </row>
    <row r="51" spans="1:14" ht="10.5" customHeight="1">
      <c r="A51" s="597" t="s">
        <v>122</v>
      </c>
      <c r="B51" s="637">
        <v>1.4575312825000002</v>
      </c>
      <c r="C51" s="637">
        <v>2.0312855000000001</v>
      </c>
      <c r="D51" s="594">
        <f t="shared" si="0"/>
        <v>-0.28245867826063831</v>
      </c>
      <c r="E51" s="159"/>
      <c r="F51" s="159"/>
      <c r="G51" s="159"/>
      <c r="H51" s="159"/>
      <c r="I51" s="159"/>
      <c r="J51" s="159"/>
      <c r="L51" s="515" t="s">
        <v>98</v>
      </c>
      <c r="M51" s="512">
        <v>82.6433125625</v>
      </c>
      <c r="N51" s="512">
        <v>41.822466800000001</v>
      </c>
    </row>
    <row r="52" spans="1:14" ht="10.5" customHeight="1">
      <c r="A52" s="598" t="s">
        <v>126</v>
      </c>
      <c r="B52" s="636">
        <v>1.2879379774999999</v>
      </c>
      <c r="C52" s="636">
        <v>1.4889191675</v>
      </c>
      <c r="D52" s="592">
        <f t="shared" si="0"/>
        <v>-0.13498462131927658</v>
      </c>
      <c r="E52" s="159"/>
      <c r="F52" s="159"/>
      <c r="G52" s="159"/>
      <c r="H52" s="159"/>
      <c r="I52" s="159"/>
      <c r="J52" s="159"/>
      <c r="L52" s="515" t="s">
        <v>97</v>
      </c>
      <c r="M52" s="512">
        <v>85.481327607499992</v>
      </c>
      <c r="N52" s="512">
        <v>70.0277021375</v>
      </c>
    </row>
    <row r="53" spans="1:14" ht="10.5" customHeight="1">
      <c r="A53" s="597" t="s">
        <v>125</v>
      </c>
      <c r="B53" s="637">
        <v>0.72900189500000001</v>
      </c>
      <c r="C53" s="637">
        <v>1.80556173</v>
      </c>
      <c r="D53" s="594">
        <f t="shared" si="0"/>
        <v>-0.59624648502048161</v>
      </c>
      <c r="E53" s="159"/>
      <c r="F53" s="159"/>
      <c r="G53" s="159"/>
      <c r="H53" s="159"/>
      <c r="I53" s="159"/>
      <c r="J53" s="159"/>
      <c r="L53" s="515" t="s">
        <v>103</v>
      </c>
      <c r="M53" s="512">
        <v>86.228079077499999</v>
      </c>
      <c r="N53" s="512"/>
    </row>
    <row r="54" spans="1:14" ht="10.5" customHeight="1">
      <c r="A54" s="598" t="s">
        <v>123</v>
      </c>
      <c r="B54" s="636">
        <v>0.45813150999999996</v>
      </c>
      <c r="C54" s="636">
        <v>0.31773877499999997</v>
      </c>
      <c r="D54" s="592">
        <f t="shared" si="0"/>
        <v>0.44184955078271448</v>
      </c>
      <c r="E54" s="159"/>
      <c r="F54" s="159"/>
      <c r="G54" s="159"/>
      <c r="H54" s="159"/>
      <c r="I54" s="159"/>
      <c r="J54" s="159"/>
      <c r="L54" s="515" t="s">
        <v>95</v>
      </c>
      <c r="M54" s="512">
        <v>142.92843044499998</v>
      </c>
      <c r="N54" s="512">
        <v>150.4925199475</v>
      </c>
    </row>
    <row r="55" spans="1:14" ht="10.5" customHeight="1">
      <c r="A55" s="597" t="s">
        <v>713</v>
      </c>
      <c r="B55" s="637">
        <v>0.26512574999999999</v>
      </c>
      <c r="C55" s="637"/>
      <c r="D55" s="594" t="str">
        <f t="shared" si="0"/>
        <v/>
      </c>
      <c r="E55" s="159"/>
      <c r="F55" s="159"/>
      <c r="G55" s="159"/>
      <c r="H55" s="159"/>
      <c r="I55" s="159"/>
      <c r="J55" s="159"/>
      <c r="L55" s="515" t="s">
        <v>105</v>
      </c>
      <c r="M55" s="512">
        <v>148.1309641725</v>
      </c>
      <c r="N55" s="512">
        <v>137.3482827</v>
      </c>
    </row>
    <row r="56" spans="1:14" ht="10.5" customHeight="1">
      <c r="A56" s="598" t="s">
        <v>124</v>
      </c>
      <c r="B56" s="636">
        <v>0.2063930725</v>
      </c>
      <c r="C56" s="636">
        <v>0.22051265249999999</v>
      </c>
      <c r="D56" s="592">
        <f t="shared" si="0"/>
        <v>-6.4030702274555429E-2</v>
      </c>
      <c r="E56" s="159"/>
      <c r="F56" s="159"/>
      <c r="G56" s="159"/>
      <c r="H56" s="159"/>
      <c r="I56" s="159"/>
      <c r="J56" s="159"/>
      <c r="L56" s="512" t="s">
        <v>271</v>
      </c>
      <c r="M56" s="512">
        <v>388.93439438250005</v>
      </c>
      <c r="N56" s="512">
        <v>411.35341860999995</v>
      </c>
    </row>
    <row r="57" spans="1:14" ht="10.5" customHeight="1">
      <c r="A57" s="597" t="s">
        <v>127</v>
      </c>
      <c r="B57" s="637">
        <v>0</v>
      </c>
      <c r="C57" s="637">
        <v>0</v>
      </c>
      <c r="D57" s="594" t="str">
        <f t="shared" si="0"/>
        <v/>
      </c>
      <c r="E57" s="159"/>
      <c r="F57" s="159"/>
      <c r="G57" s="159"/>
      <c r="H57" s="159"/>
      <c r="I57" s="159"/>
      <c r="J57" s="159"/>
      <c r="L57" s="515" t="s">
        <v>93</v>
      </c>
      <c r="M57" s="512">
        <v>514.67862350750011</v>
      </c>
      <c r="N57" s="512">
        <v>501.40857443250002</v>
      </c>
    </row>
    <row r="58" spans="1:14" ht="10.5" customHeight="1">
      <c r="A58" s="598" t="s">
        <v>275</v>
      </c>
      <c r="B58" s="636">
        <v>0</v>
      </c>
      <c r="C58" s="636">
        <v>3.0188575475000001</v>
      </c>
      <c r="D58" s="592">
        <f t="shared" si="0"/>
        <v>-1</v>
      </c>
      <c r="E58" s="159"/>
      <c r="F58" s="159"/>
      <c r="G58" s="159"/>
      <c r="H58" s="159"/>
      <c r="I58" s="159"/>
      <c r="J58" s="159"/>
      <c r="L58" s="515" t="s">
        <v>94</v>
      </c>
      <c r="M58" s="512">
        <v>597.16367982249994</v>
      </c>
      <c r="N58" s="512">
        <v>548.61848499749988</v>
      </c>
    </row>
    <row r="59" spans="1:14" ht="10.5" customHeight="1">
      <c r="A59" s="597" t="s">
        <v>129</v>
      </c>
      <c r="B59" s="637"/>
      <c r="C59" s="637">
        <v>185.2573822125</v>
      </c>
      <c r="D59" s="594">
        <f t="shared" si="0"/>
        <v>-1</v>
      </c>
      <c r="E59" s="159"/>
      <c r="F59" s="159"/>
      <c r="G59" s="159"/>
      <c r="H59" s="159"/>
      <c r="I59" s="159"/>
      <c r="J59" s="159"/>
      <c r="L59" s="512" t="s">
        <v>557</v>
      </c>
      <c r="M59" s="512">
        <v>657.63196068750005</v>
      </c>
      <c r="N59" s="512">
        <v>323.23935239999997</v>
      </c>
    </row>
    <row r="60" spans="1:14" ht="10.5" customHeight="1">
      <c r="A60" s="598" t="s">
        <v>578</v>
      </c>
      <c r="B60" s="638"/>
      <c r="C60" s="638">
        <v>1.5229932499999999</v>
      </c>
      <c r="D60" s="599">
        <f>IF(C60=0,"",B60/C60-1)</f>
        <v>-1</v>
      </c>
      <c r="E60" s="159"/>
      <c r="F60" s="159"/>
      <c r="G60" s="159"/>
      <c r="H60" s="159"/>
      <c r="I60" s="159"/>
      <c r="J60" s="159"/>
      <c r="L60" s="515" t="s">
        <v>92</v>
      </c>
      <c r="M60" s="512">
        <v>669.88341770750003</v>
      </c>
      <c r="N60" s="512">
        <v>827.9529029025</v>
      </c>
    </row>
    <row r="61" spans="1:14" ht="10.5" customHeight="1">
      <c r="A61" s="600" t="s">
        <v>128</v>
      </c>
      <c r="B61" s="637"/>
      <c r="C61" s="637">
        <v>0</v>
      </c>
      <c r="D61" s="594"/>
      <c r="E61" s="159"/>
      <c r="F61" s="159"/>
      <c r="G61" s="159"/>
      <c r="H61" s="159"/>
      <c r="I61" s="159"/>
      <c r="J61" s="159"/>
      <c r="L61" s="515"/>
      <c r="M61" s="512"/>
      <c r="N61" s="512"/>
    </row>
    <row r="62" spans="1:14" ht="12" customHeight="1">
      <c r="A62" s="563" t="s">
        <v>44</v>
      </c>
      <c r="B62" s="634">
        <f>SUM(B6:B61)</f>
        <v>4221.8736752399973</v>
      </c>
      <c r="C62" s="634">
        <f>SUM(C6:C61)</f>
        <v>4116.7732678375005</v>
      </c>
      <c r="D62" s="564">
        <f>+B62/C62-1</f>
        <v>2.5529802241867294E-2</v>
      </c>
      <c r="E62" s="159"/>
      <c r="F62" s="159"/>
      <c r="G62" s="159"/>
      <c r="H62" s="159"/>
      <c r="I62" s="159"/>
      <c r="J62" s="159"/>
    </row>
    <row r="63" spans="1:14" ht="36" customHeight="1">
      <c r="A63" s="927" t="str">
        <f>"Cuadro N° 6: Participación de las empresas generadoras del COES en la producción de energía eléctrica (GWh) en "&amp;'1. Resumen'!Q4</f>
        <v>Cuadro N° 6: Participación de las empresas generadoras del COES en la producción de energía eléctrica (GWh) en agosto</v>
      </c>
      <c r="B63" s="927"/>
      <c r="C63" s="927"/>
      <c r="D63" s="174"/>
      <c r="E63" s="926" t="str">
        <f>"Gráfico N° 10: Comparación de producción energética (GWh) de las empresas generadoras del COES en "&amp;'1. Resumen'!Q4</f>
        <v>Gráfico N° 10: Comparación de producción energética (GWh) de las empresas generadoras del COES en agosto</v>
      </c>
      <c r="F63" s="926"/>
      <c r="G63" s="926"/>
      <c r="H63" s="926"/>
      <c r="I63" s="926"/>
      <c r="J63" s="926"/>
    </row>
    <row r="64" spans="1:14" ht="12.75" customHeight="1">
      <c r="A64" s="562"/>
      <c r="B64" s="562"/>
      <c r="C64" s="562"/>
      <c r="D64" s="174"/>
      <c r="E64" s="561"/>
      <c r="F64" s="561"/>
      <c r="G64" s="561"/>
      <c r="H64" s="561"/>
      <c r="I64" s="561"/>
      <c r="J64" s="561"/>
    </row>
    <row r="65" spans="1:10" ht="12.75" customHeight="1">
      <c r="A65" s="928" t="s">
        <v>556</v>
      </c>
      <c r="B65" s="928"/>
      <c r="C65" s="928"/>
      <c r="D65" s="928"/>
      <c r="E65" s="928"/>
      <c r="F65" s="928"/>
      <c r="G65" s="928"/>
      <c r="H65" s="928"/>
      <c r="I65" s="928"/>
      <c r="J65" s="928"/>
    </row>
    <row r="66" spans="1:10" ht="12.75" customHeight="1">
      <c r="A66" s="928" t="s">
        <v>581</v>
      </c>
      <c r="B66" s="928"/>
      <c r="C66" s="928"/>
      <c r="D66" s="928"/>
      <c r="E66" s="928"/>
      <c r="F66" s="928"/>
      <c r="G66" s="928"/>
      <c r="H66" s="928"/>
      <c r="I66" s="928"/>
      <c r="J66" s="928"/>
    </row>
    <row r="67" spans="1:10" ht="12.75" customHeight="1">
      <c r="A67" s="928" t="s">
        <v>574</v>
      </c>
      <c r="B67" s="928"/>
      <c r="C67" s="928"/>
      <c r="D67" s="928"/>
      <c r="E67" s="928"/>
      <c r="F67" s="928"/>
      <c r="G67" s="928"/>
      <c r="H67" s="928"/>
      <c r="I67" s="928"/>
      <c r="J67" s="928"/>
    </row>
    <row r="68" spans="1:10">
      <c r="A68" s="928" t="s">
        <v>575</v>
      </c>
      <c r="B68" s="928"/>
      <c r="C68" s="928"/>
      <c r="D68" s="928"/>
      <c r="E68" s="928"/>
      <c r="F68" s="928"/>
      <c r="G68" s="928"/>
      <c r="H68" s="928"/>
      <c r="I68" s="928"/>
      <c r="J68" s="928"/>
    </row>
    <row r="69" spans="1:10">
      <c r="A69" s="920"/>
      <c r="B69" s="920"/>
      <c r="C69" s="920"/>
      <c r="D69" s="920"/>
      <c r="E69" s="920"/>
      <c r="F69" s="920"/>
      <c r="G69" s="920"/>
      <c r="H69" s="920"/>
      <c r="I69" s="920"/>
      <c r="J69" s="920"/>
    </row>
    <row r="70" spans="1:10">
      <c r="A70" s="921"/>
      <c r="B70" s="921"/>
      <c r="C70" s="921"/>
      <c r="D70" s="921"/>
      <c r="E70" s="921"/>
      <c r="F70" s="921"/>
      <c r="G70" s="921"/>
      <c r="H70" s="921"/>
      <c r="I70" s="921"/>
      <c r="J70" s="921"/>
    </row>
    <row r="71" spans="1:10">
      <c r="A71" s="920"/>
      <c r="B71" s="920"/>
      <c r="C71" s="920"/>
      <c r="D71" s="920"/>
      <c r="E71" s="920"/>
      <c r="F71" s="920"/>
      <c r="G71" s="920"/>
      <c r="H71" s="920"/>
      <c r="I71" s="920"/>
      <c r="J71" s="920"/>
    </row>
    <row r="72" spans="1:10">
      <c r="A72" s="921"/>
      <c r="B72" s="921"/>
      <c r="C72" s="921"/>
      <c r="D72" s="921"/>
      <c r="E72" s="921"/>
      <c r="F72" s="921"/>
      <c r="G72" s="921"/>
      <c r="H72" s="921"/>
      <c r="I72" s="921"/>
      <c r="J72" s="921"/>
    </row>
  </sheetData>
  <autoFilter ref="L4:N61" xr:uid="{3128C184-458A-46DA-932F-AF8150F6A815}">
    <sortState ref="L5:N61">
      <sortCondition ref="M4:M61"/>
    </sortState>
  </autoFilter>
  <mergeCells count="14">
    <mergeCell ref="A69:J69"/>
    <mergeCell ref="A70:J70"/>
    <mergeCell ref="A71:J71"/>
    <mergeCell ref="A72:J72"/>
    <mergeCell ref="A2:I2"/>
    <mergeCell ref="A4:A5"/>
    <mergeCell ref="B4:D4"/>
    <mergeCell ref="G4:I4"/>
    <mergeCell ref="E63:J63"/>
    <mergeCell ref="A63:C63"/>
    <mergeCell ref="A67:J67"/>
    <mergeCell ref="A68:J68"/>
    <mergeCell ref="A65:J65"/>
    <mergeCell ref="A66:J66"/>
  </mergeCells>
  <pageMargins left="0.7" right="0.59782608695652173" top="0.86956521739130432" bottom="0.61458333333333337" header="0.3" footer="0.3"/>
  <pageSetup orientation="portrait" r:id="rId1"/>
  <headerFooter>
    <oddHeader>&amp;R&amp;7Informe de la Operación Mensual - Agosto 2018
INFSGI-MES-08-2018
10/09/2018
Versión: 01</oddHeader>
    <oddFooter>&amp;L&amp;7COES, 2018&amp;C7&amp;R&amp;7Dirección Ejecutiva
Sub Dirección de Gestión de Información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14</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 -2</vt:lpstr>
      <vt:lpstr>27.ANEXO III - 3</vt:lpstr>
      <vt:lpstr>28.ANEXO III - 4</vt:lpstr>
      <vt:lpstr>29.ANEXO III - 5</vt:lpstr>
      <vt:lpstr>30.ANEXO III -6</vt:lpstr>
      <vt:lpstr>31.ANEXOIII - 7</vt:lpstr>
      <vt:lpstr>32.ANEXOIII - 8</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'5. RER'!Print_Area</vt:lpstr>
      <vt:lpstr>'6. FP RER'!Print_Area</vt:lpstr>
      <vt:lpstr>'7. Generacion empresa'!Print_Area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2018-11-15T15:02:23Z</cp:lastPrinted>
  <dcterms:created xsi:type="dcterms:W3CDTF">2018-02-13T14:18:17Z</dcterms:created>
  <dcterms:modified xsi:type="dcterms:W3CDTF">2018-11-15T15:02:35Z</dcterms:modified>
</cp:coreProperties>
</file>