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58813615-79A7-44D4-909D-87F00B58AB8C}" xr6:coauthVersionLast="40" xr6:coauthVersionMax="40" xr10:uidLastSave="{00000000-0000-0000-0000-000000000000}"/>
  <bookViews>
    <workbookView xWindow="0" yWindow="0" windowWidth="25185" windowHeight="10740" tabRatio="645" xr2:uid="{F2B6F377-0267-405F-92D4-AB138E6E385C}"/>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2"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Empresa'!$L$6:$N$63</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30">'29.ANEXO III - 5'!$A$1:$F$10</definedName>
    <definedName name="_xlnm.Print_Area" localSheetId="31">'30.ANEXO III -6'!$A$1:$F$9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9" l="1"/>
  <c r="F46" i="36" l="1"/>
  <c r="F45" i="36"/>
  <c r="F50" i="46"/>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7" i="16" l="1"/>
  <c r="F8" i="16"/>
  <c r="F9" i="16"/>
  <c r="F10" i="16"/>
  <c r="F11" i="16"/>
  <c r="F12" i="16"/>
  <c r="F13" i="16"/>
  <c r="F14" i="16"/>
  <c r="F15" i="16"/>
  <c r="F16" i="16"/>
  <c r="F17" i="16"/>
  <c r="F18" i="16"/>
  <c r="F19" i="16"/>
  <c r="F20" i="16"/>
  <c r="F21" i="16"/>
  <c r="F22" i="16"/>
  <c r="F23" i="16"/>
  <c r="F24" i="16"/>
  <c r="F25" i="16"/>
  <c r="F26" i="16"/>
  <c r="F27" i="16"/>
  <c r="F28" i="16"/>
  <c r="F29" i="16"/>
  <c r="F30" i="16"/>
  <c r="D64" i="13"/>
  <c r="C63" i="11"/>
  <c r="B63" i="11"/>
  <c r="D62" i="11"/>
  <c r="I19" i="8"/>
  <c r="F19" i="8"/>
  <c r="F10" i="7"/>
  <c r="F12" i="7"/>
  <c r="M23" i="6"/>
  <c r="M24" i="6"/>
  <c r="I19" i="6"/>
  <c r="H19" i="6"/>
  <c r="J9" i="12" l="1"/>
  <c r="H9" i="12"/>
  <c r="G9" i="12"/>
  <c r="E9" i="12"/>
  <c r="D9" i="12"/>
  <c r="C9" i="12"/>
  <c r="B9" i="12"/>
  <c r="D63" i="13"/>
  <c r="D62" i="13"/>
  <c r="D61" i="13"/>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3" i="11" l="1"/>
  <c r="E11" i="9" l="1"/>
  <c r="D11" i="9"/>
  <c r="C11" i="9"/>
  <c r="B11" i="9"/>
  <c r="G11" i="9"/>
  <c r="H11" i="9"/>
  <c r="D19" i="8"/>
  <c r="C19" i="8"/>
  <c r="B19" i="8"/>
  <c r="E19" i="8"/>
  <c r="G9" i="21" l="1"/>
  <c r="G10" i="21"/>
  <c r="G14" i="21"/>
  <c r="G8" i="21"/>
  <c r="I7" i="22" l="1"/>
  <c r="I8" i="22"/>
  <c r="I9" i="22"/>
  <c r="I10" i="22"/>
  <c r="I11" i="22"/>
  <c r="B47" i="4" l="1"/>
  <c r="A9" i="4"/>
  <c r="A47" i="21" l="1"/>
  <c r="H12" i="22"/>
  <c r="A64" i="10" l="1"/>
  <c r="A43" i="10"/>
  <c r="A61" i="9"/>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E15" i="21" l="1"/>
  <c r="F15" i="21"/>
  <c r="D15" i="21"/>
  <c r="M26" i="6" l="1"/>
  <c r="F2" i="38" l="1"/>
  <c r="J12" i="22" l="1"/>
  <c r="F9" i="8" l="1"/>
  <c r="C28" i="14" l="1"/>
  <c r="G15" i="21" l="1"/>
  <c r="C64" i="13"/>
  <c r="B64" i="13"/>
  <c r="N29" i="18" l="1"/>
  <c r="N28" i="18"/>
  <c r="N27" i="18"/>
  <c r="N26" i="18"/>
  <c r="N25" i="18"/>
  <c r="N24" i="18"/>
  <c r="N23" i="18"/>
  <c r="N20" i="18"/>
  <c r="N19" i="18"/>
  <c r="N18" i="18"/>
  <c r="N17" i="18"/>
  <c r="N16" i="18"/>
  <c r="N15" i="18"/>
  <c r="N14" i="18"/>
  <c r="N12" i="18"/>
  <c r="N11" i="18"/>
  <c r="N10" i="18"/>
  <c r="N9" i="18"/>
  <c r="N8" i="18"/>
  <c r="B12" i="22" l="1"/>
  <c r="H47" i="4" l="1"/>
  <c r="B36" i="6" l="1"/>
  <c r="A53" i="22" l="1"/>
  <c r="B58" i="18"/>
  <c r="B40" i="18"/>
  <c r="B21" i="18"/>
  <c r="A58" i="12"/>
  <c r="F65" i="13"/>
  <c r="M22" i="6" l="1"/>
  <c r="B18" i="12" l="1"/>
  <c r="C18" i="12"/>
  <c r="D18" i="12"/>
  <c r="E18" i="12"/>
  <c r="G18" i="12"/>
  <c r="H18" i="12"/>
  <c r="J18" i="12"/>
  <c r="H7" i="21" l="1"/>
  <c r="F43" i="6" l="1"/>
  <c r="F45" i="6"/>
  <c r="F11" i="14" l="1"/>
  <c r="F44" i="6" l="1"/>
  <c r="F42" i="6"/>
  <c r="A58" i="7" l="1"/>
  <c r="E41" i="6"/>
  <c r="E64" i="11" l="1"/>
  <c r="A64" i="11"/>
  <c r="C45" i="10"/>
  <c r="D3" i="36" l="1"/>
  <c r="D2" i="45" s="1"/>
  <c r="D2" i="46" s="1"/>
  <c r="C3" i="36"/>
  <c r="C2" i="45" s="1"/>
  <c r="C2" i="46" s="1"/>
  <c r="F2" i="37"/>
  <c r="F3" i="23"/>
  <c r="C2" i="23"/>
  <c r="C1" i="37" s="1"/>
  <c r="C1" i="38" s="1"/>
  <c r="A38" i="22"/>
  <c r="E17" i="22"/>
  <c r="A17" i="22"/>
  <c r="A13" i="22"/>
  <c r="A16" i="21"/>
  <c r="F6" i="21"/>
  <c r="E6" i="21"/>
  <c r="D6" i="21"/>
  <c r="B47" i="18"/>
  <c r="B28" i="18"/>
  <c r="B10" i="18"/>
  <c r="C31" i="16"/>
  <c r="E6" i="16"/>
  <c r="D6" i="16"/>
  <c r="A65" i="13"/>
  <c r="B3" i="13"/>
  <c r="B5" i="11"/>
  <c r="C5" i="11" s="1"/>
  <c r="B4" i="11"/>
  <c r="G6" i="7"/>
  <c r="G4" i="8" s="1"/>
  <c r="G4" i="9" s="1"/>
  <c r="D7" i="7"/>
  <c r="E7" i="7" s="1"/>
  <c r="A58" i="6"/>
  <c r="B47" i="6"/>
  <c r="A20" i="6"/>
  <c r="D5" i="8" l="1"/>
  <c r="C7" i="7"/>
  <c r="B7" i="7" s="1"/>
  <c r="B5" i="8" s="1"/>
  <c r="E4" i="46"/>
  <c r="D4" i="46"/>
  <c r="C4" i="46"/>
  <c r="E3" i="46"/>
  <c r="D3" i="46"/>
  <c r="C3" i="46"/>
  <c r="E4" i="45"/>
  <c r="D4" i="45"/>
  <c r="C4" i="45"/>
  <c r="E3" i="45"/>
  <c r="D3" i="45"/>
  <c r="C3" i="45"/>
  <c r="E5" i="36"/>
  <c r="E4" i="36"/>
  <c r="D4" i="36"/>
  <c r="D5" i="36"/>
  <c r="C5" i="36"/>
  <c r="C4" i="36"/>
  <c r="C6" i="13" l="1"/>
  <c r="B6" i="13"/>
  <c r="C5" i="13"/>
  <c r="B5" i="13"/>
  <c r="C5" i="8" l="1"/>
  <c r="C5" i="9" s="1"/>
  <c r="C7" i="12" s="1"/>
  <c r="D5" i="9"/>
  <c r="D7" i="12" s="1"/>
  <c r="B5" i="9"/>
  <c r="B7" i="12" s="1"/>
  <c r="J23" i="8"/>
  <c r="E23" i="8"/>
  <c r="D23" i="8"/>
  <c r="C23" i="8"/>
  <c r="B23" i="8"/>
  <c r="K22" i="8"/>
  <c r="F22" i="8"/>
  <c r="K21" i="8"/>
  <c r="I21" i="8"/>
  <c r="F21" i="8"/>
  <c r="F8" i="8"/>
  <c r="A2" i="8"/>
  <c r="A4" i="7"/>
  <c r="D41" i="6"/>
  <c r="E46" i="6"/>
  <c r="D46" i="6"/>
  <c r="F39" i="9" l="1"/>
  <c r="F46" i="6"/>
  <c r="B12" i="9"/>
  <c r="G23" i="8"/>
  <c r="H23" i="8"/>
  <c r="I22" i="8"/>
  <c r="I20" i="4" l="1"/>
  <c r="C20" i="4"/>
  <c r="C3" i="4"/>
  <c r="G12" i="22"/>
  <c r="F12" i="22"/>
  <c r="E12" i="22"/>
  <c r="D12" i="22"/>
  <c r="C12" i="22"/>
  <c r="H15" i="21"/>
  <c r="F27" i="14"/>
  <c r="F26" i="14"/>
  <c r="F25" i="14"/>
  <c r="F24" i="14"/>
  <c r="F23" i="14"/>
  <c r="F22" i="14"/>
  <c r="F21" i="14"/>
  <c r="F20" i="14"/>
  <c r="F19" i="14"/>
  <c r="F18" i="14"/>
  <c r="F17" i="14"/>
  <c r="F16" i="14"/>
  <c r="F15" i="14"/>
  <c r="F14" i="14"/>
  <c r="F13" i="14"/>
  <c r="F12" i="14"/>
  <c r="F10" i="14"/>
  <c r="F9" i="14"/>
  <c r="F8" i="14"/>
  <c r="F7" i="14"/>
  <c r="K16" i="12"/>
  <c r="I16" i="12"/>
  <c r="K13" i="12"/>
  <c r="I13" i="12"/>
  <c r="F13" i="12"/>
  <c r="K12" i="12"/>
  <c r="I12" i="12"/>
  <c r="F12" i="12"/>
  <c r="K11" i="12"/>
  <c r="I11" i="12"/>
  <c r="F11" i="12"/>
  <c r="K10" i="12"/>
  <c r="I10" i="12"/>
  <c r="D20" i="12"/>
  <c r="C20" i="12"/>
  <c r="B20" i="12"/>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K9" i="7"/>
  <c r="I9" i="7"/>
  <c r="F9" i="7"/>
  <c r="K8" i="7"/>
  <c r="I8" i="7"/>
  <c r="F8" i="7"/>
  <c r="I12" i="22" l="1"/>
  <c r="F17" i="12"/>
  <c r="I17" i="12"/>
  <c r="K18" i="12"/>
  <c r="G20" i="12"/>
  <c r="H20" i="12"/>
  <c r="F16" i="12"/>
  <c r="J14" i="12"/>
  <c r="J20" i="12" s="1"/>
  <c r="F10" i="12"/>
  <c r="K17" i="12"/>
  <c r="E12" i="9"/>
  <c r="C12" i="9"/>
  <c r="J11" i="9"/>
  <c r="K7" i="9"/>
  <c r="I6" i="9"/>
  <c r="G19" i="8"/>
  <c r="F7" i="8"/>
  <c r="H19" i="8"/>
  <c r="J19" i="8"/>
  <c r="I12" i="7"/>
  <c r="I14" i="7"/>
  <c r="E5" i="8"/>
  <c r="E5" i="9" s="1"/>
  <c r="E7" i="12" s="1"/>
  <c r="F14" i="7"/>
  <c r="K14" i="7"/>
  <c r="I20" i="12" l="1"/>
  <c r="K20" i="12"/>
  <c r="F40" i="9"/>
  <c r="M39" i="9" s="1"/>
  <c r="D12" i="9"/>
  <c r="F14" i="12"/>
  <c r="E20" i="12"/>
  <c r="F20" i="12" s="1"/>
  <c r="K19" i="8"/>
  <c r="J12" i="9"/>
  <c r="G12" i="9"/>
  <c r="K12" i="7"/>
  <c r="I11" i="9"/>
  <c r="H12" i="9"/>
  <c r="I18" i="12"/>
  <c r="K14" i="12"/>
  <c r="I14" i="12"/>
  <c r="F11" i="9"/>
  <c r="K11" i="9"/>
</calcChain>
</file>

<file path=xl/sharedStrings.xml><?xml version="1.0" encoding="utf-8"?>
<sst xmlns="http://schemas.openxmlformats.org/spreadsheetml/2006/main" count="1791" uniqueCount="798">
  <si>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</si>
  <si>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</si>
  <si>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</si>
  <si>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</si>
  <si>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</si>
  <si>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</si>
  <si>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</si>
  <si>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</si>
  <si>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</si>
  <si>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</si>
  <si>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</si>
  <si>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</si>
  <si>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</si>
  <si>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</si>
  <si>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</si>
  <si>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</si>
  <si>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</si>
  <si>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</si>
  <si>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</si>
  <si>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</si>
  <si>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</si>
  <si>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</si>
  <si>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</si>
  <si>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</si>
  <si>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</si>
  <si>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</si>
  <si>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</si>
  <si>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</si>
  <si>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</si>
  <si>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</si>
  <si>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</si>
  <si>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</si>
  <si>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</si>
  <si>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</si>
  <si>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</si>
  <si>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</si>
  <si>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</si>
  <si>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</si>
  <si>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</si>
  <si>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</si>
  <si>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</si>
  <si>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</si>
  <si>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</si>
  <si>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</si>
  <si>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</si>
  <si>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</si>
  <si>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</si>
  <si>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</si>
  <si>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</si>
  <si>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</si>
  <si>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</si>
  <si>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</si>
  <si>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</si>
  <si>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</si>
  <si>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</si>
  <si>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</si>
  <si>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</si>
  <si>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</si>
  <si>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</si>
  <si>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</si>
  <si>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</si>
  <si>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</si>
  <si>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</si>
  <si>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</si>
  <si>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</si>
  <si>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</si>
  <si>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</si>
  <si>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</si>
  <si>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</si>
  <si>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</si>
  <si>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</si>
  <si>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</si>
  <si>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</si>
  <si>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</si>
  <si>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</si>
  <si>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</si>
  <si>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</si>
  <si>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</si>
  <si>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</si>
  <si>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</si>
  <si>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</si>
  <si>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</si>
  <si>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</si>
  <si>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</si>
  <si>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</si>
  <si>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</si>
  <si>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</si>
  <si>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</si>
  <si>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</si>
  <si>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</si>
  <si>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</si>
  <si>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</si>
  <si>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</si>
  <si>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</si>
  <si>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</si>
  <si>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</si>
  <si>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</si>
  <si>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</si>
  <si>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</si>
  <si>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</si>
  <si>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</si>
  <si>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</si>
  <si>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</si>
  <si>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</si>
  <si>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</si>
  <si>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</si>
  <si>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</si>
  <si>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</si>
  <si>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</si>
  <si>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</si>
  <si>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</si>
  <si>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</si>
  <si>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</si>
  <si>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</si>
  <si>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</si>
  <si>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</si>
  <si>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</si>
  <si>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</si>
  <si>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</si>
  <si>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</si>
  <si>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</si>
  <si>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</si>
  <si>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</si>
  <si>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</si>
  <si>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</si>
  <si>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</si>
  <si>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</si>
  <si>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</si>
  <si>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</si>
  <si>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</si>
  <si>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</si>
  <si>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</si>
  <si>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</si>
  <si>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</si>
  <si>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</si>
  <si>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</si>
  <si>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</si>
  <si>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</si>
  <si>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</si>
  <si>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</si>
  <si>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</si>
  <si>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</si>
  <si>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</si>
  <si>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</si>
  <si>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</si>
  <si>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</si>
  <si>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</si>
  <si>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</si>
  <si>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</si>
  <si>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</si>
  <si>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</si>
  <si>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</si>
  <si>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</si>
  <si>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</si>
  <si>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</si>
  <si>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</si>
  <si>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</si>
  <si>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</si>
  <si>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</si>
  <si>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</si>
  <si>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</si>
  <si>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</si>
  <si>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</si>
  <si>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</si>
  <si>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</si>
  <si>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</si>
  <si>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</si>
  <si>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</si>
  <si>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</si>
  <si>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</si>
  <si>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</si>
  <si>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</si>
  <si>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</si>
  <si>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</si>
  <si>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</si>
  <si>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</si>
  <si>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</si>
  <si>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</si>
  <si>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</si>
  <si>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</si>
  <si>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</si>
  <si>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</si>
  <si>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</si>
  <si>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</si>
  <si>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</si>
  <si>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</si>
  <si>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</si>
  <si>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</si>
  <si>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</si>
  <si>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</si>
  <si>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</si>
  <si>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</si>
  <si>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</si>
  <si>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</si>
  <si>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</si>
  <si>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</si>
  <si>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</si>
  <si>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</si>
  <si>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</si>
  <si>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</si>
  <si>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</si>
  <si>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</si>
  <si>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</si>
  <si>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</si>
  <si>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</si>
  <si>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</si>
  <si>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</si>
  <si>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</si>
  <si>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</si>
  <si>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</si>
  <si>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</si>
  <si>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</si>
  <si>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</si>
  <si>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</si>
  <si>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</si>
  <si>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</si>
  <si>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</si>
  <si>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</si>
  <si>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</si>
  <si>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</si>
  <si>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</si>
  <si>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</si>
  <si>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</si>
  <si>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</si>
  <si>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</si>
  <si>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</si>
  <si>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</si>
  <si>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</si>
  <si>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</si>
  <si>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</si>
  <si>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</si>
  <si>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</si>
  <si>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</si>
  <si>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</si>
  <si>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</si>
  <si>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</si>
  <si>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</si>
  <si>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</si>
  <si>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</si>
  <si>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</si>
  <si>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</si>
  <si>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</si>
  <si>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</si>
  <si>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</si>
  <si>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</si>
  <si>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</si>
  <si>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</si>
  <si>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</si>
  <si>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</si>
  <si>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</si>
  <si>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</si>
  <si>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</si>
  <si>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</si>
  <si>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</si>
  <si>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</si>
  <si>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</si>
  <si>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</si>
  <si>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</si>
  <si>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</si>
  <si>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</si>
  <si>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</si>
  <si>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</si>
  <si>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</si>
  <si>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</si>
  <si>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</si>
  <si>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</si>
  <si>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</si>
  <si>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</si>
  <si>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</si>
  <si>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</si>
  <si>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</si>
  <si>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</si>
  <si>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</si>
  <si>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</si>
  <si>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</si>
  <si>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</si>
  <si>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</si>
  <si>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</si>
  <si>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</si>
  <si>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</si>
  <si>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</si>
  <si>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</si>
  <si>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</si>
  <si>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</si>
  <si>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</si>
  <si>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</si>
  <si>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</si>
  <si>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</si>
  <si>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</si>
  <si>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</si>
  <si>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</si>
  <si>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</si>
  <si>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</si>
  <si>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</si>
  <si>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</si>
  <si>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</si>
  <si>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</si>
  <si>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</si>
  <si>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</si>
  <si>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</si>
  <si>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</si>
  <si>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</si>
  <si>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</si>
  <si>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</si>
  <si>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</si>
  <si>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</si>
  <si>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</si>
  <si>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</si>
  <si>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</si>
  <si>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</si>
  <si>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</si>
  <si>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</si>
  <si>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</si>
  <si>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</si>
  <si>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</si>
  <si>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</si>
  <si>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</si>
  <si>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</si>
  <si>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</si>
  <si>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</si>
  <si>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</si>
  <si>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</si>
  <si>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</si>
  <si>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</si>
  <si>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</si>
  <si>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</si>
  <si>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</si>
  <si>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</si>
  <si>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</si>
  <si>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</si>
  <si>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</si>
  <si>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</si>
  <si>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</si>
  <si>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</si>
  <si>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</si>
  <si>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</si>
  <si>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</si>
  <si>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</si>
  <si>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</si>
  <si>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</si>
  <si>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</si>
  <si>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</si>
  <si>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</si>
  <si>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</si>
  <si>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</si>
  <si>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</si>
  <si>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</si>
  <si>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</si>
  <si>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</si>
  <si>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</si>
  <si>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</si>
  <si>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</si>
  <si>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</si>
  <si>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</si>
  <si>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</si>
  <si>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</si>
  <si>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</si>
  <si>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</si>
  <si>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</si>
  <si>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</si>
  <si>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</si>
  <si>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</si>
  <si>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</si>
  <si>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</si>
  <si>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</si>
  <si>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</si>
  <si>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</si>
  <si>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</si>
  <si>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</si>
  <si>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</si>
  <si>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</si>
  <si>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</si>
  <si>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</si>
  <si>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</si>
  <si>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</si>
  <si>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</si>
  <si>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</si>
  <si>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</si>
  <si>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</si>
  <si>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</si>
  <si>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</si>
  <si>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</si>
  <si>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</si>
  <si>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</si>
  <si>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</si>
  <si>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</si>
  <si>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</si>
  <si>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</si>
  <si>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</si>
  <si>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</si>
  <si>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</si>
  <si>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</si>
  <si>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</si>
  <si>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</si>
  <si>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</si>
  <si>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</si>
  <si>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</si>
  <si>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</si>
  <si>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</si>
  <si>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</si>
  <si>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</si>
  <si>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</si>
  <si>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</si>
  <si>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</si>
  <si>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</si>
  <si>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</si>
  <si>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</si>
  <si>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</si>
  <si>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</si>
  <si>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</si>
  <si>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</si>
  <si>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</si>
  <si>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</si>
  <si>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</si>
  <si>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</si>
  <si>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</si>
  <si>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</si>
  <si>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</si>
  <si>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</si>
  <si>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</si>
  <si>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</si>
  <si>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</si>
  <si>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</si>
  <si>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</si>
  <si>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</si>
  <si>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</si>
  <si>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</si>
  <si>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</si>
  <si>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</si>
  <si>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</si>
  <si>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</si>
  <si>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</si>
  <si>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</si>
  <si>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ECELIM Total</t>
  </si>
  <si>
    <t>C.T. ILO 1</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</si>
  <si>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</si>
  <si>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</si>
  <si>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</si>
  <si>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</si>
  <si>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</si>
  <si>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</si>
  <si>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</si>
  <si>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</si>
  <si>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</si>
  <si>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</si>
  <si>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</si>
  <si>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</si>
  <si>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</si>
  <si>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</si>
  <si>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</si>
  <si>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</si>
  <si>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</si>
  <si>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</si>
  <si>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</si>
  <si>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</si>
  <si>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</si>
  <si>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</si>
  <si>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</si>
  <si>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</si>
  <si>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</si>
  <si>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</si>
  <si>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</si>
  <si>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</si>
  <si>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</si>
  <si>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</si>
  <si>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</si>
  <si>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</si>
  <si>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</si>
  <si>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</si>
  <si>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</si>
  <si>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</si>
  <si>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</si>
  <si>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</si>
  <si>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</si>
  <si>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</si>
  <si>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</si>
  <si>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</si>
  <si>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</si>
  <si>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</si>
  <si>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</si>
  <si>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</si>
  <si>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</si>
  <si>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</si>
  <si>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</si>
  <si>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</si>
  <si>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</si>
  <si>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</si>
  <si>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</si>
  <si>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</si>
  <si>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</si>
  <si>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</si>
  <si>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</si>
  <si>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</si>
  <si>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</si>
  <si>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</si>
  <si>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</si>
  <si>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</si>
  <si>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</si>
  <si>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</si>
  <si>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</si>
  <si>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</si>
  <si>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</si>
  <si>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25.03.2018</t>
  </si>
  <si>
    <t>C.T. Sto Domingo de los Olleros</t>
  </si>
  <si>
    <t>19:30</t>
  </si>
  <si>
    <t>23:00</t>
  </si>
  <si>
    <t>19:45</t>
  </si>
  <si>
    <t>11:45</t>
  </si>
  <si>
    <t>11:30</t>
  </si>
  <si>
    <t xml:space="preserve">SANTA ANA </t>
  </si>
  <si>
    <t>C.H. RENOVANDES H1</t>
  </si>
  <si>
    <t>C.S. INTIPAMPA</t>
  </si>
  <si>
    <t>C.H. Renovandes H1</t>
  </si>
  <si>
    <t>C.S. Intipampa</t>
  </si>
  <si>
    <t>138 120 
Módulos</t>
  </si>
  <si>
    <t>31.03.2018</t>
  </si>
  <si>
    <t>20.03.2018</t>
  </si>
  <si>
    <t>G1</t>
  </si>
  <si>
    <t>Turbina Pelton</t>
  </si>
  <si>
    <t>Central Hidroeléctrica</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</si>
  <si>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</si>
  <si>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</si>
  <si>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</si>
  <si>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</si>
  <si>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</si>
  <si>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</si>
  <si>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</si>
  <si>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</si>
  <si>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</si>
  <si>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4 eventos corresponde a rechazo manual de carga en la S.S.E.E. Pucallpa por deficit de generación (74,15 MWh)</t>
  </si>
  <si>
    <t xml:space="preserve">Potencia Efectiva  (MW) </t>
  </si>
  <si>
    <t>C.E. WAYRA I</t>
  </si>
  <si>
    <t>(1)  A partir del 29.09.2017 la C.H. Cerro del Águila pasa a ser propiedad de la empresa Kallpa Generación S.A.</t>
  </si>
  <si>
    <t>(*) A partir del 29.09.2017 la C.H. Cerro del Águila pasa a ser propiedad de la empresa Kallpa Generación S.A.</t>
  </si>
  <si>
    <t>ENLACE CENTRO - SUR</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</si>
  <si>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</si>
  <si>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</si>
  <si>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</si>
  <si>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</si>
  <si>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</si>
  <si>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</si>
  <si>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</si>
  <si>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</si>
  <si>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</si>
  <si>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</si>
  <si>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</si>
  <si>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</si>
  <si>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</si>
  <si>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LUZ DEL SUR / INLAND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</si>
  <si>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</si>
  <si>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</si>
  <si>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</si>
  <si>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</si>
  <si>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</si>
  <si>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</si>
  <si>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</si>
  <si>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</si>
  <si>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</si>
  <si>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Máxima Demanda:</t>
  </si>
  <si>
    <t>KALLPA</t>
  </si>
  <si>
    <t>PETRAMAS</t>
  </si>
  <si>
    <t>12:00</t>
  </si>
  <si>
    <t>ECELIM</t>
  </si>
  <si>
    <t>ELECTRO SUR ESTE</t>
  </si>
  <si>
    <t>20:15</t>
  </si>
  <si>
    <t>CELDA</t>
  </si>
  <si>
    <t>HYDRO PATAPO</t>
  </si>
  <si>
    <t>C.H. ÁNGEL II</t>
  </si>
  <si>
    <t>C.H. ÁNGEL III</t>
  </si>
  <si>
    <t>C.H. ÁNGEL I</t>
  </si>
  <si>
    <t>C.H. HER 1</t>
  </si>
  <si>
    <t>C.T. DOÑA CATALINA</t>
  </si>
  <si>
    <t>HYDRO PATAPO Total</t>
  </si>
  <si>
    <t>Lagunas Rajucolta (ORAZUL)</t>
  </si>
  <si>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</si>
  <si>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</si>
  <si>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</si>
  <si>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</si>
  <si>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</si>
  <si>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</si>
  <si>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</si>
  <si>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</si>
  <si>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</si>
  <si>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</si>
  <si>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</si>
  <si>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</si>
  <si>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</si>
  <si>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</si>
  <si>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</si>
  <si>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</si>
  <si>
    <t>MINERA ARES</t>
  </si>
  <si>
    <t>ETESELVA</t>
  </si>
  <si>
    <t>TRANSMANTARO</t>
  </si>
  <si>
    <t>CONENHUA</t>
  </si>
  <si>
    <t>ATN S.A.</t>
  </si>
  <si>
    <t>POMACOCHA - SAN JUAN</t>
  </si>
  <si>
    <t>ANDEAN POWER</t>
  </si>
  <si>
    <t>20:30</t>
  </si>
  <si>
    <t>16:00</t>
  </si>
  <si>
    <t>15:30</t>
  </si>
  <si>
    <t>ANDEAN POWER Total</t>
  </si>
  <si>
    <t>(*) Se denomina RER a los Recursos Energéticos Renovables (biomasa, eólica, solar, geotérmica, mareomotriz), e hidroléctricas cuya capacidad instalada no sobrepase los 20 MW, según D.L. N° 1002. Son consideradas las centrales RER adjudicadas por susbasta.</t>
  </si>
  <si>
    <t>L-2051 L-2052  L-5034
  L-5036</t>
  </si>
  <si>
    <t>8. EVENTOS Y FALLAS QUE OCASIONARON INTERRUPCIÓN Y DISMINUCIÓN DE SUMINISTRO ELÉCTRICO</t>
  </si>
  <si>
    <t>8.1. FALLAS POR TIPO DE EQUIPO Y CAUSA SEGÚN CLASIFICACION CIER</t>
  </si>
  <si>
    <t>STATKRAFT S.A</t>
  </si>
  <si>
    <t>ELECTRO CENTRO</t>
  </si>
  <si>
    <t>ATN 2 S.A.</t>
  </si>
  <si>
    <t>SOUTHERN PERU CC</t>
  </si>
  <si>
    <t>MINERA HORIZONTE</t>
  </si>
  <si>
    <t>20:45</t>
  </si>
  <si>
    <t>20:00</t>
  </si>
  <si>
    <t>15:15</t>
  </si>
  <si>
    <t>16:15</t>
  </si>
  <si>
    <t>Turbina Francis</t>
  </si>
  <si>
    <t>C.H. Carhuac</t>
  </si>
  <si>
    <t>L-2205  L-2206</t>
  </si>
  <si>
    <t>L-2259</t>
  </si>
  <si>
    <t>CARHUAMAYO - OROYA NUEVA</t>
  </si>
  <si>
    <t>MARCONA - SAN NICOLÁS</t>
  </si>
  <si>
    <t>TRANSFORMADOR 2D</t>
  </si>
  <si>
    <t>C.H. CARHUAC</t>
  </si>
  <si>
    <t>C.H. RUCUY</t>
  </si>
  <si>
    <t>RIO BAÑOS Total</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</si>
  <si>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8,86 MW. A las 16:07 h, se conectó la línea y se inició la normalización del suministro interrumpido.</t>
  </si>
  <si>
    <t>COELVISAC</t>
  </si>
  <si>
    <t>SUBESTACION</t>
  </si>
  <si>
    <t>Desconectó la barra de 220 kV de la S.E. Felam, cuya causa no fue informada por COEVISAC, titular del equipo. Cabe resaltar que la línea L-2241 (La Niña – Piura Oeste) de 220 kV, se encontraba fuera de servicio por mantenimiento programado. Como consecuencia, se produjo el sistema aislado de las subestaciones Piura Oeste, Talara y Zorritos con la C.T. Malacas 1, C.T. Tablazo, C.H. Poechos I, C.H. Poechos II y C.E. Talara. Producto del gran desbalance carga – generación se produjo la activación del Esquema de Rechazo Automático de Carga por Mínima Frecuencia (ERACMF), interrumpiéndose un total de 37,95 MW. A las 05:23 h, se energizó la barra mediante la conexión de la línea L-2238 (Chiclayo Oeste – Felam) de 220 kV. A las 05:24 h, desconectó la C.T. Malacas 1 cuando generaba un total de 86,60 MW, mientras se realizaban las maniobras de sincronización del sistema aislado con el SEIN. Con ello, se interrumpió el suministro de las subestaciones Piura Oeste, Talara y Zorritos un total de 126,55 MW. A las 05:30 h, se conectó la barra de la S.E. Felam y se inició la normalización del suministro interrumpido.</t>
  </si>
  <si>
    <t>Desconectó la barra de 220 kV de la S.E. Felam, cuya causa no fue informada por COELVISAC, titular del equipo. Como consecuencia desconectó la unidad TG5 de la C.T.R.F. de Malacas cuando generaba 85,00 MW y, adicionalmente, se interrumpió el suministro de las subestaciones Piura Oeste, Talara y Zorritos con un total de 129,87 MW. A las 04:06 h, se conectó la barra y se inició la normalización del suministro interrumpido.</t>
  </si>
  <si>
    <t>Desconectó la barra de 220 kV de la S.E. Felam, cuya causa no fue informada por COELVISAC, titular del equipo. Como consecuencia desconectó la unidad TG4 de la C.T Malacas 1 cuando generaba 69,00 MW y, adicionalmente, se interrumpió el suministro de las subestaciones Piura Oeste, Talara y Zorritos con un total de 129,87 MW, aproximadamente. A las 05:26 h, se conectó la barra y se inició la normalización del suministro interrumpido</t>
  </si>
  <si>
    <t>Desconectó la barra de 220 kV de la S.E. Felam, cuya causa no fue informada por COELVISAC, titular del equipo. Como consecuencia se interrumpió el suministro de las subestaciones Piura Oeste, Talara y Zorritos con un total de 129,87 MW, aproximadamente. A las 06:28 h, se conectó la barra. A las 06:30 h, desconectó nuevamente la barra de 220 kV de la S.E. Felam. A las 09:12 h, se conectó la barra y se inició la normalización del suministro interrumpido.</t>
  </si>
  <si>
    <t>Desconectó la línea L-1134 (Tayabamba - Llacuabamba) de 138 kV, cuya causa no fue informada por CONSORCIO MINERA HORIZONTE, titular de la línea. Como consecuencia se interrumpió el suministro de la S.E. Llacuabamba con un total de 16,80 MW. 00:01 del 05.12.2018, se conectó la línea y se inició la normalización del suministro interrumpido.</t>
  </si>
  <si>
    <t>Desconectó la línea L-1132 (Kiman Ayllu - Sihuas) de 138 KV, cuya causa no fue informada por HIDRANDINA, titular de la línea. El sistema de protección señalizó la activación de la función de distancia (21). Como consecuencia se interrumpió el suministro de las subestaciones Sihuas y Tayabamba con un total de 4,80 MW. A las 17:16 h, se conectó la línea y se inició la normalización del suministro interrumpido.</t>
  </si>
  <si>
    <t>Desconectó la línea L-1132 (Kiman Ayllu - Sihuas) de 138 KV, cuya causa no fue informada por HIDRANDINA, titular de la línea. El sistema de protección señalizó la activación de la función de distancia (21). Como consecuencia se interrumpió el suministro de las subestaciones Sihuas y Tayabamba con un total de 8,30 MW. A las 18:50 h, se conectó la línea y se inició la normalización del suministro interrumpido.</t>
  </si>
  <si>
    <t>Desconectó la línea L-6027 (Puno - Pomata - Ilave) de 60 kV, por falla. De acuerdo con lo informado por ELECTROPUNO, titular de la línea, la falla se produjo por fuertes vientos. Como consecuencia se interrumpió el suministro de las subestaciones Puno, Pomata e Ilave con un total de 6,95 MW. A las 20:22 h, se conectó la línea y se inició la normalización del suministro interrumpido.</t>
  </si>
  <si>
    <t>Desconectó la línea L-6027 (Puno - Pomata - Ilave) de 60 kV, por falla. De acuerdo con lo informado por ELECTROPUNO, titular de la línea, la falla se produjo por fuertes vientos. Como consecuencia se interrumpió el suministro de las subestaciones Puno, Pomata e Ilave con un total de 5,24 MW. A las 22:19 h, se conectó la línea y se inició la normalización del suministro interrumpido.</t>
  </si>
  <si>
    <t>Desconectó la celda de la línea L-6028 (Puno – Bellavista) de 60 kV, cuya causa no fue informada por REP, titular del equipo. El sistema de protección señalizó a activación de la función de sobre corriente de fases (50/51). Como consecuencia se interrumpió el suministro de la S.E. Bellavista con un total de 7,66 MW. A las 19:05 h, se conectó la línea y se inició la normalización del suministro interrumpido.</t>
  </si>
  <si>
    <t>ELECTRO NOR OESTE</t>
  </si>
  <si>
    <t>Desconectaron las líneas L-6654 (Piura – Paita) y L-6698 (Piura – Sullana) de 60 kV, cuya causa no fue informada por ENOSA, titular de las líneas. El sistema de protección señalizó la activación de la función de distancia (21) y ubicó la falla a 16,2 km de la S.E. Piura Oeste. Como consecuencia se interrumpió el suministro de las subestaciones Sullana, Paita, Tierra Colorada, Arenal, Poechos y Quiroz con un total de 62,70 MW. A las 10:43 h y 10:45 h, se conectaron las líneas L-6698 y L-6654, respectivamente.</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</si>
  <si>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5,10 MW. A las 14:35 h, se conectó la línea y se inició la normalización del suministro interrumpido.</t>
  </si>
  <si>
    <t>Desconectó la línea L-1113 (Nepeña - Casma) de 138 kV, cuya causa no fue informada por HIDRANDINA, titular de la línea. El sistema de protección señalizó la activación de la función de distancia (21) y ubicó la falla a 26,1 km de la S.E. Nepeña. Como consecuencia se interrumpió el suministro de la S.E. Casma con un total de 5,38 MW. A las 02:09 h, se conectó la línea y se inició la normalización del suministro interrumpido.</t>
  </si>
  <si>
    <t>Desconectó la línea L-2251 (Aguaytía - Tingo María) de 220 kV, por falla monofásica a tierra en la fase “R”. De acuerdo con lo informado por ETESELVA, titular de la línea, el motivo de la falla se encuentra en investigación. Como consecuencia se interrumpió el suministro de las subestaciones Aguaytía, Parque Industria, Yarinacocha y Pucallpa EUC con un total de 38,36 MW. A las 14:48 h, sincronizó la C.T.R.F. de Pucallpa en sistema aislado y se inició la normalización parcial de los suministros interrumpidos. A las 14:56 h, se conectó la línea. A las 15:05 h, se sincronizó el sistema aislado de Pucallpa con el SEIN y se culminó con la normalización del total de suministros interrumpidos.</t>
  </si>
  <si>
    <t>Desconectó la línea L-6681 (Huaraz - Ticapampa) de 60 kV, por falla monofásica a tierra en la fase “T”. De acuerdo con lo informado por HIDRANDINA, titular de la línea, la falla se produjo por caída de conductor entre las estructuras N°55 y N°56. El sistema de protección señalizó la activación de la función de sobre corriente a tierra (50N/51N). Como consecuencia se interrumpió el suministro de la S.E. Ticapampa 6,84 MW y desconectó la C.H. Pariac cuando generaba 1,84 MW. A las 20:22 h, se conectó la línea y se inició la normalización del suministro interrumpido.</t>
  </si>
  <si>
    <t>Desconectó la línea L-6061 (Cobriza II – Machahuay) de 69 kV, por falla. De acuerdo don lo informado por ELECTROCENTRO, titular de la línea, la falla se produjo por contacto de árbol con la línea. El sistema de protección señalizó la activación de la función de sobre corriente de fases (50). Como consecuencia se interrumpió el suministro de las subestaciones Machahuay y Huanta con un total de 4,20 MW. A las 19:46 h, se conectó la línea y se inició la normalización del suministro interrumpido.</t>
  </si>
  <si>
    <t>Desconectaron las líneas de L-6503 (Malpaso - Oroya), L-6509 (Oroya - Casa de fuerza), L-6511 (Torre 8 – Casa de Fuerza), L-6512 (Torre 8 - Planta Zinc) y L-6540 (Planta Zinc - Oroya Nueva) de 50 kV, cuyas causas fueron informadas por STATKRAFT y MINERA DOE RUN, titular de las líneas. Como consecuencia se interrumpió el suministro de las subestaciones Torre 7, Torre 8, Casa de Fuerza y Planta de Zinc con un total de 2,00 MW. Asimismo, desconectó la C.H. Oroya cuando generaba 8,10 MW. A las 17:06 h, se inició la normalización de suministros interrumpidos. A las 17:49 h, sincronizó la C.H. Oroya con el SEIN.</t>
  </si>
  <si>
    <t>Desconectó la barra de 138 kV de la subestación Paramonga Existente, cuya causa no fue informada por STATKRAFT, titular del equipo. Como consecuencia se interrumpió el suministro de la S.E. Paramonga Existente con un total de 32,00 MW. Asimismo, desconectó la C.H. Cahua cuando generaba 25,53 MW. Cabe resaltar que la C.T. Paramonga quedó operando en sistema aislado con la carga de la barra de 13,8 kV de la S.E. Paramonga Existente. A las 03:27 h, se conectó la barra y se inició la normalización del suministro interrumpido. A las 04:06 h, se sincronizó el sistema aislado con el SEIN.</t>
  </si>
  <si>
    <t>Desconectó la línea L-1014 (San Gabán - Mazuco) de 138 kV, por falla monofásica a tierra en la fase “R”. De acuerdo con lo informado por ELECTRO SUR ESTE, titular de la línea, la falla se produjo por descargas atmosféricas. Como consecuencia, se interrumpió el suministro de las subestaciones Mazuco y Puerto Maldonado con un total de 2,00 MW y 14,37 MW, respectivamente. Asimismo, desconectó el grupo G2 de la C.H. Ángel I cuando generaba 7,00 MW. A las 09:21 h, se conectó la línea y se inició la normalización del suministro interrumpido.</t>
  </si>
  <si>
    <t>Se produjo un recierre monofásico exitoso en la línea L-2051 (Campo Armiño – Cotaruse) de 220 kV, por falla monofásica a tierra en la fase “R”. De acuerdo con lo informado por TRANSMANTARO, titular de la línea, el motivo de la falla se encuentra en investigación. El sistema de protección ubicó la falla a una distancia de 175,6 km de la S.E. Campo Armiño. Como consecuencia los usuarios libres Minera Las Bambas y Minera Cerro Verde, redujeron su carga en 81,88 MW y 1,80 MW, respectivamente.</t>
  </si>
  <si>
    <t>Desconectó la línea L-6027 (Puno - Pomata - Ilave) de 60 kV, por falla. De acuerdo con lo informado por ELECTROPUNO, titular de la línea, la falla se produjo por descargas atmosféricas. El sistema de protección señalizó la activación de la función de sobre corriente de fases (51). Como consecuencia se interrumpió el suministro de las subestaciones Puno, Pomata e Ilave con un total de 6,50 MW. A las 20:35 h, se conectó la línea y se inició la normalización del suministro interrumpido.</t>
  </si>
  <si>
    <t>Desconectó la línea L-6532 (Morococha - Carlos francisco) de 50 kV, por falla monofásica a tierra en la fase “R”. De acuerdo con lo informado por STATKRAFT, titular de la línea, la falla se produjo por descargas atmosféricas. El sistema de protección señalizó la activación de la función de distancia (21) y ubicó la falla a 1,80 km de la S.E. Morococha. Como consecuencia se interrumpió el suministro de la S.E. Casapalca Norte con un total de 0,36 MW. A las 16:42 h, se conectó la línea y se inició la normalización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</si>
  <si>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(51N). Como consecuencia se interrumpió el suministro de las subestaciones Puno, Pomata e Ilave con un total de 2,59 MW. A las 02:23 h, se conectó la línea y se inició la normalización del suministro interrumpido.</t>
  </si>
  <si>
    <t>ENEL DISTRIBUCION PERU</t>
  </si>
  <si>
    <t>Desconectó la barra I de 60 kV de la S.E. Chavarría, cuya causa no fue informada por ENEL DISTRIBUCIÓN,  titular del equipo. El sistema de protección señalizó la activación de la función diferencial de barras (87B). Como consecuencia se interrumpió el suministro de la S.E. Chavarría con un total de por actuación de la función de protección diferencial de barras 87B, debido a causa no fue informada por Enel Distribución, titular de la subestación. Como consecuencia se interrumpió el suministro de la S.E. Chavarría y subestaciones adyacentes con un total de 70,00 MW, aproximadamente. A las 11:05 h, se energizó la barra y se inició la normalización del suministro interrumpido.</t>
  </si>
  <si>
    <t>MINERA ARUNTANI</t>
  </si>
  <si>
    <t>Desconectó de la línea L-6007 (Puno - Tukari) de 60 kV, por falla bifásica a tierra entre las fases “R” y “S”. De acuerdo con lo informado por MINERA ARUNTANI, titular de la línea, la falla se produjo por descargas atmosféricas. El sistema de protección señalizó la activación de la función de distancia (21). Como consecuencia se interrumpió el suministro de la S.E. Tukari con un total de 4,71 MW. A las 13:36 h, se conectó la línea y se inició la normalización del suministro interrumpido.</t>
  </si>
  <si>
    <t>Desconectó la línea L-6001 (Combapata - Sicuani) de 66 kV, por falla monofásica a tierra en la fase “S”. De acuerdo con lo informado por ELECTRO SUR ESTE, titular de la línea, la falla se produjo por descargas atmosféricas. El sistema de protección señalizó la activación de la función de distancia (21). Como consecuencia se interrumpió el suministro de la S.E. Sicuani con un total de 2,50 MW. A las 21:18 h, se conectó la línea y se inició la normalización del suministro interrumpido.</t>
  </si>
  <si>
    <t>Desconectó la línea L-6027 (Puno – Pomata – Ilave) de 60 kV, por falla. De acuerdo con lo informado por ELECTRO PUNO, titular de la línea, la falla se produjo por descargas atmosféricas. El sistema de protección señalizó la activación de la función de sobre corriente a tierra (51N). Como consecuencia se interrumpió el suministro de las subestaciones Ilave y Pomata con un total de 3,77 MW. A las 17:19 h, se conectó la línea y se inició la normalización del suministro interrumpido.</t>
  </si>
  <si>
    <t>Desconectó la línea L-2233 (Trujillo Norte - Chimbote 1) de 220 kV, por falla monofásica a tierra en la fase "R", cuya causa no fue informada por REP, titular de la línea. El sistema de protección señalizo la activación de la función de distancia (21). El sistema de protección detecto la falla a una distancia de 2,50 km de la S.E. Chimbote 1.  No se produjo interrupción de suministros en el SEIN. El usuario libre SIDER PERÚ reporto la reducción de su carga en 1,50 MW. A las 17:26 h, el CCO-COES coordinó con el CC-SID recuperar el total de su carga reducida. A las 17:34 h, se conectó la línea.</t>
  </si>
  <si>
    <t>Desconectó la línea L-6607 (Independencia - Villacuri) de 60 kV, cuya causa no fue informada por COELVISAC, titular de la línea. El sistema de protección señalizó la activación de la función de distancia (21). Como consecuencia se interrumpió el suministro de la S.E. Villacuri con un total de 25,38 MW. A las 08:27 h, se conectó la línea y se inició la normalización del suministro interrumpido.</t>
  </si>
  <si>
    <t>Desconectó el transformador BT4 de 138/69 kV y 15 MVA de la S.E. Botiflaca, cuya causa no fue informada por MINERA SOUTHERN, titular del equipo. Como consecuencia el usuario libre Minera Southern redujo su carga en 2,60 MW. A las 09:50 h, el CCO-COES coordinó con el CC-SOU normalizar el total de sus suministros reducidos. A las 09:51 h, se conectó el transformador.</t>
  </si>
  <si>
    <t>Desconectó la línea L-6681 (Huaraz – Ticapampa) de 66 kV, por falla monofásica a tierra en la fase “S”. De acuerdo con lo informado por HIDRANDINA, titular de la línea, la falla se produjo por descargas atmosféricas. El sistema de protección señalizó la activación de la función de sobre corriente a tierra (50N/51N). Como consecuencia se interrumpió el suministro de la S.E. Ticapampa con un total de 7,64 MW y desconectó la C.H. Pariac cuando generaba 1,53 MW. A las 14:06 h, se conectó la línea y se inició la normalización del suministro interrumpido. A las 16:05 h, sincronizó la central con el SEIN.</t>
  </si>
  <si>
    <t>Desconectó la línea L-6047 (Cajamarca - San Marcos) de 60 kV, cuya causa no fue informada por HIDRANDINA, titular de la línea. El sistema de protección señalizó la activación de la función de distancia (21) y ubicó la falla a 43,1 km de la S.E. Cajamarca. Como consecuencia se interrumpió el suministro de las subestaciones San Marcos y Cajabamba con un total de 5,50 MW y desconectó la C.H. Potrero cuando generaba 18,63 MW. A las 14:31 h, se conectó la línea y se inició la normalización del suministro interrumpido.</t>
  </si>
  <si>
    <t>Desconectó la línea L-6681 (Huaraz – Ticapampa) de 66 kV, por falla monofásica a tierra en la fase “T”. De acuerdo con lo informado por HIDRANDINA, titular de la línea, la falla se produjo por descargas atmosféricas. El sistema de protección señalizó la activación de la función de sobre corriente a tierra (50N/51N). Como consecuencia se interrumpió el suministro de la S.E. Ticapampa con un total de 5,57 MW. A las 14:36 h, se conectó la línea y se inició la normalización del suministro interrumpido.</t>
  </si>
  <si>
    <t>Desconectó de la línea L-6007 (Puno - Tukari) de 60 kV, por falla. De acuerdo con lo informado por MINERA ARUNTANI, titular de la línea, la falla se produjo por descargas atmosféricas. El sistema de protección señalizó la activación de la función de distancia (21). Como consecuencia se interrumpió el suministro de la S.E. Tukari con un total de 4,88 MW. A las 17:51 h, se conectó la línea y se inició la normalización del suministro interrumpido.</t>
  </si>
  <si>
    <t>MINERA CHINALCO PERÚ S.A.</t>
  </si>
  <si>
    <t>Desconectó el transformador TR-3 de la S.E. Toromocho, por falla monofásica a tierra en la fase "S". De acuerdo con lo informado por MINERA CHINALCO, titular del equipo, la falla se produjo por descargas atmosféricas. El sistema de protección señalizó la activación de la función de sobre corriente a tierra (51N). Como consecuencia el usuario libre Minera Chinalco redujo su carga en 105,30 MW. A las 14:58 h, el CCO-COES coordinó con el CC-CHN normalizar el total de sus suministros reducidos. A las 23:59 h, se conectó el transformador.</t>
  </si>
  <si>
    <t>Desconectó la línea L-694 (Paramonga Nueva - Supe) de 60 kV, cuya causa no fue informada por ENEL DISTRIBUCIÓN PERÚ, titular de la línea. Cabe resaltar que la mencionada desconexión se produjo al momento de realizar el traslado de carga desde la S.E. Hualmay hacia la S.E. Paramonga Nueva. Como consecuencia se interrumpió el suministro de las subestaciones Supe y Hualmay con un total de 14,00 MW y 34,00 MW, respectivamente. A las 15:55 h, se normalizó la carga de la S.E. Hualmay mediante la línea L-685 (Huacho – Hualmay) de 60 kV. A las 15:56 h, se volvió a interrumpir la carga de la S.E. Hualmay al momento del intento de realizar el traslado de carga hacia la S.E. Paramonga. A las 16:04 h, se conectó la línea L-694 y se inició la normalización del suministro interrumpido.</t>
  </si>
  <si>
    <t>Desconectó la línea L-1112 (Chimbote Sur – Nepeña) de 138 kV, por falla. De acuerdo con lo informado por HIDRANDINA, titular de la línea, la falla se produjo por caída de conductor. El sistema de protección señalizó la activación de la función de sobre corriente a tierra (51). Como consecuencia se interrumpió el suministro de las subestaciones Nepeña, Casma y San Jacinto con un total de 6,53 MW. A las 03:11 h, se conectó la línea y se inició la normalización del suministro interrumpido.</t>
  </si>
  <si>
    <t>Desconectaron las líneas L-1010 (Azángaro – San Gabán) y L-1009 (Azángaro – San Rafael) De 138 kV, por falla trifásica. De acuerdo con lo informado por SAN GABAN II, titular de la línea L-1010, la falla se produjo por descargas atmosféricas. El sistema de protección señalizó la activación de la función de distancia (21) y ubicó la falla a 113,4 km de la S.E. San Gabán. Como consecuencia se formó el sistema aislado de la C.H. San Gabán con la carga de las subestaciones San Rafael, Mazuko y Puerto Maldonado. Asimismo, el usuario libre MINERA MINSUR redujo su carga en 6,59 MW. A las 13:12 h, el CCO-COES coordinó con el CC-MSR normalizar el total de sus suministros reducidos. Luego, se produjo la desconexión del grupo G1 de la C.H. San Gabán cuando generaba 56,16 MW por activación de su protección de sobre frecuencia. A las 13:47 h, sincronizó el sistema aislado con el SEIN mediante la conexión de la línea L-1010. A las 13:55 h, se conectó la línea L-1009.</t>
  </si>
  <si>
    <t>Desconectó la línea L-6509 (Oroya - Casa de Fuerza) de 50 kV, por falla bifásica a tierra en las fases “S” y “T”. De acuerdo a lo informado por STATKRAFT, titular de las líneas, la falla se produjo en la S.E. Torre N° 8 de titularidad de MINERA DOE RUN. Como consecuencia se interrumpió el suministro de la S.E. Planta de Zinc con 1,38 MW A las 12:12 h, se conectó la línea.</t>
  </si>
  <si>
    <t>Desconectó la barra 3 de 13.8 kV de la S.E. San Nicolas, por falla. De acuerdo con lo informado por SHOUGESA, titular de la barra, la falla se produjo por pérdida de aislamiento en la celda relaves de titularidad de la empresa MINERA SHOUGANG. El sistema de protección señalizó la activación de la función diferencial de barras (87B). Como consecuencia se interrumpió el suministro de la empresa MINERA SHOUGANG con 23,00 MW y salió de servicio la unidad TV3 de la C.T. San Nicolas cuando generaba 12,70 MW. A las 18:58 h, se conectó la barra y se inició la normalización del suministro interrumpido. Al as 01:24 h del 23.12.2018, sincronizó la unidad TV3 con el SEIN.</t>
  </si>
  <si>
    <t>MINERA MILPO</t>
  </si>
  <si>
    <t>Desconectó la línea L-1146 (Paragsha II - Milpo) de 138 kV, cuya causa no fue informada por MINERA MILPO, titular de la línea. Como consecuencia se interrumpió el suministro de la S.E. Milpo con un total de 15,00 MW, aproximadamente. A las 16:26 h, se conectó la línea y se inició la normalización del suministro interrumpido.</t>
  </si>
  <si>
    <t>Desconectaron las líneas L-6514 / L-6516 (Carhuamayo – Shelby – Excélsior) de 50 kV, cuya causa no fue informada por STATKRAFT, titular de las líneas. El sistema de protección señalizó la activación de la función de sobre corriente a tierra (51N). Como consecuencia se interrumpió el suministro de las subestaciones Shelby y San José con un total de 8,95 MW. A las 03:25 h, se conectó la línea L-6516 y se inició la normalización del suministro interrumpido.</t>
  </si>
  <si>
    <t>Desconectó la línea L-2267 (Paragsha II – Carhuamayo) de 220 kV, por falla bifásica a tierra entre las fases “R” y “T”. De acuerdo con lo informado por ATN, titular de la línea, la falla se produjo por descargas atmosféricas. Simultáneamente, se produjo un recierre monofásico exitoso en la fase “T” de la línea L-2268 (Paragsha II – Carhuamayo) de 220 kV. El sistema de protección señalizó la activación de la función diferencial de línea (87) y ubicó la falla a 23,68 km de la S.E. Paragsha II. Como consecuencia el usuario libre Minera Antamina redujo su carga en 55,06 MW. A las 15:24 h, el CCO-COES coordinó con el CC-CMA normalizar el total de sus suministros reducidos. A las 15:47 h, se conectó la línea.</t>
  </si>
  <si>
    <t>Desconectó la línea L-5031 (Colcabamba - Poroma) de 500 kV, por falla monofásica a tierra en la fase “T”. De acuerdo con lo informado por TRANSMANTARO, titular de la línea, la falla se produjo por descargas atmosféricas. El sistema de protección señalizó la activación de la función diferencial de línea (87) y ubicó la falla a 206,0 km de la S.E. Poroma. Como consecuencia el usuario libre Minera Cerro Verde redujo su carga de 209,00 MW a 86,00 MW. A las 16:18 h, el CCO-COES coordinó con el CC-MCV normalizar sus suministros reducidos. A las 16:52 h, se conectó la línea.</t>
  </si>
  <si>
    <t>Desconectó la línea L-6001 (Combapata - Sicuani) de 66 kV, por falla monofásica a tierra en la fase “T”. De acuerdo con lo informado por ELECTRO SUR ESTE, titular de la línea, el motivo de la falla se encuentra en investigación. El sistema de protección señalizó la activación de la función de distancia (21). Como consecuencia se interrumpió el suministro de la S.E. Sicuani con un total de 3,20 MW. A las 21:02 h, se conectó la línea y se inició la normalización del suministro interrumpido.</t>
  </si>
  <si>
    <t>Desconectaron las líneas L-6601 (Oroya Nueva – Canchayllo) de 69 kV, L-6525/L-6538 (Oroya Nueva – Pachachaca) y L-6513 (Oroya Nueva – Alambrón) de 50 kV en la S.E. Oroya Nueva. De acuerdo a lo informado por STATKRAFT, titular de los equipos, se presento falla en uno de los transformadores de la S.E. Alambrón de titularidad de la empresa MINERA DOE RUN. Como consecuencia se interrumpió el suministro de las subestaciones Casapalca Norte, Curipata, Carlos Francisco, Antuquito, San Mateo, Rosaura, Bellavista, Ticlio, Pachacayo, Chumpe y Azulcocha con un total de 46,45 MW. Asimismo, desconectaron las centrales hidroeléctricas Huanchor y Canchayllo cuando generaban 18,00 MW y 5,00 MW, respectivamente. A las 08:05 h y 08:06 h, se conectaron las líneas L-6538 y L-6525, respectivamente, y se inició la normalización del suministro interrumpido. A las 08:14 h y 08:23 h, se conectaron las líneas L-6601 y L-6513, respectivamente. A las 08:30 h y 08:42 h, sincronizaron las centrales hidroeléctricas Huanchor y Canchayllo, respectivamente.</t>
  </si>
  <si>
    <t>Desconectó la línea L-2055 (Cotaruse - Las Bambas) de 220 kV, cuya causa no fue informada por ATN2, titular de la línea. El sistema de protección señalizó la activación de la función diferencial de línea (87). Como consecuencia el usuario libre Minera Las Bambas redujo su carga en 20,36 MW. A las 14:22 h, se conectó la línea.</t>
  </si>
  <si>
    <t>Desconectó la línea L-6001 (Combapata - Sicuani) de 66 kV, por falla monofásica a tierra en la fase “T”. De acuerdo con lo informado por ELECTRO SUR ESTE, titular de la línea, el motivo de la falla se encuentra en investigación. El sistema de protección señalizó la activación de la función de distancia (21). Como consecuencia se interrumpió el suministro de la S.E. Sicuani con un total de 1,13 MW. A las 15:49 h, se conectó la línea y se inició la normalización del suministro interrumpido.</t>
  </si>
  <si>
    <t>Desconectó la línea L-6003 (Tamburco - Andahuaylas) de 60 kV, por falla. De acuerdo con lo informado por ELECTRO SUR ESTE, la falla se produjo por sobrecarga en la línea debido a toma de carga del usuario libre CATALINA HUANCA SOCIEDAD MINERA. El sistema de protección señalizó la activación de la función de sobre corriente de fases (51). Como consecuencia se interrumpió el suministro de la S.E. Andahuaylas con un total de 10,99 MW. A las 19:40 h, se conectó la línea y se inició la normalización del suministro interrumpido.</t>
  </si>
  <si>
    <t>Desconectó las líneas L-6698 (Piura Oeste - Sullana) y L-6662A (La Huaca – Sullana) de 60 kV por falla a tierra en la fase “S”, cuya causa no fue informada por ELECTRONOROESTE, titular de las líneas. El sistema de protección señalizo la activación de la función de distancia (21). El sistema de protección detecto la falla a una distancia de 19,80 km de la S.E. Piura Oeste. Como consecuencia, se interrumpió el suministro de las subestaciones de Sullana y Poechos con un total de 28,27 MW y salieron de servicio las centrales hidroeléctricas Poechos I y II con 2,00 MW, la C.H. Curumuy se encontraba fuera de servicio por falta de agua. A las 08:20 h, se conectó la línea L-6698 y inicio la recuperación del suministro interrumpido.</t>
  </si>
  <si>
    <t>Se produjo el recierre exitoso de la línea L-5031 (Colcabamba – Poroma) de 500 kV en la fase “S”, por falla. De acuerdo a lo informado por TRANSMANTARO, titular de la línea, la falla se produjo por descargas atmosféricas. No se produjo interrupción de suministros en el SEIN. El usuario libre Minera Cerro Verde reporto la reducción de su carga disminuyó su carga en 66,00 MW. A las 18:09 h, el CCO-COES coordinó con el CC-MCV, recuperar el total de su carga reducida.</t>
  </si>
  <si>
    <t>Desconectó la línea L-6066 (Cobriza I – Pampas) de 69 kV por falla monofásica a tierra en la fase “S”. De acuerdo a lo informado por ELECTROCENTRO, titular de la línea, la falla se produjo por descargas atmosféricas. El sistema de protección señalizo la activación de la función de sobre corriente a tierra (51N). Como consecuencia se interrumpió el suministro de la S.E. Pampas con 1,80 MW. A las 20:42 h, se conectó la línea L-6066 y se inicio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</si>
  <si>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8,02 MW. A las 11:31 h, se conectó la línea y se inició la normalización del suministro interrumpido.</t>
  </si>
  <si>
    <t>Desconectó la línea L-1048 (Talta – Tambomayo) de 138 kV, por falla bifásica a tierra entre las fases “R” y “T”. De acuerdo con lo informado por CONENHUA, titular de la línea, la falla se produjo por descargas atmosféricas. El sistema de protección señalizó la activación de la función diferencial de línea (87) y ubicó la falla a 26,48 km de la S.E. Talta. Como consecuencia se interrumpió el suministro de la S.E. Tambomayo con un total de 7,20 MW. A las 11:25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</si>
  <si>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5,23 MW. A las 12:05 h, se conectó la línea y se inició la normalización del suministro interrumpido.</t>
  </si>
  <si>
    <t>Desconectó la línea L-6690 (Santa Cruz I – Caraz) de 66 kV, por falla. De acuerdo con lo informado por HIDRANDINA, titular de la línea, la falla se produjo por descargas atmosféricas. El sistema de protección señalizó la activación de la función de distancia (21). Como consecuencia se interrumpió el suministro de las subestaciones Caraz y Carhuaz con un total de 5,18 MW. Asimismo, desconectaron las CC.HH. Santa Cruz I y II cuando generaban 5,12 MW y 5,95 MW, respectivamente. A las 18:32 h, se inició la normalización del suministro interrumpido a través de la conexión de la línea L-6684 (Huaraz – Caraz) de 66 kV. A las 18:42 h, se conectó la línea L-6690. A las 18:52 h y 19:02 h, sincronizaron las CC.HH. Santa Cruz II y I con el SEIN, respectivamente.</t>
  </si>
  <si>
    <t>Desconectó la línea L-1014 (San Gabán - Mazuko) de 138 kV, por falla trifásica. De acuerdo con lo informado por ELECTRO SUR ESTE, titular de la línea, la falla se produjo por descargas atmosféricas. Como consecuencia, se interrumpió el suministro de las subestaciones Mazuko y Puerto Maldonado con un total de 1,74 MW y 11,10 MW, respectivamente. Asimismo, desconectaron las CC.HH. Ángel I, II y III cuando generaban un total de 21,00 MW. A las 23:24 h, se conectó la línea y se inició la normalización del suministro interrumpido. A las 23:58 h, sincronizaron las centrales con el SEIN.</t>
  </si>
  <si>
    <t>Desconectó la línea L-6007 (Puno - Tukari) de 60 kV, por falla. De acuerdo con lo informado por MINERA ARUNTANI, titular de la línea, la falla se produjo por descargas atmosféricas. El sistema de protección señalizó la activación de la función de distancia (21). Como consecuencia se interrumpió el suministro de la S.E. Tukari con un total de 4,75 MW. A las 12:21 h, se conectó la línea y se inició la normalización del suministro interrumpido.</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</si>
  <si>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4,60 MW. A las 14:14 h, se conectó la línea y se inició la normalización del suministro interrumpido.</t>
  </si>
  <si>
    <t>Desconectaron las líneas L-6514/L-6516 y L-6515/L-6517 de 50 kV (Carhuamayo – Shelby – Excélsior), por falla monofásica a tierra en la fase “T”. De acuerdo con lo informado por STATKRAFT, titular de las líneas, la falla se produjo por fuertes vientos. El sistema de protección señalizó la activación de la función de sobre corriente direccional a tierra (67N). Como consecuencia se interrumpió el suministro de las subestaciones Shelby, San José, La Fundición y San Juan con un total de 10,47 MW. A las 15:28 h, se conectaron las líneas y se inició la normalización del suministro interrumpido.</t>
  </si>
  <si>
    <t>Se produjo un recierre monofásico exitoso en la línea L-5031 (Colcabamba - Poroma) de 500 kV, por falla monofásica a tierra en la fase “S”. De acuerdo con lo informado por TRANSMANTARO, titular de la línea, la falla se produjo por descargas atmosféricas. El sistema de protección señalizó la activación de la función diferencial de línea (87). Como consecuencia el usuario libre Minera Cerro Verde redujo su carga de 264,00 MW a 140 MW. A las 16.15 h, el CCO-COES coordinó con el CC-MCV la normalización de sus suministros reducidos.</t>
  </si>
  <si>
    <t>Desconectó la línea L-6078 (Parque industrial – Concepción) de 60 kV, por falla bifásica entre las fases “R” y “T”. De acuerdo con lo informado por ELECTROCENTRO, titular de la línea, la falla se produjo por caída de árbol sobre la línea. El sistema de protección señalizó la activación de la función de distancia (21) y ubicó la falla a 7,80 km de la S.E. Parque Industrial. Como consecuencia se interrumpió el suministro de las subestaciones Concepción, Xauxa, Ingenio y Comas con un total de 5,31 MW. Asimismo, desconectaron los grupos G1 y G2 de las CC.HH. Runatullo II y Runatulo III, respectivamente, cuando generaban un total de 18,68 MW. A las 19:54 h, se conectó la línea y se inició la normalización del suministro interrumpido.</t>
  </si>
  <si>
    <t>TRANSFORMADOR 3D</t>
  </si>
  <si>
    <t>Desconectó el transformador TR-COT-220-01 de 220/66 kV de la S.E. Cotaruse, por falla. De acuerdo con lo informado por MINERA ARES, titular del equipo, la falla se produjo por descargas atmosféricas. Como consecuencia se interrumpió el suministro de las subestaciones Selene y Quellopata con un total de 23,80 MW, aproximadamente. A las 17:43 h, se conectó el transformador y se inició la normalización del suministro interrumpido.</t>
  </si>
  <si>
    <t xml:space="preserve">TRANSFORMADOR </t>
  </si>
  <si>
    <t>SUBESTACIÓN</t>
  </si>
  <si>
    <t>VOLUMEN UTIL
31-12-2018</t>
  </si>
  <si>
    <t>VOLUMEN UTIL
31-12-2017</t>
  </si>
  <si>
    <t>diciembre</t>
  </si>
  <si>
    <t>L-1001</t>
  </si>
  <si>
    <t>MACHUPICCHU - CACHIMAYO</t>
  </si>
  <si>
    <t>L-2091</t>
  </si>
  <si>
    <t>CHILCA - DESIERTO</t>
  </si>
  <si>
    <t>AUT-201</t>
  </si>
  <si>
    <t>AUT-501</t>
  </si>
  <si>
    <t>CARHUAMAYO  NUEVA</t>
  </si>
  <si>
    <t>KIMAN AYLLU</t>
  </si>
  <si>
    <t>1.1. Producción de energía eléctrica en diciembre 2018 en comparación al mismo mes del año anterior</t>
  </si>
  <si>
    <t>El total de la producción de energía eléctrica de la empresas generadoras integrantes del COES en el mes de diciembre 2018 fue de 4 496,08  GWh, lo que representa un incremento de 285,38 GWh (6,78%) en comparación con el año 2017.</t>
  </si>
  <si>
    <t>La producción de electricidad con centrales hidroeléctricas durante el mes de diciembre 2018 fue de 2 436,21 GWh (3,25% menor al registrado durante diciembre del año 2017).</t>
  </si>
  <si>
    <t>La producción de electricidad con centrales termoeléctricas durante el mes de diciembre 2018 fue de 1 843,38 GWh, 19,87% mayor al registrado durante diciembre del año 2017. La participación del gas natural de Camisea fue de 38,42%, mientras que las del gas que proviene de los yacimientos de Aguaytía y Malacas fue del 1,89%, la producción con diesel, residual, carbón, biogás y bagazo tuvieron una intervención del 0,01%, 0,31%, 0,00%, 0,13%, 0,24% respectivamente.</t>
  </si>
  <si>
    <t>La producción de energía eléctrica con centrales eólicas fue de 92,03 GWh y con centrales solares fue de 62,63 GWh, los cuales tuvieron una participación de 3,11% y 1,7% respectivamente.</t>
  </si>
  <si>
    <t>ELECTRO ZAÑA</t>
  </si>
  <si>
    <t>ELECTRO ZAÑA Total</t>
  </si>
  <si>
    <t>HIDROMARAÑON/ CELEPSA RENOVABLES Total</t>
  </si>
  <si>
    <t>01/12/2018</t>
  </si>
  <si>
    <t>02/12/2018</t>
  </si>
  <si>
    <t>03/12/2018</t>
  </si>
  <si>
    <t>15:45</t>
  </si>
  <si>
    <t>04/12/2018</t>
  </si>
  <si>
    <t>05/12/2018</t>
  </si>
  <si>
    <t>06/12/2018</t>
  </si>
  <si>
    <t>07/12/2018</t>
  </si>
  <si>
    <t>08/12/2018</t>
  </si>
  <si>
    <t>09/12/2018</t>
  </si>
  <si>
    <t>10/12/2018</t>
  </si>
  <si>
    <t>11/12/2018</t>
  </si>
  <si>
    <t>12/12/2018</t>
  </si>
  <si>
    <t>13/12/2018</t>
  </si>
  <si>
    <t>14/12/2018</t>
  </si>
  <si>
    <t>15/12/2018</t>
  </si>
  <si>
    <t>16/12/2018</t>
  </si>
  <si>
    <t>17/12/2018</t>
  </si>
  <si>
    <t>18/12/2018</t>
  </si>
  <si>
    <t>19/12/2018</t>
  </si>
  <si>
    <t>20/12/2018</t>
  </si>
  <si>
    <t>21/12/2018</t>
  </si>
  <si>
    <t>22/12/2018</t>
  </si>
  <si>
    <t>23/12/2018</t>
  </si>
  <si>
    <t>24/12/2018</t>
  </si>
  <si>
    <t>25/12/2018</t>
  </si>
  <si>
    <t>26/12/2018</t>
  </si>
  <si>
    <t>27/12/2018</t>
  </si>
  <si>
    <t>15:00</t>
  </si>
  <si>
    <t>21:15</t>
  </si>
  <si>
    <t>28/12/2018</t>
  </si>
  <si>
    <t>29/12/2018</t>
  </si>
  <si>
    <t>30/12/2018</t>
  </si>
  <si>
    <t>31/12/2018</t>
  </si>
  <si>
    <t>144,48(1)</t>
  </si>
  <si>
    <t>123,61(2)</t>
  </si>
  <si>
    <t>103,95(3)</t>
  </si>
  <si>
    <t>44,54(1)</t>
  </si>
  <si>
    <t>132,30(1)</t>
  </si>
  <si>
    <t>07.11.2018</t>
  </si>
  <si>
    <t>C.H. Zaña</t>
  </si>
  <si>
    <t>G2</t>
  </si>
  <si>
    <t>29.12.2018</t>
  </si>
  <si>
    <t>KALLPA  (*)</t>
  </si>
  <si>
    <t>PETRAMAS  (**)</t>
  </si>
  <si>
    <t>LUZ DEL SUR / INLAND</t>
  </si>
  <si>
    <t>HIDROMARAÑON/ CELEPSA RENOVABLES  (****)</t>
  </si>
  <si>
    <t>CELEPSA RENOVABLES  (****)</t>
  </si>
  <si>
    <t>LUZ DEL SUR / INLAND  (***)</t>
  </si>
  <si>
    <t>L-6627</t>
  </si>
  <si>
    <t>TOTAL MWh</t>
  </si>
  <si>
    <t>C.H. CERRO DEL AGUILA  (1)</t>
  </si>
  <si>
    <t>C.T. LA GRINGA  (2)</t>
  </si>
  <si>
    <t>C.S. RUBI  (3)</t>
  </si>
  <si>
    <t>C.E. WAYRA I  (9)</t>
  </si>
  <si>
    <t>LUZ DEL SUR / INLANDTotal</t>
  </si>
  <si>
    <t>C.H. SANTA TERESA  (4)</t>
  </si>
  <si>
    <t>C.H. RENOVANDES H1  (5)</t>
  </si>
  <si>
    <t>C.T. OLLEROS  (6)</t>
  </si>
  <si>
    <t>C.S. INTIPAMPA  (7)</t>
  </si>
  <si>
    <t>HIDROMARAÑON/ CELEPSA RENOVABLES  (8)</t>
  </si>
  <si>
    <t>C.T. DOÑA CATALINA  (10)</t>
  </si>
  <si>
    <t>C.H. HER 1  (11)</t>
  </si>
  <si>
    <t>C.H. ÁNGEL I  (12)</t>
  </si>
  <si>
    <t>C.H. ÁNGEL II  (12)</t>
  </si>
  <si>
    <t>C.H. ÁNGEL III  (12)</t>
  </si>
  <si>
    <t>C.H. CARHUAC  (13)</t>
  </si>
  <si>
    <t>(14) Ingreso a operación comercial de la unidad G2 de C.H. Zaña propiedad de ELECTRO ZAÑA S.A.C. a partir del 29.12.2018</t>
  </si>
  <si>
    <t>(15) Se incluye la operación por puebas de la C.H. Patapo</t>
  </si>
  <si>
    <t>C.H. ZAÑA  (14)</t>
  </si>
  <si>
    <t>C.H. PATAPO  (15)</t>
  </si>
  <si>
    <t/>
  </si>
  <si>
    <t>LUZ DEL SUR / INLAND Total</t>
  </si>
  <si>
    <t>C.H. PATAPO (15)</t>
  </si>
  <si>
    <t>(*) Se denomina RER a los Recursos Energéticos Renovables tales como biomasa, eólica, solar, geotérmica, mareomotriz e hidráulicas cuya capacidad instalada no sobrepasa de los 20 MW, según D.L. N° 1002, Se consideran RER a las centrales adjudicadas</t>
  </si>
  <si>
    <t>Nota: La generación acumulada del año 2016 no considera la producción del día 29.02.2016</t>
  </si>
  <si>
    <t>(13) Ingreso a operación comercial de la C.H. Carhuac propiedad de ANDEAN POWER S.A.C. a partir del 07.11.2018</t>
  </si>
  <si>
    <t>(11) Ingreso a operación comercial de la C.H. Her 1, propiedad de ENEL GENERACIÓN PERU S.A. a partir del 30.08.2018</t>
  </si>
  <si>
    <t>(12) Ingreso a operación comercial de las C.C.H.H. Angel I, Angel II y Angel III; propiedad de GENERADORA DE ENERGÍA DEL PERU S.A. a partir del 30.08.2018</t>
  </si>
  <si>
    <t>(9) Ingreso a operación comercial de la C.E. Wayra I, propiedad de ENEL GREEN POWER PERU S.A.  a partir del 19.05.2018</t>
  </si>
  <si>
    <t>(10) Ingreso a operación comercial de la C.T. Doña. Catalina, propiedad de PETRAMAS S.A.  a partir del 29.08.2018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</si>
</sst>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s>
  <fonts count="85">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5351115451523"/>
      </right>
      <top/>
      <bottom style="thin">
        <color theme="3" tint="0.39994506668294322"/>
      </bottom>
      <diagonal/>
    </border>
    <border>
      <left style="hair">
        <color theme="3" tint="0.39985351115451523"/>
      </left>
      <right style="hair">
        <color theme="3" tint="0.39988402966399123"/>
      </right>
      <top/>
      <bottom style="thin">
        <color theme="3" tint="0.39994506668294322"/>
      </bottom>
      <diagonal/>
    </border>
    <border>
      <left/>
      <right style="thin">
        <color theme="3" tint="0.39991454817346722"/>
      </right>
      <top/>
      <bottom style="thin">
        <color theme="3" tint="0.39994506668294322"/>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1035">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167"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6"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5"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5"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5" fontId="13" fillId="0" borderId="1" xfId="0" applyNumberFormat="1" applyFont="1" applyFill="1" applyBorder="1" applyAlignment="1">
      <alignment horizontal="right"/>
    </xf>
    <xf numFmtId="0" fontId="13" fillId="0" borderId="0" xfId="0" applyFont="1" applyBorder="1" applyAlignment="1"/>
    <xf numFmtId="167" fontId="13" fillId="0" borderId="0" xfId="2" applyNumberFormat="1" applyFont="1" applyFill="1" applyBorder="1" applyAlignment="1">
      <alignment horizontal="right"/>
    </xf>
    <xf numFmtId="165"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5" fontId="13" fillId="0" borderId="0" xfId="0" applyNumberFormat="1" applyFont="1" applyFill="1" applyBorder="1" applyAlignment="1">
      <alignment horizontal="left"/>
    </xf>
    <xf numFmtId="1" fontId="13" fillId="0" borderId="1" xfId="0" applyNumberFormat="1" applyFont="1" applyFill="1" applyBorder="1"/>
    <xf numFmtId="166"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6"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8"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9"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7" fontId="4" fillId="0" borderId="0" xfId="2"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8" fontId="4"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7" fontId="5" fillId="0" borderId="0" xfId="2" applyNumberFormat="1" applyFont="1" applyFill="1" applyBorder="1" applyAlignment="1">
      <alignment horizontal="right" vertical="center"/>
    </xf>
    <xf numFmtId="170"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8" fontId="21" fillId="0" borderId="0" xfId="0" applyNumberFormat="1" applyFont="1" applyFill="1" applyBorder="1" applyAlignment="1">
      <alignment horizontal="right" vertical="center"/>
    </xf>
    <xf numFmtId="167" fontId="21" fillId="0" borderId="0" xfId="2" quotePrefix="1" applyNumberFormat="1" applyFont="1" applyFill="1" applyBorder="1" applyAlignment="1">
      <alignment horizontal="left" vertical="center"/>
    </xf>
    <xf numFmtId="167"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Fill="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8" fontId="21" fillId="2" borderId="0" xfId="0" applyNumberFormat="1" applyFont="1" applyFill="1" applyBorder="1" applyAlignment="1">
      <alignment horizontal="right" vertical="center"/>
    </xf>
    <xf numFmtId="167" fontId="21" fillId="2" borderId="0" xfId="2" applyNumberFormat="1" applyFont="1" applyFill="1" applyBorder="1" applyAlignment="1">
      <alignment horizontal="right" vertical="center"/>
    </xf>
    <xf numFmtId="167"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68" fontId="13" fillId="0" borderId="24" xfId="0" applyNumberFormat="1" applyFont="1" applyFill="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Fill="1" applyBorder="1" applyAlignment="1">
      <alignment horizontal="lef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7" fontId="4" fillId="2" borderId="0" xfId="2" applyNumberFormat="1" applyFont="1" applyFill="1" applyBorder="1"/>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7" fontId="21" fillId="2" borderId="0" xfId="2" applyNumberFormat="1" applyFont="1" applyFill="1" applyBorder="1"/>
    <xf numFmtId="170" fontId="13" fillId="4" borderId="3" xfId="0" applyNumberFormat="1" applyFont="1" applyFill="1" applyBorder="1" applyAlignment="1">
      <alignment horizontal="left" vertical="center"/>
    </xf>
    <xf numFmtId="170" fontId="13" fillId="0" borderId="3" xfId="0" applyNumberFormat="1" applyFont="1" applyFill="1" applyBorder="1" applyAlignment="1">
      <alignment horizontal="left" vertical="center"/>
    </xf>
    <xf numFmtId="170" fontId="13" fillId="4" borderId="41" xfId="0" applyNumberFormat="1" applyFont="1" applyFill="1" applyBorder="1" applyAlignment="1">
      <alignment horizontal="left" vertical="center"/>
    </xf>
    <xf numFmtId="170" fontId="21" fillId="0" borderId="55" xfId="0" applyNumberFormat="1" applyFont="1" applyFill="1" applyBorder="1" applyAlignment="1">
      <alignment horizontal="left" vertical="center"/>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5"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0" fontId="13" fillId="2" borderId="0" xfId="0" quotePrefix="1" applyNumberFormat="1" applyFont="1" applyFill="1" applyBorder="1" applyAlignment="1">
      <alignment horizontal="right" vertical="top"/>
    </xf>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5" fontId="13" fillId="0" borderId="0" xfId="0" applyNumberFormat="1" applyFont="1" applyFill="1" applyBorder="1" applyAlignment="1">
      <alignment horizontal="center" vertical="center"/>
    </xf>
    <xf numFmtId="2" fontId="13" fillId="0" borderId="0" xfId="0" applyNumberFormat="1" applyFont="1" applyFill="1" applyAlignment="1">
      <alignment vertical="center"/>
    </xf>
    <xf numFmtId="4" fontId="13" fillId="0" borderId="79"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0" fontId="13"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70" fontId="13" fillId="2" borderId="0" xfId="0" applyNumberFormat="1" applyFont="1" applyFill="1"/>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29"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10" fontId="21" fillId="0" borderId="0" xfId="2" applyNumberFormat="1" applyFont="1" applyFill="1" applyBorder="1" applyAlignment="1">
      <alignment horizontal="right"/>
    </xf>
    <xf numFmtId="168" fontId="13" fillId="0" borderId="25" xfId="0" applyNumberFormat="1" applyFont="1" applyFill="1" applyBorder="1" applyAlignment="1">
      <alignment horizontal="left"/>
    </xf>
    <xf numFmtId="168"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7"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170" fontId="13" fillId="0" borderId="3" xfId="0" applyNumberFormat="1" applyFont="1" applyFill="1" applyBorder="1" applyAlignment="1">
      <alignment horizontal="left"/>
    </xf>
    <xf numFmtId="166"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13" fillId="0" borderId="25" xfId="0" applyNumberFormat="1" applyFont="1" applyFill="1" applyBorder="1" applyAlignment="1">
      <alignment horizontal="left" vertical="center"/>
    </xf>
    <xf numFmtId="166"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0" fontId="0" fillId="0" borderId="0" xfId="0" applyNumberFormat="1" applyFont="1"/>
    <xf numFmtId="0" fontId="0" fillId="0" borderId="0" xfId="0" applyNumberFormat="1" applyFont="1" applyAlignment="1">
      <alignment horizontal="right"/>
    </xf>
    <xf numFmtId="2" fontId="0" fillId="0" borderId="0" xfId="0" applyNumberFormat="1"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73" xfId="0" applyNumberFormat="1" applyFont="1" applyFill="1" applyBorder="1" applyAlignment="1">
      <alignment horizontal="center" vertical="center" wrapText="1"/>
    </xf>
    <xf numFmtId="167" fontId="13" fillId="0" borderId="79" xfId="2" applyNumberFormat="1" applyFont="1" applyBorder="1" applyAlignment="1">
      <alignment horizontal="center" vertical="center"/>
    </xf>
    <xf numFmtId="0" fontId="37" fillId="2" borderId="0" xfId="0" applyNumberFormat="1" applyFont="1" applyFill="1" applyBorder="1" applyAlignment="1"/>
    <xf numFmtId="0" fontId="37" fillId="2" borderId="0" xfId="0" applyNumberFormat="1" applyFont="1" applyFill="1" applyBorder="1"/>
    <xf numFmtId="0" fontId="33" fillId="2" borderId="0" xfId="0" applyNumberFormat="1" applyFont="1" applyFill="1" applyAlignment="1"/>
    <xf numFmtId="0" fontId="21" fillId="2" borderId="0" xfId="0" quotePrefix="1" applyNumberFormat="1" applyFont="1" applyFill="1" applyAlignment="1">
      <alignment vertical="center"/>
    </xf>
    <xf numFmtId="0" fontId="30" fillId="0" borderId="0" xfId="0" applyFont="1" applyFill="1"/>
    <xf numFmtId="0" fontId="30" fillId="0" borderId="0" xfId="0" applyFont="1"/>
    <xf numFmtId="0" fontId="33" fillId="0" borderId="0" xfId="0" applyFont="1" applyFill="1" applyBorder="1" applyAlignment="1">
      <alignment vertical="center"/>
    </xf>
    <xf numFmtId="0" fontId="33" fillId="0" borderId="0" xfId="0" applyNumberFormat="1" applyFont="1" applyFill="1" applyAlignment="1">
      <alignment vertical="center" wrapText="1"/>
    </xf>
    <xf numFmtId="0" fontId="33" fillId="0" borderId="0" xfId="0" applyNumberFormat="1" applyFont="1" applyFill="1" applyAlignment="1">
      <alignment horizontal="left" vertical="center" wrapText="1"/>
    </xf>
    <xf numFmtId="2" fontId="33" fillId="0" borderId="0" xfId="0" applyNumberFormat="1" applyFont="1" applyFill="1" applyAlignment="1">
      <alignment vertical="center" wrapText="1"/>
    </xf>
    <xf numFmtId="4" fontId="27" fillId="0" borderId="126" xfId="0" applyNumberFormat="1" applyFont="1" applyBorder="1" applyAlignment="1">
      <alignment vertical="center"/>
    </xf>
    <xf numFmtId="4" fontId="27" fillId="0" borderId="126" xfId="0" applyNumberFormat="1" applyFont="1" applyBorder="1"/>
    <xf numFmtId="4" fontId="27" fillId="6" borderId="126" xfId="0" applyNumberFormat="1" applyFont="1" applyFill="1" applyBorder="1"/>
    <xf numFmtId="174" fontId="0" fillId="0" borderId="0" xfId="0" applyNumberFormat="1" applyFont="1"/>
    <xf numFmtId="0" fontId="3" fillId="0" borderId="0" xfId="0" applyNumberFormat="1" applyFont="1"/>
    <xf numFmtId="0" fontId="4" fillId="0" borderId="0" xfId="0" applyNumberFormat="1" applyFont="1"/>
    <xf numFmtId="0" fontId="33" fillId="2" borderId="0" xfId="0" applyNumberFormat="1" applyFont="1" applyFill="1" applyAlignment="1">
      <alignment horizontal="left" vertical="center"/>
    </xf>
    <xf numFmtId="0" fontId="33" fillId="2" borderId="0" xfId="0" applyNumberFormat="1" applyFont="1" applyFill="1" applyAlignment="1">
      <alignment vertical="center"/>
    </xf>
    <xf numFmtId="0" fontId="30" fillId="0" borderId="0" xfId="0" applyFont="1" applyFill="1" applyAlignment="1">
      <alignment vertical="center"/>
    </xf>
    <xf numFmtId="0" fontId="33"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5" fontId="27"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Fill="1" applyAlignment="1">
      <alignment horizontal="center" vertical="center"/>
    </xf>
    <xf numFmtId="0" fontId="31" fillId="0" borderId="73" xfId="0" applyNumberFormat="1" applyFont="1" applyFill="1" applyBorder="1" applyAlignment="1">
      <alignment vertical="center" wrapText="1"/>
    </xf>
    <xf numFmtId="22" fontId="31" fillId="0" borderId="73" xfId="0" applyNumberFormat="1" applyFont="1" applyFill="1" applyBorder="1" applyAlignment="1">
      <alignment horizontal="center" vertical="center" wrapText="1"/>
    </xf>
    <xf numFmtId="0" fontId="31" fillId="0" borderId="73"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3" fillId="0" borderId="0" xfId="0" applyFont="1" applyFill="1" applyAlignment="1"/>
    <xf numFmtId="0" fontId="44" fillId="0" borderId="0" xfId="0" applyFont="1" applyFill="1" applyBorder="1" applyAlignment="1">
      <alignment vertical="center"/>
    </xf>
    <xf numFmtId="0" fontId="45" fillId="0" borderId="0" xfId="0" applyFont="1" applyFill="1" applyAlignment="1">
      <alignment vertical="center"/>
    </xf>
    <xf numFmtId="0" fontId="44" fillId="0" borderId="0" xfId="0" applyNumberFormat="1" applyFont="1" applyFill="1" applyBorder="1" applyAlignment="1">
      <alignment vertical="center"/>
    </xf>
    <xf numFmtId="0" fontId="46" fillId="0" borderId="0" xfId="0" applyFont="1" applyFill="1" applyBorder="1" applyAlignment="1">
      <alignment vertical="center"/>
    </xf>
    <xf numFmtId="0" fontId="44" fillId="0" borderId="0" xfId="0" applyFont="1" applyFill="1" applyBorder="1" applyAlignment="1">
      <alignment horizontal="center" vertical="center"/>
    </xf>
    <xf numFmtId="0" fontId="46" fillId="0" borderId="0" xfId="0" applyFont="1" applyFill="1" applyBorder="1" applyAlignment="1">
      <alignment horizontal="justify" vertical="center"/>
    </xf>
    <xf numFmtId="0" fontId="47" fillId="0" borderId="0" xfId="0" applyFont="1" applyFill="1" applyBorder="1" applyAlignment="1">
      <alignment vertical="center"/>
    </xf>
    <xf numFmtId="0" fontId="45"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8"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0" fillId="0" borderId="0" xfId="0" applyFont="1" applyFill="1" applyBorder="1" applyAlignment="1">
      <alignment vertical="center"/>
    </xf>
    <xf numFmtId="0" fontId="51" fillId="0" borderId="0" xfId="0" applyFont="1" applyFill="1" applyAlignment="1">
      <alignment vertical="center"/>
    </xf>
    <xf numFmtId="0" fontId="50" fillId="0" borderId="0" xfId="0" applyNumberFormat="1" applyFont="1" applyFill="1" applyBorder="1" applyAlignment="1">
      <alignment vertical="center"/>
    </xf>
    <xf numFmtId="0" fontId="51" fillId="0" borderId="0" xfId="0" applyFont="1" applyFill="1" applyBorder="1" applyAlignment="1">
      <alignment vertical="center"/>
    </xf>
    <xf numFmtId="0" fontId="52" fillId="0" borderId="0" xfId="0" applyFont="1" applyFill="1" applyBorder="1" applyAlignment="1">
      <alignment vertical="center"/>
    </xf>
    <xf numFmtId="0" fontId="52" fillId="0" borderId="0" xfId="0" applyFont="1" applyFill="1" applyBorder="1" applyAlignment="1">
      <alignment horizontal="right" vertical="center"/>
    </xf>
    <xf numFmtId="0" fontId="50" fillId="0" borderId="0" xfId="0" applyFont="1" applyFill="1" applyBorder="1" applyAlignment="1">
      <alignment horizontal="center" vertical="center"/>
    </xf>
    <xf numFmtId="0" fontId="52" fillId="0" borderId="0" xfId="0" applyFont="1" applyFill="1" applyBorder="1" applyAlignment="1">
      <alignment horizontal="justify" vertical="center"/>
    </xf>
    <xf numFmtId="17" fontId="53" fillId="0" borderId="0" xfId="0" applyNumberFormat="1" applyFont="1" applyFill="1" applyBorder="1" applyAlignment="1">
      <alignment vertical="center"/>
    </xf>
    <xf numFmtId="2" fontId="53" fillId="0" borderId="0" xfId="0" applyNumberFormat="1" applyFont="1" applyFill="1" applyBorder="1" applyAlignment="1">
      <alignment vertical="center"/>
    </xf>
    <xf numFmtId="0" fontId="53" fillId="0" borderId="0" xfId="0" quotePrefix="1" applyNumberFormat="1" applyFont="1" applyFill="1" applyBorder="1" applyAlignment="1">
      <alignment vertical="center" wrapText="1"/>
    </xf>
    <xf numFmtId="2" fontId="53" fillId="0" borderId="0" xfId="0" quotePrefix="1" applyNumberFormat="1" applyFont="1" applyFill="1" applyBorder="1" applyAlignment="1">
      <alignment vertical="center" wrapText="1"/>
    </xf>
    <xf numFmtId="0" fontId="53" fillId="0" borderId="0" xfId="0" applyFont="1" applyFill="1" applyBorder="1" applyAlignment="1">
      <alignment vertical="center"/>
    </xf>
    <xf numFmtId="0" fontId="53" fillId="0" borderId="0" xfId="0" applyFont="1" applyFill="1" applyAlignment="1">
      <alignment vertical="center"/>
    </xf>
    <xf numFmtId="14" fontId="50" fillId="0" borderId="0" xfId="0" applyNumberFormat="1" applyFont="1" applyFill="1" applyBorder="1" applyAlignment="1">
      <alignment vertical="center"/>
    </xf>
    <xf numFmtId="0" fontId="51" fillId="0" borderId="0" xfId="0" applyFont="1" applyAlignment="1">
      <alignment vertical="center"/>
    </xf>
    <xf numFmtId="0" fontId="49" fillId="0" borderId="0" xfId="0" applyFont="1" applyBorder="1" applyAlignment="1">
      <alignment vertical="center"/>
    </xf>
    <xf numFmtId="1" fontId="54" fillId="0" borderId="0" xfId="0" applyNumberFormat="1" applyFont="1" applyFill="1" applyBorder="1" applyAlignment="1">
      <alignment horizontal="center" vertical="center"/>
    </xf>
    <xf numFmtId="171" fontId="55" fillId="7" borderId="0" xfId="3" applyFont="1" applyFill="1" applyBorder="1"/>
    <xf numFmtId="0" fontId="51" fillId="0" borderId="0" xfId="0" applyNumberFormat="1" applyFont="1" applyFill="1"/>
    <xf numFmtId="1" fontId="56" fillId="0" borderId="0" xfId="3" applyNumberFormat="1" applyFont="1" applyFill="1" applyBorder="1" applyAlignment="1">
      <alignment horizontal="center"/>
    </xf>
    <xf numFmtId="172" fontId="56" fillId="0" borderId="0" xfId="3" applyNumberFormat="1" applyFont="1" applyBorder="1" applyAlignment="1">
      <alignment horizontal="center"/>
    </xf>
    <xf numFmtId="2" fontId="57" fillId="0" borderId="0" xfId="3" applyNumberFormat="1" applyFont="1" applyFill="1"/>
    <xf numFmtId="0" fontId="51" fillId="0" borderId="0" xfId="0" applyNumberFormat="1" applyFont="1" applyFill="1" applyAlignment="1">
      <alignment vertical="center"/>
    </xf>
    <xf numFmtId="165" fontId="54" fillId="0" borderId="0" xfId="0" applyNumberFormat="1" applyFont="1" applyFill="1" applyBorder="1" applyAlignment="1">
      <alignment horizontal="right" vertical="center"/>
    </xf>
    <xf numFmtId="166" fontId="54" fillId="0" borderId="0" xfId="0" applyNumberFormat="1" applyFont="1" applyFill="1" applyBorder="1" applyAlignment="1">
      <alignment horizontal="right" vertical="center"/>
    </xf>
    <xf numFmtId="167" fontId="54" fillId="0" borderId="0" xfId="2" applyNumberFormat="1" applyFont="1" applyFill="1" applyBorder="1" applyAlignment="1">
      <alignment horizontal="right" vertical="center"/>
    </xf>
    <xf numFmtId="2" fontId="57" fillId="2" borderId="0" xfId="3" applyNumberFormat="1" applyFont="1" applyFill="1"/>
    <xf numFmtId="0" fontId="54" fillId="0" borderId="0" xfId="0" applyFont="1" applyBorder="1" applyAlignment="1">
      <alignment vertical="center"/>
    </xf>
    <xf numFmtId="0" fontId="54" fillId="0" borderId="0" xfId="0" applyFont="1" applyAlignment="1">
      <alignment vertical="center"/>
    </xf>
    <xf numFmtId="2" fontId="58" fillId="0" borderId="0" xfId="0" applyNumberFormat="1" applyFont="1"/>
    <xf numFmtId="2" fontId="57" fillId="0" borderId="0" xfId="3" applyNumberFormat="1" applyFont="1" applyFill="1" applyAlignment="1">
      <alignment horizontal="center"/>
    </xf>
    <xf numFmtId="0" fontId="59" fillId="0" borderId="0" xfId="0" applyFont="1" applyBorder="1" applyAlignment="1">
      <alignment vertical="center"/>
    </xf>
    <xf numFmtId="49" fontId="31" fillId="0" borderId="0" xfId="0" applyNumberFormat="1" applyFont="1" applyFill="1" applyBorder="1" applyAlignment="1">
      <alignment horizontal="center"/>
    </xf>
    <xf numFmtId="0" fontId="31" fillId="0" borderId="0" xfId="0" applyFont="1"/>
    <xf numFmtId="1" fontId="0" fillId="0" borderId="0" xfId="0" applyNumberFormat="1" applyFont="1" applyFill="1" applyBorder="1"/>
    <xf numFmtId="1" fontId="31" fillId="0" borderId="0" xfId="0" applyNumberFormat="1" applyFont="1" applyFill="1" applyBorder="1" applyAlignment="1">
      <alignment horizontal="right"/>
    </xf>
    <xf numFmtId="0" fontId="31" fillId="0" borderId="0" xfId="0" applyFont="1" applyAlignment="1">
      <alignment horizontal="right"/>
    </xf>
    <xf numFmtId="165" fontId="0" fillId="0" borderId="0" xfId="0" applyNumberFormat="1" applyFont="1" applyFill="1" applyBorder="1" applyAlignment="1">
      <alignment horizontal="right"/>
    </xf>
    <xf numFmtId="49" fontId="31" fillId="0" borderId="0" xfId="0" applyNumberFormat="1" applyFont="1" applyBorder="1" applyAlignment="1">
      <alignment horizontal="right"/>
    </xf>
    <xf numFmtId="49" fontId="31" fillId="0" borderId="0" xfId="0" applyNumberFormat="1" applyFont="1" applyFill="1" applyBorder="1" applyAlignment="1">
      <alignment horizontal="right"/>
    </xf>
    <xf numFmtId="165" fontId="31" fillId="0" borderId="0" xfId="0" applyNumberFormat="1" applyFont="1" applyFill="1" applyBorder="1" applyAlignment="1">
      <alignment horizontal="right"/>
    </xf>
    <xf numFmtId="167" fontId="0" fillId="0" borderId="0" xfId="2" applyNumberFormat="1" applyFont="1" applyFill="1" applyBorder="1" applyAlignment="1">
      <alignment horizontal="right"/>
    </xf>
    <xf numFmtId="0" fontId="31" fillId="0" borderId="0" xfId="0" applyFont="1" applyBorder="1" applyAlignment="1">
      <alignment horizontal="right"/>
    </xf>
    <xf numFmtId="166" fontId="0" fillId="0" borderId="0" xfId="0" applyNumberFormat="1" applyFont="1" applyFill="1" applyBorder="1" applyAlignment="1">
      <alignment horizontal="right"/>
    </xf>
    <xf numFmtId="14" fontId="27" fillId="0" borderId="126" xfId="0" applyNumberFormat="1" applyFont="1" applyBorder="1"/>
    <xf numFmtId="0" fontId="60" fillId="0" borderId="0" xfId="0" applyFont="1" applyFill="1" applyBorder="1" applyAlignment="1">
      <alignment vertical="center"/>
    </xf>
    <xf numFmtId="0" fontId="60" fillId="0" borderId="0" xfId="0" quotePrefix="1" applyNumberFormat="1" applyFont="1" applyFill="1" applyBorder="1" applyAlignment="1">
      <alignment vertical="center" wrapText="1"/>
    </xf>
    <xf numFmtId="0" fontId="60" fillId="0" borderId="0" xfId="0" applyNumberFormat="1" applyFont="1" applyFill="1" applyBorder="1" applyAlignment="1">
      <alignment vertical="center"/>
    </xf>
    <xf numFmtId="0" fontId="60"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0" fillId="0" borderId="0" xfId="0" applyNumberFormat="1" applyFont="1" applyFill="1"/>
    <xf numFmtId="2" fontId="51" fillId="0" borderId="0" xfId="0" applyNumberFormat="1" applyFont="1" applyFill="1" applyAlignment="1">
      <alignment vertical="center"/>
    </xf>
    <xf numFmtId="2" fontId="52" fillId="0" borderId="0" xfId="0" applyNumberFormat="1" applyFont="1" applyFill="1" applyBorder="1" applyAlignment="1">
      <alignment vertical="center"/>
    </xf>
    <xf numFmtId="0" fontId="61" fillId="0" borderId="73" xfId="0" applyFont="1" applyFill="1" applyBorder="1" applyAlignment="1">
      <alignment vertical="center" wrapText="1"/>
    </xf>
    <xf numFmtId="22" fontId="61" fillId="0" borderId="73" xfId="0" applyNumberFormat="1" applyFont="1" applyFill="1" applyBorder="1" applyAlignment="1">
      <alignment horizontal="center" vertical="center"/>
    </xf>
    <xf numFmtId="0" fontId="61" fillId="0" borderId="73" xfId="0" applyFont="1" applyFill="1" applyBorder="1" applyAlignment="1">
      <alignment horizontal="justify" vertical="center"/>
    </xf>
    <xf numFmtId="0" fontId="61" fillId="0" borderId="73" xfId="0" applyFont="1" applyFill="1" applyBorder="1" applyAlignment="1">
      <alignment horizontal="center" vertical="center"/>
    </xf>
    <xf numFmtId="0" fontId="61" fillId="0" borderId="73" xfId="0" applyNumberFormat="1" applyFont="1" applyFill="1" applyBorder="1" applyAlignment="1">
      <alignment vertical="center" wrapText="1"/>
    </xf>
    <xf numFmtId="22" fontId="61" fillId="0" borderId="73" xfId="0" applyNumberFormat="1" applyFont="1" applyFill="1" applyBorder="1" applyAlignment="1">
      <alignment horizontal="center" vertical="center" wrapText="1"/>
    </xf>
    <xf numFmtId="0" fontId="61" fillId="0" borderId="73" xfId="0" applyNumberFormat="1" applyFont="1" applyFill="1" applyBorder="1" applyAlignment="1">
      <alignment horizontal="justify" vertical="center" wrapText="1"/>
    </xf>
    <xf numFmtId="0" fontId="61" fillId="0" borderId="73" xfId="0" applyNumberFormat="1" applyFont="1" applyFill="1" applyBorder="1" applyAlignment="1">
      <alignment horizontal="center" vertical="center" wrapText="1"/>
    </xf>
    <xf numFmtId="0" fontId="23" fillId="2" borderId="0" xfId="0" applyNumberFormat="1" applyFont="1" applyFill="1" applyBorder="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6" fontId="27" fillId="0" borderId="63" xfId="0" applyNumberFormat="1" applyFont="1" applyFill="1" applyBorder="1" applyAlignment="1">
      <alignment vertical="center"/>
    </xf>
    <xf numFmtId="0" fontId="32" fillId="3" borderId="0" xfId="0" applyFont="1" applyFill="1" applyBorder="1" applyAlignment="1">
      <alignment vertical="center"/>
    </xf>
    <xf numFmtId="4" fontId="32" fillId="3" borderId="0" xfId="0" applyNumberFormat="1" applyFont="1" applyFill="1" applyBorder="1" applyAlignment="1">
      <alignment vertical="center"/>
    </xf>
    <xf numFmtId="10" fontId="32" fillId="3" borderId="0"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4" borderId="63" xfId="0" applyFont="1" applyFill="1" applyBorder="1" applyAlignment="1">
      <alignment vertical="center"/>
    </xf>
    <xf numFmtId="170" fontId="27" fillId="4" borderId="63" xfId="0" applyNumberFormat="1" applyFont="1" applyFill="1" applyBorder="1" applyAlignment="1">
      <alignment vertical="center"/>
    </xf>
    <xf numFmtId="167" fontId="33" fillId="4" borderId="63"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65" xfId="0" applyFont="1" applyFill="1" applyBorder="1" applyAlignment="1">
      <alignment vertical="center"/>
    </xf>
    <xf numFmtId="170" fontId="27" fillId="4" borderId="65" xfId="0" applyNumberFormat="1" applyFont="1" applyFill="1" applyBorder="1" applyAlignment="1">
      <alignment vertical="center"/>
    </xf>
    <xf numFmtId="167" fontId="33" fillId="4" borderId="65" xfId="2" applyNumberFormat="1" applyFont="1" applyFill="1" applyBorder="1" applyAlignment="1">
      <alignment vertical="center"/>
    </xf>
    <xf numFmtId="0" fontId="27" fillId="2" borderId="65" xfId="0" applyFont="1" applyFill="1" applyBorder="1" applyAlignment="1">
      <alignment vertical="center"/>
    </xf>
    <xf numFmtId="170" fontId="27" fillId="2" borderId="65" xfId="0" applyNumberFormat="1" applyFont="1" applyFill="1" applyBorder="1" applyAlignment="1">
      <alignment vertical="center"/>
    </xf>
    <xf numFmtId="167" fontId="33" fillId="2" borderId="65" xfId="2" applyNumberFormat="1" applyFont="1" applyFill="1" applyBorder="1" applyAlignment="1">
      <alignment vertical="center"/>
    </xf>
    <xf numFmtId="0" fontId="27" fillId="4" borderId="131" xfId="0" applyFont="1" applyFill="1" applyBorder="1" applyAlignment="1">
      <alignment vertical="center"/>
    </xf>
    <xf numFmtId="170" fontId="27" fillId="4" borderId="131" xfId="0" applyNumberFormat="1" applyFont="1" applyFill="1" applyBorder="1" applyAlignment="1">
      <alignment vertical="center"/>
    </xf>
    <xf numFmtId="167" fontId="33" fillId="4" borderId="131" xfId="2" applyNumberFormat="1" applyFont="1" applyFill="1" applyBorder="1" applyAlignment="1">
      <alignment vertical="center"/>
    </xf>
    <xf numFmtId="0" fontId="27" fillId="2" borderId="0" xfId="0" applyFont="1" applyFill="1" applyBorder="1" applyAlignment="1">
      <alignment vertical="center"/>
    </xf>
    <xf numFmtId="167" fontId="33" fillId="2" borderId="48" xfId="2" applyNumberFormat="1" applyFont="1" applyFill="1" applyBorder="1" applyAlignment="1">
      <alignment vertical="center"/>
    </xf>
    <xf numFmtId="0" fontId="27" fillId="4" borderId="0" xfId="0" applyFont="1" applyFill="1" applyBorder="1" applyAlignment="1">
      <alignment vertical="center"/>
    </xf>
    <xf numFmtId="167" fontId="33" fillId="4" borderId="48" xfId="2" applyNumberFormat="1" applyFont="1" applyFill="1" applyBorder="1" applyAlignment="1">
      <alignment vertical="center"/>
    </xf>
    <xf numFmtId="167"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7"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83" xfId="0" applyNumberFormat="1" applyFont="1" applyFill="1" applyBorder="1" applyAlignment="1">
      <alignment horizontal="center" vertical="center" wrapText="1"/>
    </xf>
    <xf numFmtId="0" fontId="63" fillId="2" borderId="83" xfId="0" applyNumberFormat="1" applyFont="1" applyFill="1" applyBorder="1" applyAlignment="1">
      <alignment horizontal="center" vertical="center"/>
    </xf>
    <xf numFmtId="0" fontId="63" fillId="2" borderId="83" xfId="2" applyNumberFormat="1" applyFont="1" applyFill="1" applyBorder="1" applyAlignment="1">
      <alignment horizontal="center" vertical="center"/>
    </xf>
    <xf numFmtId="0" fontId="62" fillId="0" borderId="83" xfId="0" applyNumberFormat="1" applyFont="1" applyFill="1" applyBorder="1" applyAlignment="1">
      <alignment horizontal="center" vertical="center"/>
    </xf>
    <xf numFmtId="4" fontId="63" fillId="0" borderId="83" xfId="0" applyNumberFormat="1" applyFont="1" applyFill="1" applyBorder="1" applyAlignment="1">
      <alignment horizontal="center" vertical="center"/>
    </xf>
    <xf numFmtId="0" fontId="62" fillId="4" borderId="83" xfId="0" applyFont="1" applyFill="1" applyBorder="1" applyAlignment="1">
      <alignment vertical="center"/>
    </xf>
    <xf numFmtId="0" fontId="63" fillId="4" borderId="83" xfId="0" applyNumberFormat="1" applyFont="1" applyFill="1" applyBorder="1" applyAlignment="1">
      <alignment horizontal="center" vertical="center"/>
    </xf>
    <xf numFmtId="0" fontId="63" fillId="4" borderId="83" xfId="2" applyNumberFormat="1" applyFont="1" applyFill="1" applyBorder="1" applyAlignment="1">
      <alignment horizontal="center" vertical="center"/>
    </xf>
    <xf numFmtId="0" fontId="62" fillId="4" borderId="83" xfId="0" applyNumberFormat="1" applyFont="1" applyFill="1" applyBorder="1" applyAlignment="1">
      <alignment horizontal="center" vertical="center"/>
    </xf>
    <xf numFmtId="4" fontId="63" fillId="4" borderId="83" xfId="0" applyNumberFormat="1" applyFont="1" applyFill="1" applyBorder="1" applyAlignment="1">
      <alignment horizontal="center" vertical="center"/>
    </xf>
    <xf numFmtId="0" fontId="31" fillId="0" borderId="0" xfId="0" applyNumberFormat="1" applyFont="1" applyFill="1" applyBorder="1" applyAlignment="1">
      <alignment vertical="center" wrapText="1"/>
    </xf>
    <xf numFmtId="22" fontId="31" fillId="0" borderId="0" xfId="0" applyNumberFormat="1" applyFont="1" applyFill="1" applyBorder="1" applyAlignment="1">
      <alignment horizontal="center" vertical="center" wrapText="1"/>
    </xf>
    <xf numFmtId="0" fontId="61" fillId="0" borderId="0" xfId="0" applyNumberFormat="1" applyFont="1" applyFill="1" applyBorder="1" applyAlignment="1">
      <alignment horizontal="justify" vertical="center" wrapText="1"/>
    </xf>
    <xf numFmtId="0" fontId="31" fillId="0" borderId="0" xfId="0" applyNumberFormat="1" applyFont="1" applyFill="1" applyBorder="1" applyAlignment="1">
      <alignment horizontal="center" vertical="center" wrapText="1"/>
    </xf>
    <xf numFmtId="0" fontId="37" fillId="2" borderId="0" xfId="0" applyNumberFormat="1" applyFont="1" applyFill="1"/>
    <xf numFmtId="0" fontId="37" fillId="2" borderId="0" xfId="0" applyNumberFormat="1" applyFont="1" applyFill="1" applyAlignment="1">
      <alignment horizontal="left" vertical="center"/>
    </xf>
    <xf numFmtId="4" fontId="27" fillId="0" borderId="126" xfId="0" applyNumberFormat="1" applyFont="1" applyFill="1" applyBorder="1"/>
    <xf numFmtId="170"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NumberFormat="1" applyFont="1" applyFill="1" applyBorder="1" applyAlignment="1">
      <alignment horizontal="left" vertical="center"/>
    </xf>
    <xf numFmtId="0" fontId="62" fillId="2" borderId="83" xfId="0" applyFont="1" applyFill="1" applyBorder="1" applyAlignment="1">
      <alignment vertical="center" wrapText="1"/>
    </xf>
    <xf numFmtId="170" fontId="13" fillId="2" borderId="0" xfId="0" applyNumberFormat="1" applyFont="1" applyFill="1" applyBorder="1" applyAlignment="1">
      <alignment horizontal="righ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Fill="1" applyBorder="1" applyAlignment="1">
      <alignment horizontal="center"/>
    </xf>
    <xf numFmtId="0" fontId="64" fillId="0" borderId="0" xfId="0" applyFont="1" applyFill="1"/>
    <xf numFmtId="0" fontId="64" fillId="0" borderId="0" xfId="0" applyFont="1"/>
    <xf numFmtId="2" fontId="21" fillId="4" borderId="16" xfId="0" applyNumberFormat="1" applyFont="1" applyFill="1" applyBorder="1" applyAlignment="1">
      <alignment horizontal="right" vertical="center"/>
    </xf>
    <xf numFmtId="0" fontId="63" fillId="0" borderId="79" xfId="0" applyFont="1" applyFill="1" applyBorder="1" applyAlignment="1">
      <alignment vertical="center" wrapText="1"/>
    </xf>
    <xf numFmtId="4" fontId="32"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8" borderId="0" xfId="0" applyFont="1" applyFill="1"/>
    <xf numFmtId="0" fontId="0" fillId="8" borderId="0" xfId="0" applyFont="1"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NumberFormat="1" applyFont="1" applyFill="1" applyAlignment="1">
      <alignment horizontal="left" vertical="center" wrapText="1"/>
    </xf>
    <xf numFmtId="0" fontId="65" fillId="0" borderId="0" xfId="0" applyFont="1" applyAlignment="1">
      <alignment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167" fontId="13" fillId="0" borderId="79" xfId="2" applyNumberFormat="1" applyFont="1" applyFill="1" applyBorder="1" applyAlignment="1">
      <alignment horizontal="center" vertical="center"/>
    </xf>
    <xf numFmtId="0" fontId="68" fillId="0" borderId="0" xfId="0" applyFont="1" applyFill="1" applyBorder="1"/>
    <xf numFmtId="0" fontId="68" fillId="0" borderId="0" xfId="0" applyFont="1"/>
    <xf numFmtId="2" fontId="68" fillId="0" borderId="0" xfId="0" applyNumberFormat="1" applyFont="1" applyFill="1" applyBorder="1" applyAlignment="1">
      <alignment horizontal="center" vertical="center" wrapText="1"/>
    </xf>
    <xf numFmtId="2" fontId="68" fillId="0" borderId="0" xfId="0" quotePrefix="1" applyNumberFormat="1" applyFont="1" applyFill="1" applyBorder="1" applyAlignment="1">
      <alignment horizontal="center" vertical="center" wrapText="1"/>
    </xf>
    <xf numFmtId="17" fontId="68" fillId="0" borderId="0" xfId="0" quotePrefix="1" applyNumberFormat="1" applyFont="1" applyFill="1" applyBorder="1" applyAlignment="1">
      <alignment horizontal="center" vertical="center" wrapText="1"/>
    </xf>
    <xf numFmtId="0" fontId="68" fillId="0" borderId="0" xfId="0" quotePrefix="1" applyNumberFormat="1" applyFont="1" applyFill="1" applyBorder="1" applyAlignment="1">
      <alignment horizontal="center" vertical="center" wrapText="1"/>
    </xf>
    <xf numFmtId="2" fontId="68" fillId="0" borderId="0" xfId="0" applyNumberFormat="1" applyFont="1" applyFill="1" applyBorder="1" applyAlignment="1">
      <alignment horizontal="left"/>
    </xf>
    <xf numFmtId="2" fontId="68" fillId="0" borderId="0" xfId="0" applyNumberFormat="1" applyFont="1" applyFill="1" applyBorder="1" applyAlignment="1">
      <alignment horizontal="center"/>
    </xf>
    <xf numFmtId="2" fontId="69" fillId="0" borderId="0" xfId="0" applyNumberFormat="1" applyFont="1" applyFill="1" applyBorder="1" applyAlignment="1">
      <alignment horizontal="center"/>
    </xf>
    <xf numFmtId="175" fontId="68" fillId="0" borderId="0" xfId="0" applyNumberFormat="1" applyFont="1"/>
    <xf numFmtId="0" fontId="68" fillId="0" borderId="0" xfId="0" applyNumberFormat="1" applyFont="1" applyFill="1" applyBorder="1" applyAlignment="1">
      <alignment vertical="top" wrapText="1"/>
    </xf>
    <xf numFmtId="0" fontId="70" fillId="0" borderId="0" xfId="0" applyFont="1"/>
    <xf numFmtId="0" fontId="70" fillId="0" borderId="0" xfId="0" applyFont="1" applyAlignment="1">
      <alignment horizontal="center"/>
    </xf>
    <xf numFmtId="166" fontId="70"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1" fontId="71" fillId="7" borderId="0" xfId="3" applyFont="1" applyFill="1" applyBorder="1"/>
    <xf numFmtId="0" fontId="70" fillId="0" borderId="0" xfId="0" applyNumberFormat="1" applyFont="1" applyFill="1"/>
    <xf numFmtId="172" fontId="71" fillId="7" borderId="0" xfId="3" applyNumberFormat="1" applyFont="1" applyFill="1" applyBorder="1"/>
    <xf numFmtId="1" fontId="72" fillId="0" borderId="0" xfId="3" applyNumberFormat="1" applyFont="1" applyFill="1" applyBorder="1" applyAlignment="1">
      <alignment horizontal="center"/>
    </xf>
    <xf numFmtId="172" fontId="72" fillId="0" borderId="0" xfId="3" applyNumberFormat="1" applyFont="1" applyBorder="1" applyAlignment="1">
      <alignment horizontal="center"/>
    </xf>
    <xf numFmtId="2" fontId="73" fillId="0" borderId="0" xfId="3" applyNumberFormat="1" applyFont="1" applyFill="1"/>
    <xf numFmtId="2" fontId="73" fillId="0" borderId="0" xfId="3" applyNumberFormat="1" applyFont="1" applyFill="1" applyAlignment="1">
      <alignment horizontal="center"/>
    </xf>
    <xf numFmtId="2" fontId="73" fillId="0" borderId="0" xfId="3" applyNumberFormat="1" applyFont="1" applyBorder="1"/>
    <xf numFmtId="2" fontId="73" fillId="0" borderId="0" xfId="3" applyNumberFormat="1" applyFont="1"/>
    <xf numFmtId="2" fontId="73" fillId="0" borderId="0" xfId="3" applyNumberFormat="1" applyFont="1" applyAlignment="1">
      <alignment horizontal="center"/>
    </xf>
    <xf numFmtId="0" fontId="70" fillId="0" borderId="0" xfId="0" applyNumberFormat="1" applyFont="1" applyFill="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79" xfId="1" applyFont="1" applyFill="1" applyBorder="1" applyAlignment="1">
      <alignment vertical="center" wrapText="1"/>
    </xf>
    <xf numFmtId="0" fontId="76" fillId="0" borderId="101" xfId="0" applyFont="1" applyBorder="1"/>
    <xf numFmtId="0" fontId="31" fillId="0" borderId="97" xfId="0" applyNumberFormat="1" applyFont="1" applyFill="1" applyBorder="1"/>
    <xf numFmtId="43" fontId="31" fillId="0" borderId="97" xfId="1" applyNumberFormat="1" applyFont="1" applyFill="1" applyBorder="1"/>
    <xf numFmtId="43" fontId="31" fillId="0" borderId="97" xfId="1" applyFont="1" applyFill="1" applyBorder="1"/>
    <xf numFmtId="43" fontId="31" fillId="0" borderId="98" xfId="1" applyFont="1" applyFill="1" applyBorder="1"/>
    <xf numFmtId="0" fontId="31" fillId="0" borderId="0" xfId="0" applyNumberFormat="1" applyFont="1" applyFill="1" applyBorder="1"/>
    <xf numFmtId="43" fontId="31" fillId="0" borderId="0" xfId="1" applyNumberFormat="1" applyFont="1" applyFill="1" applyBorder="1"/>
    <xf numFmtId="43" fontId="31" fillId="0" borderId="0" xfId="1" applyFont="1" applyFill="1" applyBorder="1"/>
    <xf numFmtId="43" fontId="31" fillId="0" borderId="99" xfId="1" applyFont="1" applyFill="1" applyBorder="1"/>
    <xf numFmtId="0" fontId="76" fillId="0" borderId="100" xfId="0" applyFont="1" applyBorder="1"/>
    <xf numFmtId="0" fontId="31" fillId="0" borderId="0" xfId="0" applyFont="1" applyFill="1"/>
    <xf numFmtId="43" fontId="31" fillId="0" borderId="0" xfId="0" applyNumberFormat="1" applyFont="1" applyFill="1"/>
    <xf numFmtId="0" fontId="31" fillId="0" borderId="0" xfId="0" applyFont="1" applyFill="1" applyBorder="1"/>
    <xf numFmtId="43" fontId="31" fillId="0" borderId="0" xfId="0" applyNumberFormat="1" applyFont="1" applyFill="1" applyBorder="1"/>
    <xf numFmtId="0" fontId="31" fillId="0" borderId="99" xfId="0" applyFont="1" applyFill="1" applyBorder="1"/>
    <xf numFmtId="0" fontId="76" fillId="0" borderId="100" xfId="0" applyFont="1" applyFill="1" applyBorder="1"/>
    <xf numFmtId="0" fontId="62" fillId="0" borderId="0" xfId="0" applyNumberFormat="1" applyFont="1" applyFill="1" applyAlignment="1">
      <alignment vertical="center"/>
    </xf>
    <xf numFmtId="0" fontId="62" fillId="0" borderId="0" xfId="0" applyNumberFormat="1" applyFont="1" applyFill="1" applyAlignment="1">
      <alignment horizontal="center"/>
    </xf>
    <xf numFmtId="0" fontId="62" fillId="0" borderId="0" xfId="0" applyFont="1" applyFill="1" applyBorder="1" applyAlignment="1">
      <alignment vertical="center"/>
    </xf>
    <xf numFmtId="0" fontId="62" fillId="0" borderId="0" xfId="0" applyNumberFormat="1" applyFont="1" applyFill="1" applyAlignment="1">
      <alignment vertical="center" wrapText="1"/>
    </xf>
    <xf numFmtId="0" fontId="62" fillId="0" borderId="0" xfId="0" applyNumberFormat="1" applyFont="1" applyFill="1" applyAlignment="1">
      <alignment horizontal="left" vertical="center" wrapText="1"/>
    </xf>
    <xf numFmtId="49" fontId="63" fillId="0" borderId="0" xfId="0" applyNumberFormat="1" applyFont="1" applyFill="1" applyBorder="1" applyAlignment="1">
      <alignment horizontal="right"/>
    </xf>
    <xf numFmtId="0" fontId="31" fillId="0" borderId="97" xfId="0" applyNumberFormat="1" applyFont="1" applyBorder="1"/>
    <xf numFmtId="43" fontId="31" fillId="0" borderId="97" xfId="0" applyNumberFormat="1" applyFont="1" applyBorder="1"/>
    <xf numFmtId="9" fontId="31" fillId="0" borderId="98" xfId="2" applyFont="1" applyBorder="1"/>
    <xf numFmtId="1" fontId="63" fillId="0" borderId="0" xfId="0" applyNumberFormat="1" applyFont="1" applyFill="1" applyBorder="1" applyAlignment="1">
      <alignment horizontal="right"/>
    </xf>
    <xf numFmtId="49" fontId="63" fillId="0" borderId="0" xfId="0" applyNumberFormat="1" applyFont="1" applyFill="1" applyBorder="1" applyAlignment="1">
      <alignment horizontal="center"/>
    </xf>
    <xf numFmtId="0" fontId="31" fillId="0" borderId="0" xfId="0" applyNumberFormat="1" applyFont="1" applyBorder="1"/>
    <xf numFmtId="43" fontId="31" fillId="0" borderId="0" xfId="0" applyNumberFormat="1" applyFont="1" applyBorder="1"/>
    <xf numFmtId="10" fontId="31" fillId="0" borderId="99" xfId="2" applyNumberFormat="1" applyFont="1" applyBorder="1"/>
    <xf numFmtId="1" fontId="63" fillId="0" borderId="0" xfId="0" applyNumberFormat="1" applyFont="1" applyFill="1" applyBorder="1" applyAlignment="1">
      <alignment horizontal="center"/>
    </xf>
    <xf numFmtId="165" fontId="63" fillId="0" borderId="0" xfId="0" applyNumberFormat="1" applyFont="1" applyFill="1" applyBorder="1" applyAlignment="1">
      <alignment horizontal="center"/>
    </xf>
    <xf numFmtId="0" fontId="31" fillId="0" borderId="0" xfId="0" applyFont="1" applyFill="1" applyBorder="1" applyAlignment="1">
      <alignment horizontal="center"/>
    </xf>
    <xf numFmtId="0" fontId="63" fillId="0" borderId="0" xfId="0" applyNumberFormat="1" applyFont="1" applyFill="1" applyAlignment="1">
      <alignment vertical="center"/>
    </xf>
    <xf numFmtId="0" fontId="63" fillId="0" borderId="0" xfId="0" quotePrefix="1" applyNumberFormat="1" applyFont="1" applyFill="1" applyBorder="1" applyAlignment="1">
      <alignment horizontal="left" vertical="top"/>
    </xf>
    <xf numFmtId="10" fontId="31" fillId="0" borderId="98" xfId="2" applyNumberFormat="1" applyFont="1" applyBorder="1"/>
    <xf numFmtId="43" fontId="31" fillId="0" borderId="0" xfId="0" applyNumberFormat="1" applyFont="1" applyBorder="1" applyAlignment="1">
      <alignment vertical="center"/>
    </xf>
    <xf numFmtId="166"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86" xfId="0" quotePrefix="1" applyNumberFormat="1" applyFont="1" applyFill="1" applyBorder="1" applyAlignment="1">
      <alignment vertical="center" wrapText="1"/>
    </xf>
    <xf numFmtId="168" fontId="63" fillId="4" borderId="86" xfId="0" applyNumberFormat="1" applyFont="1" applyFill="1" applyBorder="1" applyAlignment="1">
      <alignment horizontal="center" vertical="center" wrapText="1"/>
    </xf>
    <xf numFmtId="0" fontId="63" fillId="4" borderId="86" xfId="2" applyNumberFormat="1" applyFont="1" applyFill="1" applyBorder="1" applyAlignment="1">
      <alignment horizontal="center" vertical="center" wrapText="1"/>
    </xf>
    <xf numFmtId="2" fontId="63" fillId="4" borderId="86" xfId="2" applyNumberFormat="1" applyFont="1" applyFill="1" applyBorder="1" applyAlignment="1">
      <alignment horizontal="center" vertical="center" wrapText="1"/>
    </xf>
    <xf numFmtId="4" fontId="63" fillId="4" borderId="86" xfId="0" applyNumberFormat="1" applyFont="1" applyFill="1" applyBorder="1" applyAlignment="1">
      <alignment horizontal="center" vertical="center" wrapText="1"/>
    </xf>
    <xf numFmtId="174" fontId="63" fillId="4" borderId="86" xfId="0" applyNumberFormat="1" applyFont="1" applyFill="1" applyBorder="1" applyAlignment="1">
      <alignment horizontal="center" vertical="center" wrapText="1"/>
    </xf>
    <xf numFmtId="0" fontId="63" fillId="4" borderId="86" xfId="0" applyNumberFormat="1" applyFont="1" applyFill="1" applyBorder="1" applyAlignment="1">
      <alignment horizontal="center" vertical="center" wrapText="1"/>
    </xf>
    <xf numFmtId="0" fontId="31" fillId="2" borderId="86" xfId="0" quotePrefix="1" applyNumberFormat="1" applyFont="1" applyFill="1" applyBorder="1" applyAlignment="1">
      <alignment vertical="center" wrapText="1"/>
    </xf>
    <xf numFmtId="168" fontId="31" fillId="2" borderId="86" xfId="0" applyNumberFormat="1" applyFont="1" applyFill="1" applyBorder="1" applyAlignment="1">
      <alignment horizontal="center" vertical="center" wrapText="1"/>
    </xf>
    <xf numFmtId="0" fontId="31" fillId="2" borderId="86" xfId="2" applyNumberFormat="1" applyFont="1" applyFill="1" applyBorder="1" applyAlignment="1">
      <alignment horizontal="center" vertical="center" wrapText="1"/>
    </xf>
    <xf numFmtId="2" fontId="31" fillId="2" borderId="86" xfId="2" applyNumberFormat="1" applyFont="1" applyFill="1" applyBorder="1" applyAlignment="1">
      <alignment horizontal="center" vertical="center" wrapText="1"/>
    </xf>
    <xf numFmtId="4" fontId="31" fillId="2" borderId="86" xfId="0" applyNumberFormat="1" applyFont="1" applyFill="1" applyBorder="1" applyAlignment="1">
      <alignment horizontal="center" vertical="center" wrapText="1"/>
    </xf>
    <xf numFmtId="0" fontId="31" fillId="2" borderId="86" xfId="0" applyNumberFormat="1"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3" fillId="5" borderId="29" xfId="0" applyNumberFormat="1" applyFont="1" applyFill="1" applyBorder="1" applyAlignment="1">
      <alignment horizontal="center" vertical="center"/>
    </xf>
    <xf numFmtId="167" fontId="63"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3" fillId="2" borderId="31" xfId="0" applyNumberFormat="1" applyFont="1" applyFill="1" applyBorder="1" applyAlignment="1">
      <alignment horizontal="center" vertical="center"/>
    </xf>
    <xf numFmtId="167" fontId="63"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3" fillId="5" borderId="31" xfId="0" applyNumberFormat="1" applyFont="1" applyFill="1" applyBorder="1" applyAlignment="1">
      <alignment horizontal="center" vertical="center"/>
    </xf>
    <xf numFmtId="167" fontId="63"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3" fillId="2" borderId="34" xfId="0" applyNumberFormat="1" applyFont="1" applyFill="1" applyBorder="1" applyAlignment="1">
      <alignment horizontal="center" vertical="center"/>
    </xf>
    <xf numFmtId="167" fontId="63" fillId="2" borderId="26" xfId="2" applyNumberFormat="1" applyFont="1" applyFill="1" applyBorder="1" applyAlignment="1">
      <alignment horizontal="center" vertical="center"/>
    </xf>
    <xf numFmtId="170" fontId="76" fillId="5" borderId="23" xfId="0" applyNumberFormat="1" applyFont="1" applyFill="1" applyBorder="1" applyAlignment="1">
      <alignment horizontal="center" vertical="center"/>
    </xf>
    <xf numFmtId="170" fontId="76" fillId="5" borderId="40" xfId="0" applyNumberFormat="1" applyFont="1" applyFill="1" applyBorder="1" applyAlignment="1">
      <alignment horizontal="center" vertical="center"/>
    </xf>
    <xf numFmtId="167" fontId="62" fillId="5" borderId="23" xfId="2" applyNumberFormat="1" applyFont="1" applyFill="1" applyBorder="1" applyAlignment="1">
      <alignment horizontal="center" vertical="center"/>
    </xf>
    <xf numFmtId="0" fontId="79" fillId="0" borderId="0" xfId="0" applyFont="1" applyAlignment="1">
      <alignment horizontal="right" vertical="center"/>
    </xf>
    <xf numFmtId="0" fontId="36" fillId="9" borderId="0" xfId="0" quotePrefix="1" applyNumberFormat="1" applyFont="1" applyFill="1" applyBorder="1" applyAlignment="1">
      <alignment horizontal="center" vertical="center" wrapText="1"/>
    </xf>
    <xf numFmtId="17" fontId="36" fillId="9" borderId="84" xfId="0" applyNumberFormat="1" applyFont="1" applyFill="1" applyBorder="1" applyAlignment="1">
      <alignment horizontal="center" vertical="center" wrapText="1"/>
    </xf>
    <xf numFmtId="169" fontId="36" fillId="9" borderId="84" xfId="0" applyNumberFormat="1" applyFont="1" applyFill="1" applyBorder="1" applyAlignment="1">
      <alignment horizontal="center" vertical="center" wrapText="1"/>
    </xf>
    <xf numFmtId="0" fontId="36" fillId="9" borderId="84" xfId="0" applyNumberFormat="1" applyFont="1" applyFill="1" applyBorder="1" applyAlignment="1">
      <alignment horizontal="center" vertical="center" wrapText="1"/>
    </xf>
    <xf numFmtId="0" fontId="36" fillId="9" borderId="85" xfId="0" applyNumberFormat="1" applyFont="1" applyFill="1" applyBorder="1" applyAlignment="1">
      <alignment horizontal="center" vertical="center" wrapText="1"/>
    </xf>
    <xf numFmtId="0" fontId="36" fillId="9" borderId="128" xfId="0" quotePrefix="1" applyNumberFormat="1" applyFont="1" applyFill="1" applyBorder="1" applyAlignment="1">
      <alignment horizontal="left" vertical="center"/>
    </xf>
    <xf numFmtId="168" fontId="36" fillId="9" borderId="129" xfId="0" applyNumberFormat="1" applyFont="1" applyFill="1" applyBorder="1" applyAlignment="1">
      <alignment horizontal="right" vertical="center"/>
    </xf>
    <xf numFmtId="168" fontId="36" fillId="9" borderId="129" xfId="0" applyNumberFormat="1" applyFont="1" applyFill="1" applyBorder="1" applyAlignment="1">
      <alignment horizontal="left" vertical="center"/>
    </xf>
    <xf numFmtId="0" fontId="36" fillId="9" borderId="129" xfId="2" applyNumberFormat="1" applyFont="1" applyFill="1" applyBorder="1" applyAlignment="1">
      <alignment horizontal="left" vertical="center"/>
    </xf>
    <xf numFmtId="0" fontId="36" fillId="9" borderId="130" xfId="2" applyNumberFormat="1" applyFont="1" applyFill="1" applyBorder="1" applyAlignment="1">
      <alignment horizontal="center" vertical="center"/>
    </xf>
    <xf numFmtId="4" fontId="36" fillId="9" borderId="86" xfId="0" applyNumberFormat="1" applyFont="1" applyFill="1" applyBorder="1" applyAlignment="1">
      <alignment horizontal="center" vertical="center"/>
    </xf>
    <xf numFmtId="0" fontId="36" fillId="9" borderId="86" xfId="0" applyNumberFormat="1"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NumberFormat="1"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NumberFormat="1" applyFont="1" applyFill="1" applyBorder="1" applyAlignment="1">
      <alignment horizontal="center" vertical="center" wrapText="1"/>
    </xf>
    <xf numFmtId="0" fontId="2" fillId="9" borderId="46" xfId="1" applyNumberFormat="1" applyFont="1" applyFill="1" applyBorder="1" applyAlignment="1">
      <alignment horizontal="center" vertical="center"/>
    </xf>
    <xf numFmtId="0" fontId="2" fillId="9" borderId="46" xfId="0" applyFont="1" applyFill="1" applyBorder="1" applyAlignment="1">
      <alignment horizontal="center" vertical="center"/>
    </xf>
    <xf numFmtId="17" fontId="2" fillId="9" borderId="23" xfId="0" applyNumberFormat="1" applyFont="1" applyFill="1" applyBorder="1" applyAlignment="1">
      <alignment horizontal="center"/>
    </xf>
    <xf numFmtId="0" fontId="2" fillId="9" borderId="23" xfId="0" applyNumberFormat="1" applyFont="1" applyFill="1" applyBorder="1" applyAlignment="1">
      <alignment horizontal="center" wrapText="1"/>
    </xf>
    <xf numFmtId="16" fontId="2" fillId="9" borderId="24" xfId="0" applyNumberFormat="1" applyFont="1" applyFill="1" applyBorder="1" applyAlignment="1">
      <alignment horizontal="center" vertical="center"/>
    </xf>
    <xf numFmtId="16" fontId="2" fillId="9" borderId="24" xfId="0" applyNumberFormat="1" applyFont="1" applyFill="1" applyBorder="1" applyAlignment="1">
      <alignment horizontal="center" wrapText="1"/>
    </xf>
    <xf numFmtId="20" fontId="2" fillId="9" borderId="26" xfId="0" quotePrefix="1" applyNumberFormat="1" applyFont="1" applyFill="1" applyBorder="1" applyAlignment="1">
      <alignment horizontal="center" vertical="center"/>
    </xf>
    <xf numFmtId="20" fontId="2" fillId="9" borderId="26" xfId="0" applyNumberFormat="1" applyFont="1" applyFill="1" applyBorder="1" applyAlignment="1">
      <alignment horizontal="center"/>
    </xf>
    <xf numFmtId="0" fontId="2" fillId="9" borderId="58" xfId="1" applyNumberFormat="1" applyFont="1" applyFill="1" applyBorder="1" applyAlignment="1">
      <alignment horizontal="center" vertical="center"/>
    </xf>
    <xf numFmtId="0" fontId="2" fillId="9" borderId="58" xfId="0" applyNumberFormat="1" applyFont="1" applyFill="1" applyBorder="1" applyAlignment="1">
      <alignment horizontal="center" vertical="center"/>
    </xf>
    <xf numFmtId="14" fontId="2" fillId="9" borderId="58" xfId="0" applyNumberFormat="1" applyFont="1" applyFill="1" applyBorder="1" applyAlignment="1">
      <alignment horizontal="center" vertical="center" wrapText="1"/>
    </xf>
    <xf numFmtId="20" fontId="2" fillId="9" borderId="58" xfId="0" applyNumberFormat="1"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0" fontId="2" fillId="9" borderId="68" xfId="0"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17" fontId="2" fillId="9" borderId="68" xfId="0" quotePrefix="1" applyNumberFormat="1" applyFont="1" applyFill="1" applyBorder="1" applyAlignment="1">
      <alignment horizontal="center" vertical="center" wrapText="1"/>
    </xf>
    <xf numFmtId="0" fontId="2" fillId="9" borderId="69" xfId="0" applyFont="1" applyFill="1" applyBorder="1" applyAlignment="1">
      <alignment horizontal="center" vertical="center" wrapText="1"/>
    </xf>
    <xf numFmtId="43" fontId="36" fillId="9" borderId="70" xfId="1" applyFont="1" applyFill="1" applyBorder="1" applyAlignment="1">
      <alignment horizontal="center" vertical="center" wrapText="1"/>
    </xf>
    <xf numFmtId="0" fontId="36" fillId="9" borderId="71" xfId="0" applyNumberFormat="1" applyFont="1" applyFill="1" applyBorder="1" applyAlignment="1">
      <alignment horizontal="center" vertical="center" wrapText="1"/>
    </xf>
    <xf numFmtId="0" fontId="36" fillId="9" borderId="72" xfId="0" applyNumberFormat="1" applyFont="1" applyFill="1" applyBorder="1" applyAlignment="1">
      <alignment horizontal="center" vertical="center" wrapText="1"/>
    </xf>
    <xf numFmtId="0" fontId="36" fillId="9" borderId="73" xfId="0" applyNumberFormat="1" applyFont="1" applyFill="1" applyBorder="1" applyAlignment="1">
      <alignment vertical="center" wrapText="1"/>
    </xf>
    <xf numFmtId="0" fontId="36" fillId="9" borderId="74" xfId="0" applyNumberFormat="1" applyFont="1" applyFill="1" applyBorder="1" applyAlignment="1">
      <alignment horizontal="center" vertical="center" wrapText="1"/>
    </xf>
    <xf numFmtId="0" fontId="36" fillId="9" borderId="75" xfId="0" applyNumberFormat="1" applyFont="1" applyFill="1" applyBorder="1" applyAlignment="1">
      <alignment vertical="center" wrapText="1"/>
    </xf>
    <xf numFmtId="17" fontId="36" fillId="9" borderId="107" xfId="0" applyNumberFormat="1" applyFont="1" applyFill="1" applyBorder="1" applyAlignment="1">
      <alignment horizontal="center" vertical="center"/>
    </xf>
    <xf numFmtId="0" fontId="36" fillId="9" borderId="109" xfId="5" applyFont="1" applyFill="1" applyBorder="1" applyAlignment="1">
      <alignment horizontal="center" vertical="center"/>
    </xf>
    <xf numFmtId="0" fontId="36" fillId="9" borderId="94" xfId="5" applyFont="1" applyFill="1" applyBorder="1" applyAlignment="1">
      <alignment horizontal="center" vertical="center"/>
    </xf>
    <xf numFmtId="0" fontId="36" fillId="9" borderId="111" xfId="5" applyFont="1" applyFill="1" applyBorder="1" applyAlignment="1">
      <alignment horizontal="center" vertical="center"/>
    </xf>
    <xf numFmtId="0" fontId="36" fillId="9" borderId="112" xfId="5" applyFont="1" applyFill="1" applyBorder="1" applyAlignment="1">
      <alignment horizontal="center" vertical="center"/>
    </xf>
    <xf numFmtId="0" fontId="36" fillId="9" borderId="113" xfId="0" applyNumberFormat="1" applyFont="1" applyFill="1" applyBorder="1" applyAlignment="1">
      <alignment vertical="center"/>
    </xf>
    <xf numFmtId="4" fontId="36" fillId="9" borderId="58" xfId="0" applyNumberFormat="1" applyFont="1" applyFill="1" applyBorder="1" applyAlignment="1">
      <alignment vertical="center"/>
    </xf>
    <xf numFmtId="0" fontId="77" fillId="9" borderId="113" xfId="0" applyNumberFormat="1" applyFont="1" applyFill="1" applyBorder="1" applyAlignment="1">
      <alignment vertical="center"/>
    </xf>
    <xf numFmtId="0" fontId="36" fillId="9" borderId="115" xfId="0" applyNumberFormat="1" applyFont="1" applyFill="1" applyBorder="1" applyAlignment="1">
      <alignment vertical="center"/>
    </xf>
    <xf numFmtId="4" fontId="36" fillId="9" borderId="115" xfId="0" applyNumberFormat="1" applyFont="1" applyFill="1" applyBorder="1" applyAlignment="1">
      <alignment vertical="center"/>
    </xf>
    <xf numFmtId="4" fontId="77" fillId="9" borderId="58" xfId="0" applyNumberFormat="1" applyFont="1" applyFill="1" applyBorder="1" applyAlignment="1">
      <alignment vertical="center"/>
    </xf>
    <xf numFmtId="0" fontId="77" fillId="9" borderId="116" xfId="0" applyNumberFormat="1" applyFont="1" applyFill="1" applyBorder="1" applyAlignment="1">
      <alignment vertical="center"/>
    </xf>
    <xf numFmtId="0" fontId="77" fillId="9" borderId="117" xfId="0" applyNumberFormat="1" applyFont="1" applyFill="1" applyBorder="1" applyAlignment="1">
      <alignment vertical="center"/>
    </xf>
    <xf numFmtId="17" fontId="36" fillId="11" borderId="46" xfId="6" quotePrefix="1" applyNumberFormat="1" applyFont="1" applyFill="1" applyBorder="1" applyAlignment="1">
      <alignment horizontal="center" vertical="center" wrapText="1"/>
    </xf>
    <xf numFmtId="0" fontId="36" fillId="11" borderId="46" xfId="6" quotePrefix="1" applyNumberFormat="1" applyFont="1" applyFill="1" applyBorder="1" applyAlignment="1">
      <alignment horizontal="center" vertical="center" wrapText="1"/>
    </xf>
    <xf numFmtId="0" fontId="36" fillId="11" borderId="46" xfId="6" applyNumberFormat="1" applyFont="1" applyFill="1" applyBorder="1" applyAlignment="1">
      <alignment horizontal="center" vertical="center" wrapText="1"/>
    </xf>
    <xf numFmtId="0" fontId="36" fillId="11" borderId="119" xfId="6" applyNumberFormat="1" applyFont="1" applyFill="1" applyBorder="1" applyAlignment="1">
      <alignment horizontal="center" vertical="center" wrapText="1"/>
    </xf>
    <xf numFmtId="14" fontId="36" fillId="11" borderId="46" xfId="6" applyNumberFormat="1" applyFont="1" applyFill="1" applyBorder="1" applyAlignment="1">
      <alignment horizontal="center" vertical="center"/>
    </xf>
    <xf numFmtId="0" fontId="36" fillId="11" borderId="119" xfId="6" applyNumberFormat="1" applyFont="1" applyFill="1" applyBorder="1" applyAlignment="1">
      <alignment horizontal="center" vertical="center"/>
    </xf>
    <xf numFmtId="20" fontId="36" fillId="11" borderId="121" xfId="6" applyNumberFormat="1" applyFont="1" applyFill="1" applyBorder="1" applyAlignment="1">
      <alignment horizontal="center" vertical="center"/>
    </xf>
    <xf numFmtId="0" fontId="36" fillId="11" borderId="122" xfId="6" applyNumberFormat="1" applyFont="1" applyFill="1" applyBorder="1" applyAlignment="1">
      <alignment horizontal="center" vertical="center"/>
    </xf>
    <xf numFmtId="174" fontId="42" fillId="9" borderId="126" xfId="0" applyNumberFormat="1" applyFont="1" applyFill="1" applyBorder="1" applyAlignment="1">
      <alignment horizontal="center" vertical="center"/>
    </xf>
    <xf numFmtId="174" fontId="42" fillId="9" borderId="126" xfId="0" applyNumberFormat="1" applyFont="1" applyFill="1" applyBorder="1" applyAlignment="1">
      <alignment horizontal="center" vertical="center" wrapText="1"/>
    </xf>
    <xf numFmtId="0" fontId="36" fillId="9" borderId="73" xfId="0" applyFont="1" applyFill="1" applyBorder="1" applyAlignment="1">
      <alignment horizontal="center" vertical="center"/>
    </xf>
    <xf numFmtId="43" fontId="36" fillId="9" borderId="73" xfId="1" applyFont="1" applyFill="1" applyBorder="1" applyAlignment="1">
      <alignment horizontal="center" vertical="center"/>
    </xf>
    <xf numFmtId="4" fontId="36" fillId="9" borderId="73" xfId="0" applyNumberFormat="1" applyFont="1" applyFill="1" applyBorder="1" applyAlignment="1">
      <alignment horizontal="center" vertical="center"/>
    </xf>
    <xf numFmtId="0" fontId="36" fillId="9" borderId="73" xfId="0" applyNumberFormat="1" applyFont="1" applyFill="1" applyBorder="1" applyAlignment="1">
      <alignment horizontal="center" vertical="center" wrapText="1"/>
    </xf>
    <xf numFmtId="0" fontId="77" fillId="9" borderId="115" xfId="0" applyNumberFormat="1" applyFont="1" applyFill="1" applyBorder="1" applyAlignment="1">
      <alignment vertical="center"/>
    </xf>
    <xf numFmtId="10" fontId="36" fillId="9" borderId="58" xfId="2" applyNumberFormat="1" applyFont="1" applyFill="1" applyBorder="1" applyAlignment="1">
      <alignment vertical="center"/>
    </xf>
    <xf numFmtId="10" fontId="77" fillId="9" borderId="58" xfId="2" applyNumberFormat="1"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0" fontId="21" fillId="4" borderId="82" xfId="0" applyFont="1" applyFill="1" applyBorder="1" applyAlignment="1">
      <alignment vertical="center"/>
    </xf>
    <xf numFmtId="4" fontId="21" fillId="4" borderId="79" xfId="0" applyNumberFormat="1" applyFont="1" applyFill="1" applyBorder="1" applyAlignment="1">
      <alignment horizontal="center" vertical="center"/>
    </xf>
    <xf numFmtId="167" fontId="21" fillId="4" borderId="79" xfId="2" applyNumberFormat="1" applyFont="1" applyFill="1" applyBorder="1" applyAlignment="1">
      <alignment horizontal="center" vertical="center"/>
    </xf>
    <xf numFmtId="0" fontId="76" fillId="4" borderId="102" xfId="0" applyFont="1" applyFill="1" applyBorder="1"/>
    <xf numFmtId="0" fontId="76" fillId="4" borderId="103" xfId="0" applyFont="1" applyFill="1" applyBorder="1"/>
    <xf numFmtId="43" fontId="76" fillId="4" borderId="103" xfId="1" applyNumberFormat="1" applyFont="1" applyFill="1" applyBorder="1"/>
    <xf numFmtId="43" fontId="76" fillId="4" borderId="103" xfId="1" applyFont="1" applyFill="1" applyBorder="1"/>
    <xf numFmtId="43" fontId="76" fillId="4" borderId="104" xfId="1" applyFont="1" applyFill="1" applyBorder="1"/>
    <xf numFmtId="43" fontId="76" fillId="4" borderId="103" xfId="0" applyNumberFormat="1" applyFont="1" applyFill="1" applyBorder="1"/>
    <xf numFmtId="10" fontId="76" fillId="4" borderId="104" xfId="2" applyNumberFormat="1" applyFont="1" applyFill="1" applyBorder="1"/>
    <xf numFmtId="43" fontId="68" fillId="0" borderId="0" xfId="1" applyFont="1" applyFill="1" applyBorder="1" applyAlignment="1">
      <alignment horizontal="left"/>
    </xf>
    <xf numFmtId="0" fontId="68" fillId="0" borderId="0" xfId="0" applyNumberFormat="1" applyFont="1" applyFill="1" applyBorder="1" applyAlignment="1">
      <alignment horizontal="left" vertical="top" wrapText="1"/>
    </xf>
    <xf numFmtId="0" fontId="68" fillId="0" borderId="0" xfId="0" applyFont="1" applyFill="1" applyBorder="1" applyAlignment="1">
      <alignment horizontal="left"/>
    </xf>
    <xf numFmtId="0" fontId="32" fillId="9" borderId="77" xfId="0" quotePrefix="1" applyNumberFormat="1"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8" xfId="0" applyFont="1" applyFill="1" applyBorder="1" applyAlignment="1">
      <alignment horizontal="center" vertical="center" wrapText="1"/>
    </xf>
    <xf numFmtId="0" fontId="32" fillId="9" borderId="76" xfId="0" applyFont="1" applyFill="1" applyBorder="1" applyAlignment="1">
      <alignment horizontal="center" vertical="center" wrapText="1"/>
    </xf>
    <xf numFmtId="0" fontId="62" fillId="4" borderId="83" xfId="2" applyNumberFormat="1" applyFont="1" applyFill="1" applyBorder="1" applyAlignment="1">
      <alignment horizontal="center" vertical="center"/>
    </xf>
    <xf numFmtId="4" fontId="62" fillId="4" borderId="83" xfId="0" applyNumberFormat="1" applyFont="1" applyFill="1" applyBorder="1" applyAlignment="1">
      <alignment horizontal="center" vertical="center"/>
    </xf>
    <xf numFmtId="166" fontId="70" fillId="0" borderId="0" xfId="7" applyNumberFormat="1" applyFont="1"/>
    <xf numFmtId="0" fontId="63" fillId="0" borderId="0" xfId="0" applyNumberFormat="1" applyFont="1" applyFill="1" applyAlignment="1">
      <alignment vertical="center" wrapText="1"/>
    </xf>
    <xf numFmtId="0" fontId="80" fillId="0" borderId="0" xfId="0" applyFont="1" applyFill="1"/>
    <xf numFmtId="0" fontId="81" fillId="0" borderId="0" xfId="0" applyNumberFormat="1" applyFont="1" applyFill="1" applyAlignment="1">
      <alignment vertical="center"/>
    </xf>
    <xf numFmtId="0" fontId="68" fillId="0" borderId="0" xfId="0" applyFont="1" applyFill="1"/>
    <xf numFmtId="0" fontId="81" fillId="0" borderId="0" xfId="0" applyNumberFormat="1" applyFont="1" applyFill="1" applyAlignment="1">
      <alignment horizontal="center"/>
    </xf>
    <xf numFmtId="0" fontId="81" fillId="0" borderId="0" xfId="0" applyFont="1" applyFill="1" applyBorder="1" applyAlignment="1">
      <alignment vertical="center"/>
    </xf>
    <xf numFmtId="0" fontId="81" fillId="0" borderId="0" xfId="0" applyNumberFormat="1" applyFont="1" applyFill="1" applyAlignment="1">
      <alignment horizontal="left" vertical="center" wrapText="1"/>
    </xf>
    <xf numFmtId="0" fontId="81" fillId="0" borderId="0" xfId="0" applyNumberFormat="1" applyFont="1" applyFill="1" applyAlignment="1">
      <alignment vertical="center" wrapText="1"/>
    </xf>
    <xf numFmtId="49" fontId="82" fillId="0" borderId="0" xfId="0" applyNumberFormat="1" applyFont="1" applyFill="1" applyBorder="1" applyAlignment="1">
      <alignment horizontal="right"/>
    </xf>
    <xf numFmtId="1" fontId="82" fillId="0" borderId="0" xfId="0" applyNumberFormat="1" applyFont="1" applyFill="1" applyBorder="1" applyAlignment="1">
      <alignment horizontal="right"/>
    </xf>
    <xf numFmtId="0" fontId="83" fillId="0" borderId="0" xfId="0" applyNumberFormat="1" applyFont="1" applyFill="1" applyAlignment="1">
      <alignment vertical="center"/>
    </xf>
    <xf numFmtId="0" fontId="83" fillId="0" borderId="0" xfId="0" applyNumberFormat="1" applyFont="1" applyFill="1" applyAlignment="1">
      <alignment vertical="center" wrapText="1"/>
    </xf>
    <xf numFmtId="0" fontId="36" fillId="9" borderId="133" xfId="0" applyFont="1" applyFill="1" applyBorder="1" applyAlignment="1">
      <alignment horizontal="center" vertical="center" wrapText="1"/>
    </xf>
    <xf numFmtId="0" fontId="36" fillId="9" borderId="134" xfId="0" applyFont="1" applyFill="1" applyBorder="1" applyAlignment="1">
      <alignment horizontal="center" vertical="center" wrapText="1"/>
    </xf>
    <xf numFmtId="0" fontId="36" fillId="9" borderId="135" xfId="0" applyFont="1" applyFill="1" applyBorder="1" applyAlignment="1">
      <alignment horizontal="center" vertical="center" wrapText="1"/>
    </xf>
    <xf numFmtId="0" fontId="36" fillId="9" borderId="136" xfId="0" applyFont="1" applyFill="1" applyBorder="1" applyAlignment="1">
      <alignment horizontal="center" vertical="center" wrapText="1"/>
    </xf>
    <xf numFmtId="0" fontId="36" fillId="9" borderId="137" xfId="0" applyFont="1" applyFill="1" applyBorder="1" applyAlignment="1">
      <alignment horizontal="center" vertical="center" wrapText="1"/>
    </xf>
    <xf numFmtId="0" fontId="17" fillId="2" borderId="0" xfId="0" applyNumberFormat="1" applyFont="1" applyFill="1" applyAlignment="1">
      <alignment vertical="center" wrapText="1"/>
    </xf>
    <xf numFmtId="49" fontId="0" fillId="0" borderId="0" xfId="0" applyNumberFormat="1" applyFont="1" applyBorder="1" applyAlignment="1">
      <alignment horizontal="right" vertical="center"/>
    </xf>
    <xf numFmtId="1" fontId="0" fillId="0" borderId="0" xfId="0" applyNumberFormat="1" applyFont="1" applyFill="1" applyBorder="1" applyAlignment="1">
      <alignment horizontal="right" vertical="center" wrapText="1"/>
    </xf>
    <xf numFmtId="4" fontId="0" fillId="0" borderId="0" xfId="0" applyNumberFormat="1" applyFont="1" applyAlignment="1">
      <alignment vertical="center" wrapText="1"/>
    </xf>
    <xf numFmtId="49" fontId="0" fillId="0" borderId="0" xfId="0" applyNumberFormat="1" applyFont="1" applyFill="1" applyBorder="1" applyAlignment="1">
      <alignment horizontal="center" vertical="center"/>
    </xf>
    <xf numFmtId="4" fontId="0" fillId="0" borderId="0" xfId="0" applyNumberFormat="1" applyFont="1" applyAlignment="1">
      <alignment vertical="center"/>
    </xf>
    <xf numFmtId="0" fontId="0" fillId="2" borderId="0" xfId="0" applyNumberFormat="1" applyFont="1" applyFill="1" applyAlignment="1">
      <alignment horizontal="right"/>
    </xf>
    <xf numFmtId="0" fontId="0" fillId="2" borderId="0" xfId="0" applyNumberFormat="1" applyFont="1" applyFill="1"/>
    <xf numFmtId="0" fontId="76" fillId="0" borderId="0" xfId="0" applyFont="1"/>
    <xf numFmtId="22" fontId="30" fillId="0" borderId="0" xfId="0" applyNumberFormat="1" applyFont="1" applyFill="1" applyAlignment="1">
      <alignment vertical="center"/>
    </xf>
    <xf numFmtId="0" fontId="31" fillId="0" borderId="138" xfId="0" applyNumberFormat="1" applyFont="1" applyFill="1" applyBorder="1" applyAlignment="1">
      <alignment vertical="center" wrapText="1"/>
    </xf>
    <xf numFmtId="22" fontId="31" fillId="0" borderId="138" xfId="0" applyNumberFormat="1" applyFont="1" applyFill="1" applyBorder="1" applyAlignment="1">
      <alignment horizontal="center" vertical="center" wrapText="1"/>
    </xf>
    <xf numFmtId="0" fontId="61" fillId="0" borderId="138" xfId="0" applyNumberFormat="1" applyFont="1" applyFill="1" applyBorder="1" applyAlignment="1">
      <alignment horizontal="justify" vertical="center" wrapText="1"/>
    </xf>
    <xf numFmtId="0" fontId="31" fillId="0" borderId="138" xfId="0" applyNumberFormat="1" applyFont="1" applyFill="1" applyBorder="1" applyAlignment="1">
      <alignment horizontal="center" vertical="center" wrapText="1"/>
    </xf>
    <xf numFmtId="0" fontId="31" fillId="0" borderId="139" xfId="0" applyNumberFormat="1" applyFont="1" applyFill="1" applyBorder="1" applyAlignment="1">
      <alignment vertical="center" wrapText="1"/>
    </xf>
    <xf numFmtId="22" fontId="31" fillId="0" borderId="139" xfId="0" applyNumberFormat="1" applyFont="1" applyFill="1" applyBorder="1" applyAlignment="1">
      <alignment horizontal="center" vertical="center" wrapText="1"/>
    </xf>
    <xf numFmtId="0" fontId="61" fillId="0" borderId="139" xfId="0" applyNumberFormat="1" applyFont="1" applyFill="1" applyBorder="1" applyAlignment="1">
      <alignment horizontal="justify" vertical="center" wrapText="1"/>
    </xf>
    <xf numFmtId="0" fontId="31" fillId="0" borderId="139" xfId="0" applyNumberFormat="1" applyFont="1" applyFill="1" applyBorder="1" applyAlignment="1">
      <alignment horizontal="center" vertical="center" wrapText="1"/>
    </xf>
    <xf numFmtId="0" fontId="31" fillId="0" borderId="140" xfId="0" applyNumberFormat="1" applyFont="1" applyFill="1" applyBorder="1" applyAlignment="1">
      <alignment vertical="center" wrapText="1"/>
    </xf>
    <xf numFmtId="22" fontId="31" fillId="0" borderId="140" xfId="0" applyNumberFormat="1" applyFont="1" applyFill="1" applyBorder="1" applyAlignment="1">
      <alignment horizontal="center" vertical="center" wrapText="1"/>
    </xf>
    <xf numFmtId="0" fontId="61" fillId="0" borderId="140" xfId="0" applyNumberFormat="1" applyFont="1" applyFill="1" applyBorder="1" applyAlignment="1">
      <alignment horizontal="justify" vertical="center" wrapText="1"/>
    </xf>
    <xf numFmtId="0" fontId="31" fillId="0" borderId="140" xfId="0" applyNumberFormat="1" applyFont="1" applyFill="1" applyBorder="1" applyAlignment="1">
      <alignment horizontal="center" vertical="center" wrapText="1"/>
    </xf>
    <xf numFmtId="43" fontId="0" fillId="0" borderId="0" xfId="1" applyFont="1" applyAlignment="1">
      <alignment horizontal="center"/>
    </xf>
    <xf numFmtId="14" fontId="0" fillId="0" borderId="0" xfId="0" applyNumberFormat="1" applyFont="1" applyAlignment="1">
      <alignment horizontal="center"/>
    </xf>
    <xf numFmtId="20" fontId="0" fillId="0" borderId="0" xfId="0" applyNumberFormat="1" applyFont="1" applyAlignment="1">
      <alignment horizontal="center"/>
    </xf>
    <xf numFmtId="0" fontId="27" fillId="2" borderId="50" xfId="0" applyFont="1" applyFill="1" applyBorder="1" applyAlignment="1">
      <alignment vertical="center" wrapText="1"/>
    </xf>
    <xf numFmtId="0" fontId="27" fillId="2" borderId="65" xfId="0" applyFont="1" applyFill="1" applyBorder="1" applyAlignment="1">
      <alignment vertical="center" wrapText="1"/>
    </xf>
    <xf numFmtId="0" fontId="76" fillId="0" borderId="101" xfId="0" applyFont="1" applyFill="1" applyBorder="1"/>
    <xf numFmtId="0" fontId="76" fillId="0" borderId="0" xfId="0" applyFont="1" applyFill="1" applyBorder="1"/>
    <xf numFmtId="43" fontId="76" fillId="0" borderId="0" xfId="1" applyNumberFormat="1" applyFont="1" applyFill="1" applyBorder="1"/>
    <xf numFmtId="43" fontId="76" fillId="0" borderId="0" xfId="1" applyFont="1" applyFill="1" applyBorder="1"/>
    <xf numFmtId="43" fontId="76" fillId="0" borderId="99" xfId="1" applyFont="1" applyFill="1" applyBorder="1"/>
    <xf numFmtId="0" fontId="76" fillId="0" borderId="100" xfId="0" applyFont="1" applyBorder="1" applyAlignment="1">
      <alignment wrapText="1"/>
    </xf>
    <xf numFmtId="0" fontId="36" fillId="9" borderId="116" xfId="0" applyNumberFormat="1" applyFont="1" applyFill="1" applyBorder="1" applyAlignment="1">
      <alignment vertical="center"/>
    </xf>
    <xf numFmtId="4" fontId="36" fillId="9" borderId="114" xfId="0" applyNumberFormat="1" applyFont="1" applyFill="1" applyBorder="1" applyAlignment="1">
      <alignment vertical="center"/>
    </xf>
    <xf numFmtId="10" fontId="31" fillId="0" borderId="99" xfId="2" applyNumberFormat="1" applyFont="1" applyFill="1" applyBorder="1"/>
    <xf numFmtId="0" fontId="31" fillId="0" borderId="0" xfId="0" applyNumberFormat="1" applyFont="1" applyFill="1" applyBorder="1" applyAlignment="1">
      <alignment vertical="center"/>
    </xf>
    <xf numFmtId="0" fontId="76" fillId="0" borderId="0" xfId="0" applyFont="1" applyFill="1" applyBorder="1" applyAlignment="1">
      <alignment vertical="center"/>
    </xf>
    <xf numFmtId="43" fontId="76" fillId="0" borderId="0" xfId="0" applyNumberFormat="1" applyFont="1" applyFill="1" applyBorder="1" applyAlignment="1">
      <alignment vertical="center"/>
    </xf>
    <xf numFmtId="10" fontId="76" fillId="0" borderId="0" xfId="2" applyNumberFormat="1" applyFont="1" applyFill="1" applyBorder="1" applyAlignment="1">
      <alignment vertical="center"/>
    </xf>
    <xf numFmtId="10" fontId="31" fillId="0" borderId="0" xfId="2" applyNumberFormat="1" applyFont="1" applyBorder="1" applyAlignment="1">
      <alignment vertical="center"/>
    </xf>
    <xf numFmtId="20" fontId="33" fillId="0" borderId="126" xfId="0" applyNumberFormat="1" applyFont="1" applyBorder="1" applyAlignment="1">
      <alignment horizontal="center" vertical="center"/>
    </xf>
    <xf numFmtId="20" fontId="33" fillId="0" borderId="126" xfId="0" applyNumberFormat="1" applyFont="1" applyBorder="1" applyAlignment="1">
      <alignment horizontal="center"/>
    </xf>
    <xf numFmtId="20" fontId="33" fillId="0" borderId="126" xfId="0" applyNumberFormat="1" applyFont="1" applyFill="1" applyBorder="1" applyAlignment="1">
      <alignment horizontal="center"/>
    </xf>
    <xf numFmtId="4" fontId="33" fillId="6" borderId="126" xfId="0" applyNumberFormat="1" applyFont="1" applyFill="1" applyBorder="1" applyAlignment="1">
      <alignment horizontal="center"/>
    </xf>
    <xf numFmtId="0" fontId="76" fillId="0" borderId="100" xfId="0" applyFont="1" applyFill="1" applyBorder="1" applyAlignment="1">
      <alignment wrapText="1"/>
    </xf>
    <xf numFmtId="4" fontId="0" fillId="0" borderId="141" xfId="0" applyNumberFormat="1" applyFont="1" applyBorder="1" applyAlignment="1">
      <alignment vertical="center"/>
    </xf>
    <xf numFmtId="4" fontId="0" fillId="0" borderId="142" xfId="0" applyNumberFormat="1" applyFont="1" applyBorder="1" applyAlignment="1">
      <alignment vertical="center"/>
    </xf>
    <xf numFmtId="4" fontId="0" fillId="0" borderId="143" xfId="0" applyNumberFormat="1" applyFont="1" applyBorder="1" applyAlignment="1">
      <alignment vertical="center"/>
    </xf>
    <xf numFmtId="167" fontId="0" fillId="0" borderId="144" xfId="2" applyNumberFormat="1" applyFont="1" applyBorder="1" applyAlignment="1">
      <alignment vertical="center"/>
    </xf>
    <xf numFmtId="4" fontId="0" fillId="4" borderId="3" xfId="0" applyNumberFormat="1" applyFont="1" applyFill="1" applyBorder="1" applyAlignment="1">
      <alignment vertical="center"/>
    </xf>
    <xf numFmtId="4" fontId="0" fillId="4" borderId="145" xfId="0" applyNumberFormat="1" applyFont="1" applyFill="1" applyBorder="1" applyAlignment="1">
      <alignment vertical="center"/>
    </xf>
    <xf numFmtId="4" fontId="0" fillId="4" borderId="146" xfId="0" applyNumberFormat="1" applyFont="1" applyFill="1" applyBorder="1" applyAlignment="1">
      <alignment vertical="center"/>
    </xf>
    <xf numFmtId="167" fontId="0" fillId="4" borderId="147" xfId="2" applyNumberFormat="1" applyFont="1" applyFill="1" applyBorder="1" applyAlignment="1">
      <alignment vertical="center"/>
    </xf>
    <xf numFmtId="4" fontId="0" fillId="0" borderId="3" xfId="0" applyNumberFormat="1" applyFont="1" applyBorder="1" applyAlignment="1">
      <alignment vertical="center"/>
    </xf>
    <xf numFmtId="4" fontId="0" fillId="0" borderId="145" xfId="0" applyNumberFormat="1" applyFont="1" applyBorder="1" applyAlignment="1">
      <alignment vertical="center"/>
    </xf>
    <xf numFmtId="4" fontId="0" fillId="0" borderId="146" xfId="0" applyNumberFormat="1" applyFont="1" applyBorder="1" applyAlignment="1">
      <alignment vertical="center"/>
    </xf>
    <xf numFmtId="167" fontId="0" fillId="0" borderId="147" xfId="2" applyNumberFormat="1" applyFont="1" applyBorder="1" applyAlignment="1">
      <alignment vertical="center"/>
    </xf>
    <xf numFmtId="4" fontId="0" fillId="4" borderId="41" xfId="0" applyNumberFormat="1" applyFont="1" applyFill="1" applyBorder="1" applyAlignment="1">
      <alignment vertical="center"/>
    </xf>
    <xf numFmtId="4" fontId="0" fillId="4" borderId="148" xfId="0" applyNumberFormat="1" applyFont="1" applyFill="1" applyBorder="1" applyAlignment="1">
      <alignment vertical="center"/>
    </xf>
    <xf numFmtId="4" fontId="0" fillId="4" borderId="149" xfId="0" applyNumberFormat="1" applyFont="1" applyFill="1" applyBorder="1" applyAlignment="1">
      <alignment vertical="center"/>
    </xf>
    <xf numFmtId="167" fontId="0" fillId="4" borderId="150" xfId="2" applyNumberFormat="1" applyFont="1" applyFill="1" applyBorder="1" applyAlignment="1">
      <alignment vertical="center"/>
    </xf>
    <xf numFmtId="4" fontId="0" fillId="0" borderId="141" xfId="0" applyNumberFormat="1" applyFont="1" applyBorder="1"/>
    <xf numFmtId="4" fontId="0" fillId="0" borderId="151" xfId="0" applyNumberFormat="1" applyFont="1" applyBorder="1" applyAlignment="1">
      <alignment horizontal="right"/>
    </xf>
    <xf numFmtId="167" fontId="0" fillId="0" borderId="144" xfId="2" applyNumberFormat="1" applyFont="1" applyBorder="1"/>
    <xf numFmtId="4" fontId="0" fillId="4" borderId="3" xfId="0" applyNumberFormat="1" applyFont="1" applyFill="1" applyBorder="1"/>
    <xf numFmtId="4" fontId="0" fillId="4" borderId="152" xfId="0" applyNumberFormat="1" applyFont="1" applyFill="1" applyBorder="1" applyAlignment="1">
      <alignment horizontal="right"/>
    </xf>
    <xf numFmtId="167" fontId="0" fillId="4" borderId="147" xfId="2" applyNumberFormat="1" applyFont="1" applyFill="1" applyBorder="1"/>
    <xf numFmtId="4" fontId="0" fillId="0" borderId="3" xfId="0" applyNumberFormat="1" applyFont="1" applyBorder="1"/>
    <xf numFmtId="4" fontId="0" fillId="0" borderId="152" xfId="0" applyNumberFormat="1" applyFont="1" applyBorder="1" applyAlignment="1">
      <alignment horizontal="right"/>
    </xf>
    <xf numFmtId="167" fontId="0" fillId="0" borderId="147" xfId="2" applyNumberFormat="1" applyFont="1" applyBorder="1"/>
    <xf numFmtId="4" fontId="0" fillId="4" borderId="153" xfId="0" applyNumberFormat="1" applyFont="1" applyFill="1" applyBorder="1"/>
    <xf numFmtId="4" fontId="0" fillId="4" borderId="154" xfId="0" applyNumberFormat="1" applyFont="1" applyFill="1" applyBorder="1" applyAlignment="1">
      <alignment horizontal="right"/>
    </xf>
    <xf numFmtId="167" fontId="0" fillId="4" borderId="155" xfId="2" applyNumberFormat="1" applyFont="1" applyFill="1" applyBorder="1"/>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xf>
    <xf numFmtId="17" fontId="15" fillId="0" borderId="0" xfId="0" quotePrefix="1" applyNumberFormat="1"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62" fillId="5" borderId="38" xfId="0" applyNumberFormat="1" applyFont="1" applyFill="1" applyBorder="1" applyAlignment="1">
      <alignment horizontal="left" vertical="center"/>
    </xf>
    <xf numFmtId="0" fontId="62" fillId="5" borderId="40" xfId="0" applyNumberFormat="1" applyFont="1" applyFill="1" applyBorder="1" applyAlignment="1">
      <alignment horizontal="left" vertical="center"/>
    </xf>
    <xf numFmtId="0" fontId="36" fillId="9" borderId="34" xfId="0" applyNumberFormat="1" applyFont="1" applyFill="1" applyBorder="1" applyAlignment="1">
      <alignment horizontal="center" vertical="center" wrapText="1"/>
    </xf>
    <xf numFmtId="0" fontId="36" fillId="9" borderId="26" xfId="0" applyNumberFormat="1" applyFont="1" applyFill="1" applyBorder="1" applyAlignment="1">
      <alignment horizontal="center" vertical="center" wrapText="1"/>
    </xf>
    <xf numFmtId="0" fontId="37"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62" fillId="5" borderId="27" xfId="0" applyNumberFormat="1" applyFont="1" applyFill="1" applyBorder="1" applyAlignment="1">
      <alignment horizontal="left" vertical="center"/>
    </xf>
    <xf numFmtId="0" fontId="62" fillId="5" borderId="29" xfId="0" applyNumberFormat="1" applyFont="1" applyFill="1" applyBorder="1" applyAlignment="1">
      <alignment horizontal="left" vertical="center"/>
    </xf>
    <xf numFmtId="0" fontId="62" fillId="2" borderId="30" xfId="0" applyNumberFormat="1" applyFont="1" applyFill="1" applyBorder="1" applyAlignment="1">
      <alignment horizontal="left" vertical="center"/>
    </xf>
    <xf numFmtId="0" fontId="62" fillId="2" borderId="31" xfId="0" applyNumberFormat="1" applyFont="1" applyFill="1" applyBorder="1" applyAlignment="1">
      <alignment horizontal="left" vertical="center"/>
    </xf>
    <xf numFmtId="0" fontId="62" fillId="5" borderId="30" xfId="0" applyNumberFormat="1" applyFont="1" applyFill="1" applyBorder="1" applyAlignment="1">
      <alignment horizontal="left" vertical="center"/>
    </xf>
    <xf numFmtId="0" fontId="62" fillId="5" borderId="31" xfId="0" applyNumberFormat="1" applyFont="1" applyFill="1" applyBorder="1" applyAlignment="1">
      <alignment horizontal="left" vertical="center"/>
    </xf>
    <xf numFmtId="0" fontId="62" fillId="2" borderId="32" xfId="0" applyNumberFormat="1" applyFont="1" applyFill="1" applyBorder="1" applyAlignment="1">
      <alignment horizontal="left" vertical="center"/>
    </xf>
    <xf numFmtId="0" fontId="62" fillId="2" borderId="34" xfId="0"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9" borderId="17" xfId="0" quotePrefix="1" applyNumberFormat="1" applyFont="1" applyFill="1" applyBorder="1" applyAlignment="1">
      <alignment horizontal="left" vertical="center" wrapText="1"/>
    </xf>
    <xf numFmtId="0" fontId="2" fillId="9"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NumberFormat="1" applyFont="1" applyFill="1" applyBorder="1" applyAlignment="1">
      <alignment horizontal="center" vertical="center"/>
    </xf>
    <xf numFmtId="0" fontId="2" fillId="9"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NumberFormat="1" applyFont="1" applyFill="1" applyBorder="1" applyAlignment="1">
      <alignment horizontal="center" vertical="center"/>
    </xf>
    <xf numFmtId="0" fontId="2" fillId="9"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10" borderId="46" xfId="0" applyFont="1" applyFill="1" applyBorder="1" applyAlignment="1">
      <alignment horizontal="left" vertical="center"/>
    </xf>
    <xf numFmtId="43" fontId="2" fillId="9" borderId="46" xfId="1" applyFont="1" applyFill="1" applyBorder="1" applyAlignment="1">
      <alignment horizontal="center" vertical="center"/>
    </xf>
    <xf numFmtId="0" fontId="2" fillId="9"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27"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7" fontId="2" fillId="9" borderId="23" xfId="2" applyNumberFormat="1" applyFont="1" applyFill="1" applyBorder="1" applyAlignment="1">
      <alignment horizontal="center" vertical="center" wrapText="1"/>
    </xf>
    <xf numFmtId="167" fontId="2" fillId="9" borderId="23" xfId="2" applyNumberFormat="1"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10" borderId="58" xfId="0" applyFont="1" applyFill="1" applyBorder="1" applyAlignment="1">
      <alignment horizontal="center" vertical="center" wrapText="1"/>
    </xf>
    <xf numFmtId="0" fontId="2" fillId="10" borderId="60" xfId="0" applyFont="1" applyFill="1" applyBorder="1" applyAlignment="1">
      <alignment horizontal="center" vertical="center" wrapText="1"/>
    </xf>
    <xf numFmtId="43" fontId="2" fillId="9" borderId="58" xfId="1" applyFont="1" applyFill="1" applyBorder="1" applyAlignment="1">
      <alignment horizontal="center" vertical="center" wrapText="1"/>
    </xf>
    <xf numFmtId="0" fontId="2" fillId="9" borderId="58" xfId="0" applyNumberFormat="1" applyFont="1" applyFill="1" applyBorder="1" applyAlignment="1">
      <alignment horizontal="center" vertical="center"/>
    </xf>
    <xf numFmtId="0" fontId="2" fillId="9"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9" borderId="59" xfId="0" applyFont="1" applyFill="1" applyBorder="1" applyAlignment="1">
      <alignment horizontal="center" vertical="center"/>
    </xf>
    <xf numFmtId="0" fontId="2" fillId="9" borderId="61" xfId="0" applyFont="1" applyFill="1" applyBorder="1" applyAlignment="1">
      <alignment horizontal="center" vertical="center"/>
    </xf>
    <xf numFmtId="0" fontId="4" fillId="2" borderId="0" xfId="0" applyNumberFormat="1" applyFont="1" applyFill="1" applyAlignment="1">
      <alignment horizontal="left" vertical="center"/>
    </xf>
    <xf numFmtId="0" fontId="34"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32" xfId="0" applyNumberFormat="1" applyFont="1" applyFill="1" applyBorder="1" applyAlignment="1">
      <alignment horizontal="left" vertical="center" wrapText="1"/>
    </xf>
    <xf numFmtId="0" fontId="84" fillId="2" borderId="0" xfId="0" applyNumberFormat="1" applyFont="1" applyFill="1" applyAlignment="1">
      <alignment horizontal="left" vertical="center"/>
    </xf>
    <xf numFmtId="0" fontId="63" fillId="0" borderId="91" xfId="0" applyFont="1" applyFill="1" applyBorder="1" applyAlignment="1">
      <alignment horizontal="center" vertical="center"/>
    </xf>
    <xf numFmtId="0" fontId="63" fillId="0" borderId="93" xfId="0" applyFont="1" applyFill="1" applyBorder="1" applyAlignment="1">
      <alignment horizontal="center" vertical="center"/>
    </xf>
    <xf numFmtId="43" fontId="63" fillId="0" borderId="91" xfId="1" applyFont="1" applyFill="1" applyBorder="1" applyAlignment="1">
      <alignment horizontal="center" vertical="center" wrapText="1"/>
    </xf>
    <xf numFmtId="43" fontId="63" fillId="0" borderId="92" xfId="1" applyFont="1" applyFill="1" applyBorder="1" applyAlignment="1">
      <alignment horizontal="center" vertical="center" wrapText="1"/>
    </xf>
    <xf numFmtId="43" fontId="63" fillId="0" borderId="93" xfId="1" applyFont="1" applyFill="1" applyBorder="1" applyAlignment="1">
      <alignment horizontal="center" vertical="center" wrapText="1"/>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7" fillId="2" borderId="0" xfId="0" applyNumberFormat="1" applyFont="1" applyFill="1" applyBorder="1" applyAlignment="1">
      <alignment wrapText="1"/>
    </xf>
    <xf numFmtId="0" fontId="38" fillId="2" borderId="0" xfId="0" quotePrefix="1" applyNumberFormat="1" applyFont="1" applyFill="1" applyBorder="1" applyAlignment="1">
      <alignment horizontal="center" vertical="center" wrapText="1"/>
    </xf>
    <xf numFmtId="0" fontId="38" fillId="2" borderId="0" xfId="0" applyNumberFormat="1" applyFont="1" applyFill="1" applyBorder="1" applyAlignment="1">
      <alignment horizontal="center"/>
    </xf>
    <xf numFmtId="0" fontId="37" fillId="2" borderId="0" xfId="0" applyNumberFormat="1" applyFont="1" applyFill="1" applyBorder="1" applyAlignment="1">
      <alignment vertical="center" wrapText="1"/>
    </xf>
    <xf numFmtId="43" fontId="36" fillId="9" borderId="87" xfId="1" applyFont="1" applyFill="1" applyBorder="1" applyAlignment="1">
      <alignment horizontal="center" vertical="center" wrapText="1"/>
    </xf>
    <xf numFmtId="43" fontId="36" fillId="9" borderId="88"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89" xfId="0" applyNumberFormat="1" applyFont="1" applyFill="1" applyBorder="1" applyAlignment="1">
      <alignment horizontal="left" vertical="center"/>
    </xf>
    <xf numFmtId="0" fontId="41" fillId="2" borderId="0" xfId="0" quotePrefix="1" applyNumberFormat="1" applyFont="1" applyFill="1" applyBorder="1" applyAlignment="1">
      <alignment horizontal="left" vertical="center" wrapText="1"/>
    </xf>
    <xf numFmtId="0" fontId="37" fillId="2" borderId="90" xfId="0" quotePrefix="1" applyNumberFormat="1" applyFont="1" applyFill="1" applyBorder="1" applyAlignment="1">
      <alignment horizontal="left"/>
    </xf>
    <xf numFmtId="0" fontId="36" fillId="9" borderId="105" xfId="5" applyNumberFormat="1" applyFont="1" applyFill="1" applyBorder="1" applyAlignment="1">
      <alignment horizontal="center" vertical="center"/>
    </xf>
    <xf numFmtId="0" fontId="36" fillId="9" borderId="108" xfId="5" applyNumberFormat="1" applyFont="1" applyFill="1" applyBorder="1" applyAlignment="1">
      <alignment horizontal="center" vertical="center"/>
    </xf>
    <xf numFmtId="0" fontId="36" fillId="9" borderId="110" xfId="5" applyNumberFormat="1" applyFont="1" applyFill="1" applyBorder="1" applyAlignment="1">
      <alignment horizontal="center" vertical="center"/>
    </xf>
    <xf numFmtId="0" fontId="36" fillId="9" borderId="106" xfId="5" applyNumberFormat="1" applyFont="1" applyFill="1" applyBorder="1" applyAlignment="1">
      <alignment horizontal="center" vertical="center"/>
    </xf>
    <xf numFmtId="0" fontId="36" fillId="9" borderId="94" xfId="5" applyNumberFormat="1" applyFont="1" applyFill="1" applyBorder="1" applyAlignment="1">
      <alignment horizontal="center" vertical="center"/>
    </xf>
    <xf numFmtId="0" fontId="36" fillId="9" borderId="111" xfId="5" applyNumberFormat="1" applyFont="1" applyFill="1" applyBorder="1" applyAlignment="1">
      <alignment horizontal="center" vertical="center"/>
    </xf>
    <xf numFmtId="17" fontId="36" fillId="9" borderId="106" xfId="0" applyNumberFormat="1" applyFont="1" applyFill="1" applyBorder="1" applyAlignment="1">
      <alignment horizontal="center" vertical="center"/>
    </xf>
    <xf numFmtId="0" fontId="36" fillId="9" borderId="94" xfId="0" applyNumberFormat="1"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95" xfId="5" applyFont="1" applyFill="1" applyBorder="1" applyAlignment="1">
      <alignment horizontal="center" vertical="center" wrapText="1"/>
    </xf>
    <xf numFmtId="0" fontId="36" fillId="9" borderId="45" xfId="5" applyNumberFormat="1" applyFont="1" applyFill="1" applyBorder="1" applyAlignment="1">
      <alignment horizontal="center" vertical="center"/>
    </xf>
    <xf numFmtId="0" fontId="36" fillId="9" borderId="96" xfId="5" applyNumberFormat="1" applyFont="1" applyFill="1" applyBorder="1" applyAlignment="1">
      <alignment horizontal="center" vertical="center"/>
    </xf>
    <xf numFmtId="0" fontId="36"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6" fillId="11" borderId="123" xfId="6" applyNumberFormat="1" applyFont="1" applyFill="1" applyBorder="1" applyAlignment="1">
      <alignment horizontal="center" vertical="center"/>
    </xf>
    <xf numFmtId="0" fontId="36" fillId="11" borderId="118" xfId="6" applyNumberFormat="1" applyFont="1" applyFill="1" applyBorder="1" applyAlignment="1">
      <alignment horizontal="center" vertical="center"/>
    </xf>
    <xf numFmtId="0" fontId="36" fillId="11" borderId="120" xfId="6" applyNumberFormat="1" applyFont="1" applyFill="1" applyBorder="1" applyAlignment="1">
      <alignment horizontal="center" vertical="center"/>
    </xf>
    <xf numFmtId="0" fontId="36" fillId="11" borderId="124" xfId="6" applyNumberFormat="1" applyFont="1" applyFill="1" applyBorder="1" applyAlignment="1">
      <alignment horizontal="center" vertical="center"/>
    </xf>
    <xf numFmtId="0" fontId="36" fillId="11" borderId="46" xfId="6" applyNumberFormat="1" applyFont="1" applyFill="1" applyBorder="1" applyAlignment="1">
      <alignment horizontal="center" vertical="center"/>
    </xf>
    <xf numFmtId="0" fontId="36" fillId="11" borderId="121" xfId="6" applyNumberFormat="1" applyFont="1" applyFill="1" applyBorder="1" applyAlignment="1">
      <alignment horizontal="center" vertical="center"/>
    </xf>
    <xf numFmtId="0" fontId="36" fillId="11" borderId="125" xfId="6" applyNumberFormat="1" applyFont="1" applyFill="1" applyBorder="1" applyAlignment="1">
      <alignment horizontal="center" vertical="center"/>
    </xf>
    <xf numFmtId="0" fontId="42" fillId="9" borderId="126" xfId="0" applyNumberFormat="1" applyFont="1" applyFill="1" applyBorder="1" applyAlignment="1">
      <alignment horizontal="center" vertical="center"/>
    </xf>
    <xf numFmtId="174" fontId="42" fillId="9" borderId="126" xfId="0" applyNumberFormat="1" applyFont="1" applyFill="1" applyBorder="1" applyAlignment="1">
      <alignment horizontal="center"/>
    </xf>
    <xf numFmtId="10" fontId="21" fillId="0" borderId="4" xfId="2" applyNumberFormat="1" applyFont="1" applyFill="1" applyBorder="1" applyAlignment="1">
      <alignment horizontal="right"/>
    </xf>
    <xf numFmtId="10" fontId="21" fillId="4" borderId="4" xfId="2" applyNumberFormat="1" applyFont="1" applyFill="1" applyBorder="1" applyAlignment="1">
      <alignment horizontal="right" vertical="center"/>
    </xf>
    <xf numFmtId="10" fontId="21" fillId="0" borderId="4" xfId="2" applyNumberFormat="1" applyFont="1" applyFill="1" applyBorder="1" applyAlignment="1">
      <alignment horizontal="right" vertical="center"/>
    </xf>
    <xf numFmtId="10" fontId="21" fillId="4" borderId="43" xfId="2" applyNumberFormat="1" applyFont="1" applyFill="1" applyBorder="1" applyAlignment="1">
      <alignment horizontal="right" vertical="center"/>
    </xf>
    <xf numFmtId="10" fontId="21" fillId="0" borderId="57" xfId="2" applyNumberFormat="1" applyFont="1" applyFill="1" applyBorder="1" applyAlignment="1">
      <alignment horizontal="right" vertical="center"/>
    </xf>
    <xf numFmtId="10" fontId="13" fillId="0" borderId="0" xfId="0" applyNumberFormat="1" applyFont="1" applyFill="1" applyBorder="1" applyAlignment="1">
      <alignment horizontal="left"/>
    </xf>
    <xf numFmtId="10" fontId="21" fillId="4" borderId="29" xfId="2" applyNumberFormat="1" applyFont="1" applyFill="1" applyBorder="1" applyAlignment="1">
      <alignment horizontal="right" vertical="center"/>
    </xf>
    <xf numFmtId="10" fontId="21" fillId="4" borderId="34" xfId="2" applyNumberFormat="1" applyFont="1" applyFill="1" applyBorder="1" applyAlignment="1">
      <alignment horizontal="right" vertical="center"/>
    </xf>
    <xf numFmtId="10" fontId="13" fillId="0" borderId="0" xfId="0" applyNumberFormat="1" applyFont="1" applyFill="1" applyBorder="1" applyAlignment="1">
      <alignment horizontal="center"/>
    </xf>
    <xf numFmtId="0" fontId="81" fillId="0" borderId="0" xfId="0" applyFont="1" applyBorder="1" applyAlignment="1">
      <alignment vertical="center"/>
    </xf>
    <xf numFmtId="49" fontId="82" fillId="0" borderId="0" xfId="0" applyNumberFormat="1" applyFont="1" applyBorder="1" applyAlignment="1">
      <alignment horizontal="right"/>
    </xf>
    <xf numFmtId="0" fontId="68" fillId="0" borderId="0" xfId="0" applyFont="1" applyAlignment="1">
      <alignment horizontal="right"/>
    </xf>
    <xf numFmtId="0" fontId="68" fillId="0" borderId="0" xfId="0" applyNumberFormat="1" applyFont="1" applyAlignment="1">
      <alignment horizontal="right"/>
    </xf>
    <xf numFmtId="0" fontId="82" fillId="0" borderId="0" xfId="0" applyNumberFormat="1" applyFont="1" applyFill="1" applyBorder="1" applyAlignment="1">
      <alignment horizontal="right"/>
    </xf>
    <xf numFmtId="0" fontId="68" fillId="0" borderId="0" xfId="0" applyNumberFormat="1" applyFont="1" applyBorder="1" applyAlignment="1">
      <alignment horizontal="right"/>
    </xf>
    <xf numFmtId="0" fontId="82" fillId="0" borderId="0" xfId="0" applyNumberFormat="1" applyFont="1" applyBorder="1" applyAlignment="1">
      <alignment horizontal="right"/>
    </xf>
  </cellXfs>
  <cellStyles count="9">
    <cellStyle name="Comma" xfId="1" builtinId="3"/>
    <cellStyle name="Currency" xfId="7" builtinId="4"/>
    <cellStyle name="Normal" xfId="0" builtinId="0"/>
    <cellStyle name="Normal 394" xfId="5" xr:uid="{20F017A2-A5CF-4C90-873A-45E94F6F1D38}"/>
    <cellStyle name="Normal 395" xfId="6" xr:uid="{85C46510-A56A-439F-B701-E38F8B2E204D}"/>
    <cellStyle name="Normal 398" xfId="8" xr:uid="{C01FBE0A-C956-42FD-99B8-EF38DE478888}"/>
    <cellStyle name="Normal 96" xfId="4" xr:uid="{79FF1D4C-E32C-438C-BAF8-94F9B636AC66}"/>
    <cellStyle name="Normal_Informe Semanal 52_2011 2" xfId="3" xr:uid="{5F2BE7A9-E3A1-4808-9CDC-4272CDC86064}"/>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2436.2101136875003</c:v>
                </c:pt>
                <c:pt idx="1">
                  <c:v>1812.1990822999999</c:v>
                </c:pt>
                <c:pt idx="2">
                  <c:v>0</c:v>
                </c:pt>
                <c:pt idx="3">
                  <c:v>14.568871332499999</c:v>
                </c:pt>
                <c:pt idx="4">
                  <c:v>16.608781927500001</c:v>
                </c:pt>
                <c:pt idx="5">
                  <c:v>139.86001345999998</c:v>
                </c:pt>
                <c:pt idx="6">
                  <c:v>76.637353504999993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1812.1990822999999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14.568871332499999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16.608781927500001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139.86001345999998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76.637353504999993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RER'!$L$30:$L$34</c:f>
              <c:strCache>
                <c:ptCount val="5"/>
                <c:pt idx="0">
                  <c:v>C.E. WAYRA I</c:v>
                </c:pt>
                <c:pt idx="1">
                  <c:v>C.E. TRES HERMANAS</c:v>
                </c:pt>
                <c:pt idx="2">
                  <c:v>C.E. CUPISNIQUE</c:v>
                </c:pt>
                <c:pt idx="3">
                  <c:v>C.E. MARCONA</c:v>
                </c:pt>
                <c:pt idx="4">
                  <c:v>C.E. TALARA</c:v>
                </c:pt>
              </c:strCache>
            </c:strRef>
          </c:cat>
          <c:val>
            <c:numRef>
              <c:f>'6. FP RER'!$O$30:$O$34</c:f>
              <c:numCache>
                <c:formatCode>0.00</c:formatCode>
                <c:ptCount val="5"/>
                <c:pt idx="0">
                  <c:v>47.959606782499996</c:v>
                </c:pt>
                <c:pt idx="1">
                  <c:v>41.461794512499999</c:v>
                </c:pt>
                <c:pt idx="2">
                  <c:v>26.311786622500001</c:v>
                </c:pt>
                <c:pt idx="3">
                  <c:v>12.915685219999999</c:v>
                </c:pt>
                <c:pt idx="4">
                  <c:v>11.211140322499999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RER'!$L$30:$L$34</c:f>
              <c:strCache>
                <c:ptCount val="5"/>
                <c:pt idx="0">
                  <c:v>C.E. WAYRA I</c:v>
                </c:pt>
                <c:pt idx="1">
                  <c:v>C.E. TRES HERMANAS</c:v>
                </c:pt>
                <c:pt idx="2">
                  <c:v>C.E. CUPISNIQUE</c:v>
                </c:pt>
                <c:pt idx="3">
                  <c:v>C.E. MARCONA</c:v>
                </c:pt>
                <c:pt idx="4">
                  <c:v>C.E. TALARA</c:v>
                </c:pt>
              </c:strCache>
            </c:strRef>
          </c:cat>
          <c:val>
            <c:numRef>
              <c:f>'6. FP RER'!$P$30:$P$34</c:f>
              <c:numCache>
                <c:formatCode>0.00</c:formatCode>
                <c:ptCount val="5"/>
                <c:pt idx="0">
                  <c:v>0.48723988717500133</c:v>
                </c:pt>
                <c:pt idx="1">
                  <c:v>0.57363065806257907</c:v>
                </c:pt>
                <c:pt idx="2">
                  <c:v>0.42531935778874813</c:v>
                </c:pt>
                <c:pt idx="3">
                  <c:v>0.54249349882392472</c:v>
                </c:pt>
                <c:pt idx="4">
                  <c:v>0.48829348647464438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RER'!$L$35:$L$41</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RER'!$O$35:$O$41</c:f>
              <c:numCache>
                <c:formatCode>0.00</c:formatCode>
                <c:ptCount val="7"/>
                <c:pt idx="0">
                  <c:v>43.4079994075</c:v>
                </c:pt>
                <c:pt idx="1">
                  <c:v>10.914461537499999</c:v>
                </c:pt>
                <c:pt idx="2">
                  <c:v>4.9303045824999998</c:v>
                </c:pt>
                <c:pt idx="3">
                  <c:v>4.8622343775000001</c:v>
                </c:pt>
                <c:pt idx="4">
                  <c:v>4.4765246249999997</c:v>
                </c:pt>
                <c:pt idx="5">
                  <c:v>4.1222224999999995</c:v>
                </c:pt>
                <c:pt idx="6">
                  <c:v>3.9236064750000001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RER'!$L$35:$L$41</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RER'!$P$35:$P$41</c:f>
              <c:numCache>
                <c:formatCode>0.00</c:formatCode>
                <c:ptCount val="7"/>
                <c:pt idx="0">
                  <c:v>0.40382118788160587</c:v>
                </c:pt>
                <c:pt idx="1">
                  <c:v>0.32936630410444157</c:v>
                </c:pt>
                <c:pt idx="2">
                  <c:v>0.33133767355510751</c:v>
                </c:pt>
                <c:pt idx="3">
                  <c:v>0.32676306300403224</c:v>
                </c:pt>
                <c:pt idx="4">
                  <c:v>0.37605213583669356</c:v>
                </c:pt>
                <c:pt idx="5">
                  <c:v>0.27703108198924731</c:v>
                </c:pt>
                <c:pt idx="6">
                  <c:v>0.2636832308467742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RER'!$L$42:$L$45</c:f>
              <c:strCache>
                <c:ptCount val="4"/>
                <c:pt idx="0">
                  <c:v>C.T. PARAMONGA</c:v>
                </c:pt>
                <c:pt idx="1">
                  <c:v>C.T. HUAYCOLORO</c:v>
                </c:pt>
                <c:pt idx="2">
                  <c:v>C.T. LA GRINGA</c:v>
                </c:pt>
                <c:pt idx="3">
                  <c:v>C.T. DOÑA CATALINA</c:v>
                </c:pt>
              </c:strCache>
            </c:strRef>
          </c:cat>
          <c:val>
            <c:numRef>
              <c:f>'6. FP RER'!$O$42:$O$45</c:f>
              <c:numCache>
                <c:formatCode>0.00</c:formatCode>
                <c:ptCount val="4"/>
                <c:pt idx="0">
                  <c:v>6.6600184075</c:v>
                </c:pt>
                <c:pt idx="1">
                  <c:v>2.4216934999999995</c:v>
                </c:pt>
                <c:pt idx="2">
                  <c:v>1.8771787249999998</c:v>
                </c:pt>
                <c:pt idx="3" formatCode="General">
                  <c:v>1.4152301999999999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RER'!$L$42:$L$45</c:f>
              <c:strCache>
                <c:ptCount val="4"/>
                <c:pt idx="0">
                  <c:v>C.T. PARAMONGA</c:v>
                </c:pt>
                <c:pt idx="1">
                  <c:v>C.T. HUAYCOLORO</c:v>
                </c:pt>
                <c:pt idx="2">
                  <c:v>C.T. LA GRINGA</c:v>
                </c:pt>
                <c:pt idx="3">
                  <c:v>C.T. DOÑA CATALINA</c:v>
                </c:pt>
              </c:strCache>
            </c:strRef>
          </c:cat>
          <c:val>
            <c:numRef>
              <c:f>'6. FP RER'!$P$42:$P$45</c:f>
              <c:numCache>
                <c:formatCode>0.00</c:formatCode>
                <c:ptCount val="4"/>
                <c:pt idx="0">
                  <c:v>0.70258241231996166</c:v>
                </c:pt>
                <c:pt idx="1">
                  <c:v>0.76362800744174286</c:v>
                </c:pt>
                <c:pt idx="2">
                  <c:v>0.85421325257804948</c:v>
                </c:pt>
                <c:pt idx="3" formatCode="General">
                  <c:v>0.79257963709677426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rgbClr val="0077A5"/>
            </a:solidFill>
          </c:spPr>
          <c:invertIfNegative val="0"/>
          <c:cat>
            <c:multiLvlStrRef>
              <c:f>'6. FP RER'!$S$6:$T$45</c:f>
              <c:multiLvlStrCache>
                <c:ptCount val="40"/>
                <c:lvl>
                  <c:pt idx="0">
                    <c:v>C.H. YARUCAYA</c:v>
                  </c:pt>
                  <c:pt idx="1">
                    <c:v>C.H. RENOVANDES H1</c:v>
                  </c:pt>
                  <c:pt idx="2">
                    <c:v>C.H. CARHUAQUERO IV</c:v>
                  </c:pt>
                  <c:pt idx="3">
                    <c:v>C.H. LA JOYA</c:v>
                  </c:pt>
                  <c:pt idx="4">
                    <c:v>C.H. RUNATULLO III</c:v>
                  </c:pt>
                  <c:pt idx="5">
                    <c:v>C.H. YANAPAMPA</c:v>
                  </c:pt>
                  <c:pt idx="6">
                    <c:v>C.H. IMPERIAL</c:v>
                  </c:pt>
                  <c:pt idx="7">
                    <c:v>C.H. RONCADOR</c:v>
                  </c:pt>
                  <c:pt idx="8">
                    <c:v>C.H. CANCHAYLLO</c:v>
                  </c:pt>
                  <c:pt idx="9">
                    <c:v>C.H. HUASAHUASI II</c:v>
                  </c:pt>
                  <c:pt idx="10">
                    <c:v>C.H. HUASAHUASI I</c:v>
                  </c:pt>
                  <c:pt idx="11">
                    <c:v>C.H. LAS PIZARRAS</c:v>
                  </c:pt>
                  <c:pt idx="12">
                    <c:v>C.H. RUNATULLO II</c:v>
                  </c:pt>
                  <c:pt idx="13">
                    <c:v>C.H. CAÑA BRAVA</c:v>
                  </c:pt>
                  <c:pt idx="14">
                    <c:v>C.H. POTRERO</c:v>
                  </c:pt>
                  <c:pt idx="15">
                    <c:v>C.H. POECHOS II</c:v>
                  </c:pt>
                  <c:pt idx="16">
                    <c:v>C.H. SANTA CRUZ II</c:v>
                  </c:pt>
                  <c:pt idx="17">
                    <c:v>C.H. SANTA CRUZ I</c:v>
                  </c:pt>
                  <c:pt idx="18">
                    <c:v>C.H. CARHUAC</c:v>
                  </c:pt>
                  <c:pt idx="19">
                    <c:v>C.H. ÁNGEL II</c:v>
                  </c:pt>
                  <c:pt idx="20">
                    <c:v>C.H. HER 1</c:v>
                  </c:pt>
                  <c:pt idx="21">
                    <c:v>C.H. ÁNGEL I</c:v>
                  </c:pt>
                  <c:pt idx="22">
                    <c:v>C.H. ÁNGEL III</c:v>
                  </c:pt>
                  <c:pt idx="23">
                    <c:v>C.H. PURMACANA</c:v>
                  </c:pt>
                  <c:pt idx="24">
                    <c:v>C.E. WAYRA I</c:v>
                  </c:pt>
                  <c:pt idx="25">
                    <c:v>C.E. TRES HERMANAS</c:v>
                  </c:pt>
                  <c:pt idx="26">
                    <c:v>C.E. MARCONA</c:v>
                  </c:pt>
                  <c:pt idx="27">
                    <c:v>C.E. TALARA</c:v>
                  </c:pt>
                  <c:pt idx="28">
                    <c:v>C.E. CUPISNIQUE</c:v>
                  </c:pt>
                  <c:pt idx="29">
                    <c:v>C.S. MOQUEGUA FV</c:v>
                  </c:pt>
                  <c:pt idx="30">
                    <c:v>C.S. RUBI</c:v>
                  </c:pt>
                  <c:pt idx="31">
                    <c:v>C.S. PANAMERICANA SOLAR</c:v>
                  </c:pt>
                  <c:pt idx="32">
                    <c:v>C.S. TACNA SOLAR</c:v>
                  </c:pt>
                  <c:pt idx="33">
                    <c:v>C.S. INTIPAMPA</c:v>
                  </c:pt>
                  <c:pt idx="34">
                    <c:v>C.S. MAJES SOLAR</c:v>
                  </c:pt>
                  <c:pt idx="35">
                    <c:v>C.S. REPARTICION</c:v>
                  </c:pt>
                  <c:pt idx="36">
                    <c:v>C.T. HUAYCOLORO</c:v>
                  </c:pt>
                  <c:pt idx="37">
                    <c:v>C.T. PARAMONGA</c:v>
                  </c:pt>
                  <c:pt idx="38">
                    <c:v>C.T. LA GRINGA</c:v>
                  </c:pt>
                  <c:pt idx="39">
                    <c:v>C.T. DOÑA CATALINA</c:v>
                  </c:pt>
                </c:lvl>
                <c:lvl>
                  <c:pt idx="0">
                    <c:v>AGUA</c:v>
                  </c:pt>
                  <c:pt idx="24">
                    <c:v>EOLICA</c:v>
                  </c:pt>
                  <c:pt idx="29">
                    <c:v>SOLAR</c:v>
                  </c:pt>
                  <c:pt idx="36">
                    <c:v>BIOMASA</c:v>
                  </c:pt>
                </c:lvl>
              </c:multiLvlStrCache>
            </c:multiLvlStrRef>
          </c:cat>
          <c:val>
            <c:numRef>
              <c:f>'6. FP RER'!$U$6:$U$45</c:f>
              <c:numCache>
                <c:formatCode>0.000</c:formatCode>
                <c:ptCount val="40"/>
                <c:pt idx="0">
                  <c:v>1</c:v>
                </c:pt>
                <c:pt idx="1">
                  <c:v>0.93748709423998255</c:v>
                </c:pt>
                <c:pt idx="2">
                  <c:v>0.8126698725733289</c:v>
                </c:pt>
                <c:pt idx="3">
                  <c:v>0.80333934229183057</c:v>
                </c:pt>
                <c:pt idx="4">
                  <c:v>0.76503767340551998</c:v>
                </c:pt>
                <c:pt idx="5">
                  <c:v>0.73256459352666703</c:v>
                </c:pt>
                <c:pt idx="6">
                  <c:v>0.72492616194149162</c:v>
                </c:pt>
                <c:pt idx="7">
                  <c:v>0.72215045145449508</c:v>
                </c:pt>
                <c:pt idx="8">
                  <c:v>0.716037180479694</c:v>
                </c:pt>
                <c:pt idx="9">
                  <c:v>0.63167170353539559</c:v>
                </c:pt>
                <c:pt idx="10">
                  <c:v>0.62073401244118409</c:v>
                </c:pt>
                <c:pt idx="11">
                  <c:v>0.61622619236183984</c:v>
                </c:pt>
                <c:pt idx="12">
                  <c:v>0.60644141446400257</c:v>
                </c:pt>
                <c:pt idx="13">
                  <c:v>0.60151705599244609</c:v>
                </c:pt>
                <c:pt idx="14">
                  <c:v>0.56264461360742068</c:v>
                </c:pt>
                <c:pt idx="15">
                  <c:v>0.55299914052408794</c:v>
                </c:pt>
                <c:pt idx="16">
                  <c:v>0.54185108713502295</c:v>
                </c:pt>
                <c:pt idx="17">
                  <c:v>0.517279203515286</c:v>
                </c:pt>
                <c:pt idx="18">
                  <c:v>0.49558954053030296</c:v>
                </c:pt>
                <c:pt idx="19">
                  <c:v>0.26330854082994642</c:v>
                </c:pt>
                <c:pt idx="20">
                  <c:v>0.22208608630952381</c:v>
                </c:pt>
                <c:pt idx="21">
                  <c:v>0.20862393734865697</c:v>
                </c:pt>
                <c:pt idx="22">
                  <c:v>0.18760959514742273</c:v>
                </c:pt>
                <c:pt idx="23">
                  <c:v>0.16123056746615308</c:v>
                </c:pt>
                <c:pt idx="24">
                  <c:v>0.58239238063535903</c:v>
                </c:pt>
                <c:pt idx="25">
                  <c:v>0.54720675729171797</c:v>
                </c:pt>
                <c:pt idx="26">
                  <c:v>0.52933399228560218</c:v>
                </c:pt>
                <c:pt idx="27">
                  <c:v>0.45540836066992796</c:v>
                </c:pt>
                <c:pt idx="28">
                  <c:v>0.39055398275521225</c:v>
                </c:pt>
                <c:pt idx="29">
                  <c:v>0.34049667292736874</c:v>
                </c:pt>
                <c:pt idx="30">
                  <c:v>0.30819540921014227</c:v>
                </c:pt>
                <c:pt idx="31">
                  <c:v>0.29663191695205482</c:v>
                </c:pt>
                <c:pt idx="32">
                  <c:v>0.27537398849885847</c:v>
                </c:pt>
                <c:pt idx="33">
                  <c:v>0.27536111039932626</c:v>
                </c:pt>
                <c:pt idx="34">
                  <c:v>0.25388001660958903</c:v>
                </c:pt>
                <c:pt idx="35">
                  <c:v>0.23569123025114158</c:v>
                </c:pt>
                <c:pt idx="36">
                  <c:v>0.81013708057151257</c:v>
                </c:pt>
                <c:pt idx="37">
                  <c:v>0.8025814673175814</c:v>
                </c:pt>
                <c:pt idx="38">
                  <c:v>0.544182319389519</c:v>
                </c:pt>
                <c:pt idx="39">
                  <c:v>0.29804004304604265</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RER'!$S$6:$T$45</c:f>
              <c:multiLvlStrCache>
                <c:ptCount val="40"/>
                <c:lvl>
                  <c:pt idx="0">
                    <c:v>C.H. YARUCAYA</c:v>
                  </c:pt>
                  <c:pt idx="1">
                    <c:v>C.H. RENOVANDES H1</c:v>
                  </c:pt>
                  <c:pt idx="2">
                    <c:v>C.H. CARHUAQUERO IV</c:v>
                  </c:pt>
                  <c:pt idx="3">
                    <c:v>C.H. LA JOYA</c:v>
                  </c:pt>
                  <c:pt idx="4">
                    <c:v>C.H. RUNATULLO III</c:v>
                  </c:pt>
                  <c:pt idx="5">
                    <c:v>C.H. YANAPAMPA</c:v>
                  </c:pt>
                  <c:pt idx="6">
                    <c:v>C.H. IMPERIAL</c:v>
                  </c:pt>
                  <c:pt idx="7">
                    <c:v>C.H. RONCADOR</c:v>
                  </c:pt>
                  <c:pt idx="8">
                    <c:v>C.H. CANCHAYLLO</c:v>
                  </c:pt>
                  <c:pt idx="9">
                    <c:v>C.H. HUASAHUASI II</c:v>
                  </c:pt>
                  <c:pt idx="10">
                    <c:v>C.H. HUASAHUASI I</c:v>
                  </c:pt>
                  <c:pt idx="11">
                    <c:v>C.H. LAS PIZARRAS</c:v>
                  </c:pt>
                  <c:pt idx="12">
                    <c:v>C.H. RUNATULLO II</c:v>
                  </c:pt>
                  <c:pt idx="13">
                    <c:v>C.H. CAÑA BRAVA</c:v>
                  </c:pt>
                  <c:pt idx="14">
                    <c:v>C.H. POTRERO</c:v>
                  </c:pt>
                  <c:pt idx="15">
                    <c:v>C.H. POECHOS II</c:v>
                  </c:pt>
                  <c:pt idx="16">
                    <c:v>C.H. SANTA CRUZ II</c:v>
                  </c:pt>
                  <c:pt idx="17">
                    <c:v>C.H. SANTA CRUZ I</c:v>
                  </c:pt>
                  <c:pt idx="18">
                    <c:v>C.H. CARHUAC</c:v>
                  </c:pt>
                  <c:pt idx="19">
                    <c:v>C.H. ÁNGEL II</c:v>
                  </c:pt>
                  <c:pt idx="20">
                    <c:v>C.H. HER 1</c:v>
                  </c:pt>
                  <c:pt idx="21">
                    <c:v>C.H. ÁNGEL I</c:v>
                  </c:pt>
                  <c:pt idx="22">
                    <c:v>C.H. ÁNGEL III</c:v>
                  </c:pt>
                  <c:pt idx="23">
                    <c:v>C.H. PURMACANA</c:v>
                  </c:pt>
                  <c:pt idx="24">
                    <c:v>C.E. WAYRA I</c:v>
                  </c:pt>
                  <c:pt idx="25">
                    <c:v>C.E. TRES HERMANAS</c:v>
                  </c:pt>
                  <c:pt idx="26">
                    <c:v>C.E. MARCONA</c:v>
                  </c:pt>
                  <c:pt idx="27">
                    <c:v>C.E. TALARA</c:v>
                  </c:pt>
                  <c:pt idx="28">
                    <c:v>C.E. CUPISNIQUE</c:v>
                  </c:pt>
                  <c:pt idx="29">
                    <c:v>C.S. MOQUEGUA FV</c:v>
                  </c:pt>
                  <c:pt idx="30">
                    <c:v>C.S. RUBI</c:v>
                  </c:pt>
                  <c:pt idx="31">
                    <c:v>C.S. PANAMERICANA SOLAR</c:v>
                  </c:pt>
                  <c:pt idx="32">
                    <c:v>C.S. TACNA SOLAR</c:v>
                  </c:pt>
                  <c:pt idx="33">
                    <c:v>C.S. INTIPAMPA</c:v>
                  </c:pt>
                  <c:pt idx="34">
                    <c:v>C.S. MAJES SOLAR</c:v>
                  </c:pt>
                  <c:pt idx="35">
                    <c:v>C.S. REPARTICION</c:v>
                  </c:pt>
                  <c:pt idx="36">
                    <c:v>C.T. HUAYCOLORO</c:v>
                  </c:pt>
                  <c:pt idx="37">
                    <c:v>C.T. PARAMONGA</c:v>
                  </c:pt>
                  <c:pt idx="38">
                    <c:v>C.T. LA GRINGA</c:v>
                  </c:pt>
                  <c:pt idx="39">
                    <c:v>C.T. DOÑA CATALINA</c:v>
                  </c:pt>
                </c:lvl>
                <c:lvl>
                  <c:pt idx="0">
                    <c:v>AGUA</c:v>
                  </c:pt>
                  <c:pt idx="24">
                    <c:v>EOLICA</c:v>
                  </c:pt>
                  <c:pt idx="29">
                    <c:v>SOLAR</c:v>
                  </c:pt>
                  <c:pt idx="36">
                    <c:v>BIOMASA</c:v>
                  </c:pt>
                </c:lvl>
              </c:multiLvlStrCache>
            </c:multiLvlStrRef>
          </c:cat>
          <c:val>
            <c:numRef>
              <c:f>'6. FP RER'!$V$6:$V$45</c:f>
              <c:numCache>
                <c:formatCode>0.000</c:formatCode>
                <c:ptCount val="40"/>
                <c:pt idx="0">
                  <c:v>1.0309999999999999</c:v>
                </c:pt>
                <c:pt idx="2">
                  <c:v>0.93700000000000006</c:v>
                </c:pt>
                <c:pt idx="3">
                  <c:v>0.76800000000000002</c:v>
                </c:pt>
                <c:pt idx="4">
                  <c:v>0.71599999999999997</c:v>
                </c:pt>
                <c:pt idx="5">
                  <c:v>0.67200000000000004</c:v>
                </c:pt>
                <c:pt idx="6">
                  <c:v>0.73199999999999998</c:v>
                </c:pt>
                <c:pt idx="7">
                  <c:v>0.79100000000000004</c:v>
                </c:pt>
                <c:pt idx="8">
                  <c:v>0.62</c:v>
                </c:pt>
                <c:pt idx="9">
                  <c:v>0.50600000000000001</c:v>
                </c:pt>
                <c:pt idx="10">
                  <c:v>0.496</c:v>
                </c:pt>
                <c:pt idx="11">
                  <c:v>0.64400000000000002</c:v>
                </c:pt>
                <c:pt idx="12">
                  <c:v>0.57699999999999996</c:v>
                </c:pt>
                <c:pt idx="13">
                  <c:v>0.70499999999999996</c:v>
                </c:pt>
                <c:pt idx="14">
                  <c:v>0.28599999999999998</c:v>
                </c:pt>
                <c:pt idx="15">
                  <c:v>0.51300000000000001</c:v>
                </c:pt>
                <c:pt idx="16">
                  <c:v>0.54800000000000004</c:v>
                </c:pt>
                <c:pt idx="17">
                  <c:v>0.55800000000000005</c:v>
                </c:pt>
                <c:pt idx="23">
                  <c:v>0.156</c:v>
                </c:pt>
                <c:pt idx="25">
                  <c:v>0.58699999999999997</c:v>
                </c:pt>
                <c:pt idx="26">
                  <c:v>0.60099999999999998</c:v>
                </c:pt>
                <c:pt idx="27">
                  <c:v>0.45300000000000001</c:v>
                </c:pt>
                <c:pt idx="28">
                  <c:v>0.376</c:v>
                </c:pt>
                <c:pt idx="29">
                  <c:v>0.33200000000000002</c:v>
                </c:pt>
                <c:pt idx="31">
                  <c:v>0.28599999999999998</c:v>
                </c:pt>
                <c:pt idx="32">
                  <c:v>0.26200000000000001</c:v>
                </c:pt>
                <c:pt idx="34">
                  <c:v>0.251</c:v>
                </c:pt>
                <c:pt idx="35">
                  <c:v>0.23</c:v>
                </c:pt>
                <c:pt idx="36">
                  <c:v>0.79400000000000004</c:v>
                </c:pt>
                <c:pt idx="37">
                  <c:v>0.73499999999999999</c:v>
                </c:pt>
                <c:pt idx="38">
                  <c:v>0.46899999999999997</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rgbClr val="0077A5"/>
            </a:solidFill>
          </c:spPr>
          <c:invertIfNegative val="0"/>
          <c:cat>
            <c:strRef>
              <c:f>'7. Generacion empresa'!$L$5:$L$61</c:f>
              <c:strCache>
                <c:ptCount val="57"/>
                <c:pt idx="0">
                  <c:v>RIO BAÑOS</c:v>
                </c:pt>
                <c:pt idx="1">
                  <c:v>ECELIM (**)</c:v>
                </c:pt>
                <c:pt idx="2">
                  <c:v>SAMAY I</c:v>
                </c:pt>
                <c:pt idx="3">
                  <c:v>CERRO VERDE</c:v>
                </c:pt>
                <c:pt idx="4">
                  <c:v>ELECTRO ZAÑA</c:v>
                </c:pt>
                <c:pt idx="5">
                  <c:v>PLANTA  ETEN</c:v>
                </c:pt>
                <c:pt idx="6">
                  <c:v>IYEPSA</c:v>
                </c:pt>
                <c:pt idx="7">
                  <c:v>ELECTRICA SANTA ROSA</c:v>
                </c:pt>
                <c:pt idx="8">
                  <c:v>HYDRO PATAPO</c:v>
                </c:pt>
                <c:pt idx="9">
                  <c:v>MAJA ENERGIA</c:v>
                </c:pt>
                <c:pt idx="10">
                  <c:v>SINERSA</c:v>
                </c:pt>
                <c:pt idx="11">
                  <c:v>ELECTRICA YANAPAMPA</c:v>
                </c:pt>
                <c:pt idx="12">
                  <c:v>HIDROCAÑETE</c:v>
                </c:pt>
                <c:pt idx="13">
                  <c:v>EGECSAC</c:v>
                </c:pt>
                <c:pt idx="14">
                  <c:v>GTS REPARTICION</c:v>
                </c:pt>
                <c:pt idx="15">
                  <c:v>GTS MAJES</c:v>
                </c:pt>
                <c:pt idx="16">
                  <c:v>AGROAURORA</c:v>
                </c:pt>
                <c:pt idx="17">
                  <c:v>MOQUEGUA FV</c:v>
                </c:pt>
                <c:pt idx="18">
                  <c:v>TACNA SOLAR</c:v>
                </c:pt>
                <c:pt idx="19">
                  <c:v>PANAMERICANA SOLAR</c:v>
                </c:pt>
                <c:pt idx="20">
                  <c:v>PETRAMAS  (**)</c:v>
                </c:pt>
                <c:pt idx="21">
                  <c:v>AIPSA</c:v>
                </c:pt>
                <c:pt idx="22">
                  <c:v>ANDEAN POWER</c:v>
                </c:pt>
                <c:pt idx="23">
                  <c:v>RIO DOBLE</c:v>
                </c:pt>
                <c:pt idx="24">
                  <c:v>AGUA AZUL</c:v>
                </c:pt>
                <c:pt idx="25">
                  <c:v>HIDROELECTRICA HUANCHOR</c:v>
                </c:pt>
                <c:pt idx="26">
                  <c:v>HUAURA POWER</c:v>
                </c:pt>
                <c:pt idx="27">
                  <c:v>P.E. MARCONA</c:v>
                </c:pt>
                <c:pt idx="28">
                  <c:v>CELEPSA RENOVABLES  (****)</c:v>
                </c:pt>
                <c:pt idx="29">
                  <c:v>SHOUGESA</c:v>
                </c:pt>
                <c:pt idx="30">
                  <c:v>SANTA CRUZ</c:v>
                </c:pt>
                <c:pt idx="31">
                  <c:v>SANTA ANA</c:v>
                </c:pt>
                <c:pt idx="32">
                  <c:v>SDF ENERGIA</c:v>
                </c:pt>
                <c:pt idx="33">
                  <c:v>TERMOSELVA</c:v>
                </c:pt>
                <c:pt idx="34">
                  <c:v>EGESUR</c:v>
                </c:pt>
                <c:pt idx="35">
                  <c:v>EMGE JUNÍN</c:v>
                </c:pt>
                <c:pt idx="36">
                  <c:v>GEPSA</c:v>
                </c:pt>
                <c:pt idx="37">
                  <c:v>EMGE HUANZA</c:v>
                </c:pt>
                <c:pt idx="38">
                  <c:v>ENERGÍA EÓLICA</c:v>
                </c:pt>
                <c:pt idx="39">
                  <c:v>P.E. TRES HERMANAS</c:v>
                </c:pt>
                <c:pt idx="40">
                  <c:v>CELEPSA</c:v>
                </c:pt>
                <c:pt idx="41">
                  <c:v>ENEL GENERACION PIURA</c:v>
                </c:pt>
                <c:pt idx="42">
                  <c:v>LUZ DEL SUR / INLAND (***)</c:v>
                </c:pt>
                <c:pt idx="43">
                  <c:v>SAN GABAN</c:v>
                </c:pt>
                <c:pt idx="44">
                  <c:v>EGASA</c:v>
                </c:pt>
                <c:pt idx="45">
                  <c:v>ENEL GREEN POWER PERU</c:v>
                </c:pt>
                <c:pt idx="46">
                  <c:v>CHINANGO</c:v>
                </c:pt>
                <c:pt idx="47">
                  <c:v>EGEMSA</c:v>
                </c:pt>
                <c:pt idx="48">
                  <c:v>TERMOCHILCA</c:v>
                </c:pt>
                <c:pt idx="49">
                  <c:v>STATKRAFT</c:v>
                </c:pt>
                <c:pt idx="50">
                  <c:v>ORAZUL ENERGY PERÚ</c:v>
                </c:pt>
                <c:pt idx="51">
                  <c:v>EMGE HUALLAGA</c:v>
                </c:pt>
                <c:pt idx="52">
                  <c:v>FENIX POWER</c:v>
                </c:pt>
                <c:pt idx="53">
                  <c:v>KALLPA  (*)</c:v>
                </c:pt>
                <c:pt idx="54">
                  <c:v>ELECTROPERU</c:v>
                </c:pt>
                <c:pt idx="55">
                  <c:v>ENEL GENERACION PERU</c:v>
                </c:pt>
                <c:pt idx="56">
                  <c:v>ENGIE</c:v>
                </c:pt>
              </c:strCache>
            </c:strRef>
          </c:cat>
          <c:val>
            <c:numRef>
              <c:f>'7. Generacion empresa'!$M$5:$M$61</c:f>
              <c:numCache>
                <c:formatCode>General</c:formatCode>
                <c:ptCount val="57"/>
                <c:pt idx="2">
                  <c:v>0</c:v>
                </c:pt>
                <c:pt idx="3">
                  <c:v>0</c:v>
                </c:pt>
                <c:pt idx="4">
                  <c:v>6.5083375000000001E-3</c:v>
                </c:pt>
                <c:pt idx="5">
                  <c:v>1.7262139999999999E-2</c:v>
                </c:pt>
                <c:pt idx="6">
                  <c:v>0.16697896499999998</c:v>
                </c:pt>
                <c:pt idx="7">
                  <c:v>0.21018762000000002</c:v>
                </c:pt>
                <c:pt idx="8">
                  <c:v>0.46184775</c:v>
                </c:pt>
                <c:pt idx="9">
                  <c:v>1.1143244999999999</c:v>
                </c:pt>
                <c:pt idx="10">
                  <c:v>1.8235989300000002</c:v>
                </c:pt>
                <c:pt idx="11">
                  <c:v>2.1105086425000001</c:v>
                </c:pt>
                <c:pt idx="12">
                  <c:v>2.2429000000000001</c:v>
                </c:pt>
                <c:pt idx="13">
                  <c:v>3.170116315</c:v>
                </c:pt>
                <c:pt idx="14">
                  <c:v>3.9236064750000001</c:v>
                </c:pt>
                <c:pt idx="15">
                  <c:v>4.1222224999999995</c:v>
                </c:pt>
                <c:pt idx="16">
                  <c:v>4.2346610950000008</c:v>
                </c:pt>
                <c:pt idx="17">
                  <c:v>4.4765246249999997</c:v>
                </c:pt>
                <c:pt idx="18">
                  <c:v>4.8622343775000001</c:v>
                </c:pt>
                <c:pt idx="19">
                  <c:v>4.9303045824999998</c:v>
                </c:pt>
                <c:pt idx="20">
                  <c:v>5.7141024250000001</c:v>
                </c:pt>
                <c:pt idx="21">
                  <c:v>6.6600184075</c:v>
                </c:pt>
                <c:pt idx="22">
                  <c:v>7.9597405324999997</c:v>
                </c:pt>
                <c:pt idx="23">
                  <c:v>9.8516598250000005</c:v>
                </c:pt>
                <c:pt idx="24">
                  <c:v>11.337685907499999</c:v>
                </c:pt>
                <c:pt idx="25">
                  <c:v>12.295861</c:v>
                </c:pt>
                <c:pt idx="26">
                  <c:v>12.416066305000001</c:v>
                </c:pt>
                <c:pt idx="27">
                  <c:v>12.915685219999999</c:v>
                </c:pt>
                <c:pt idx="28">
                  <c:v>13.903565712500001</c:v>
                </c:pt>
                <c:pt idx="29">
                  <c:v>13.912232315000001</c:v>
                </c:pt>
                <c:pt idx="30">
                  <c:v>14.623466715000001</c:v>
                </c:pt>
                <c:pt idx="31">
                  <c:v>14.796658617499999</c:v>
                </c:pt>
                <c:pt idx="32">
                  <c:v>20.59479254</c:v>
                </c:pt>
                <c:pt idx="33">
                  <c:v>22.457336932499999</c:v>
                </c:pt>
                <c:pt idx="34">
                  <c:v>23.048733524999999</c:v>
                </c:pt>
                <c:pt idx="35">
                  <c:v>23.221423102500001</c:v>
                </c:pt>
                <c:pt idx="36">
                  <c:v>24.139455917500001</c:v>
                </c:pt>
                <c:pt idx="37">
                  <c:v>32.575901772500004</c:v>
                </c:pt>
                <c:pt idx="38">
                  <c:v>37.522926945000002</c:v>
                </c:pt>
                <c:pt idx="39">
                  <c:v>41.461794512499999</c:v>
                </c:pt>
                <c:pt idx="40">
                  <c:v>55.115172632499998</c:v>
                </c:pt>
                <c:pt idx="41">
                  <c:v>62.424170189999998</c:v>
                </c:pt>
                <c:pt idx="42">
                  <c:v>63.283625337499998</c:v>
                </c:pt>
                <c:pt idx="43">
                  <c:v>80.178238164999996</c:v>
                </c:pt>
                <c:pt idx="44">
                  <c:v>91.081007044999993</c:v>
                </c:pt>
                <c:pt idx="45">
                  <c:v>91.367606190000004</c:v>
                </c:pt>
                <c:pt idx="46">
                  <c:v>107.5844780625</c:v>
                </c:pt>
                <c:pt idx="47">
                  <c:v>118.45355536</c:v>
                </c:pt>
                <c:pt idx="48">
                  <c:v>192.85535057499999</c:v>
                </c:pt>
                <c:pt idx="49">
                  <c:v>200.31608477999995</c:v>
                </c:pt>
                <c:pt idx="50">
                  <c:v>218.02151943000001</c:v>
                </c:pt>
                <c:pt idx="51">
                  <c:v>244.79406206250002</c:v>
                </c:pt>
                <c:pt idx="52">
                  <c:v>402.90432225500001</c:v>
                </c:pt>
                <c:pt idx="53">
                  <c:v>432.10283817750002</c:v>
                </c:pt>
                <c:pt idx="54">
                  <c:v>556.38976895999997</c:v>
                </c:pt>
                <c:pt idx="55">
                  <c:v>558.68106450499999</c:v>
                </c:pt>
                <c:pt idx="56">
                  <c:v>621.24845739999989</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empresa'!$L$5:$L$61</c:f>
              <c:strCache>
                <c:ptCount val="57"/>
                <c:pt idx="0">
                  <c:v>RIO BAÑOS</c:v>
                </c:pt>
                <c:pt idx="1">
                  <c:v>ECELIM (**)</c:v>
                </c:pt>
                <c:pt idx="2">
                  <c:v>SAMAY I</c:v>
                </c:pt>
                <c:pt idx="3">
                  <c:v>CERRO VERDE</c:v>
                </c:pt>
                <c:pt idx="4">
                  <c:v>ELECTRO ZAÑA</c:v>
                </c:pt>
                <c:pt idx="5">
                  <c:v>PLANTA  ETEN</c:v>
                </c:pt>
                <c:pt idx="6">
                  <c:v>IYEPSA</c:v>
                </c:pt>
                <c:pt idx="7">
                  <c:v>ELECTRICA SANTA ROSA</c:v>
                </c:pt>
                <c:pt idx="8">
                  <c:v>HYDRO PATAPO</c:v>
                </c:pt>
                <c:pt idx="9">
                  <c:v>MAJA ENERGIA</c:v>
                </c:pt>
                <c:pt idx="10">
                  <c:v>SINERSA</c:v>
                </c:pt>
                <c:pt idx="11">
                  <c:v>ELECTRICA YANAPAMPA</c:v>
                </c:pt>
                <c:pt idx="12">
                  <c:v>HIDROCAÑETE</c:v>
                </c:pt>
                <c:pt idx="13">
                  <c:v>EGECSAC</c:v>
                </c:pt>
                <c:pt idx="14">
                  <c:v>GTS REPARTICION</c:v>
                </c:pt>
                <c:pt idx="15">
                  <c:v>GTS MAJES</c:v>
                </c:pt>
                <c:pt idx="16">
                  <c:v>AGROAURORA</c:v>
                </c:pt>
                <c:pt idx="17">
                  <c:v>MOQUEGUA FV</c:v>
                </c:pt>
                <c:pt idx="18">
                  <c:v>TACNA SOLAR</c:v>
                </c:pt>
                <c:pt idx="19">
                  <c:v>PANAMERICANA SOLAR</c:v>
                </c:pt>
                <c:pt idx="20">
                  <c:v>PETRAMAS  (**)</c:v>
                </c:pt>
                <c:pt idx="21">
                  <c:v>AIPSA</c:v>
                </c:pt>
                <c:pt idx="22">
                  <c:v>ANDEAN POWER</c:v>
                </c:pt>
                <c:pt idx="23">
                  <c:v>RIO DOBLE</c:v>
                </c:pt>
                <c:pt idx="24">
                  <c:v>AGUA AZUL</c:v>
                </c:pt>
                <c:pt idx="25">
                  <c:v>HIDROELECTRICA HUANCHOR</c:v>
                </c:pt>
                <c:pt idx="26">
                  <c:v>HUAURA POWER</c:v>
                </c:pt>
                <c:pt idx="27">
                  <c:v>P.E. MARCONA</c:v>
                </c:pt>
                <c:pt idx="28">
                  <c:v>CELEPSA RENOVABLES  (****)</c:v>
                </c:pt>
                <c:pt idx="29">
                  <c:v>SHOUGESA</c:v>
                </c:pt>
                <c:pt idx="30">
                  <c:v>SANTA CRUZ</c:v>
                </c:pt>
                <c:pt idx="31">
                  <c:v>SANTA ANA</c:v>
                </c:pt>
                <c:pt idx="32">
                  <c:v>SDF ENERGIA</c:v>
                </c:pt>
                <c:pt idx="33">
                  <c:v>TERMOSELVA</c:v>
                </c:pt>
                <c:pt idx="34">
                  <c:v>EGESUR</c:v>
                </c:pt>
                <c:pt idx="35">
                  <c:v>EMGE JUNÍN</c:v>
                </c:pt>
                <c:pt idx="36">
                  <c:v>GEPSA</c:v>
                </c:pt>
                <c:pt idx="37">
                  <c:v>EMGE HUANZA</c:v>
                </c:pt>
                <c:pt idx="38">
                  <c:v>ENERGÍA EÓLICA</c:v>
                </c:pt>
                <c:pt idx="39">
                  <c:v>P.E. TRES HERMANAS</c:v>
                </c:pt>
                <c:pt idx="40">
                  <c:v>CELEPSA</c:v>
                </c:pt>
                <c:pt idx="41">
                  <c:v>ENEL GENERACION PIURA</c:v>
                </c:pt>
                <c:pt idx="42">
                  <c:v>LUZ DEL SUR / INLAND (***)</c:v>
                </c:pt>
                <c:pt idx="43">
                  <c:v>SAN GABAN</c:v>
                </c:pt>
                <c:pt idx="44">
                  <c:v>EGASA</c:v>
                </c:pt>
                <c:pt idx="45">
                  <c:v>ENEL GREEN POWER PERU</c:v>
                </c:pt>
                <c:pt idx="46">
                  <c:v>CHINANGO</c:v>
                </c:pt>
                <c:pt idx="47">
                  <c:v>EGEMSA</c:v>
                </c:pt>
                <c:pt idx="48">
                  <c:v>TERMOCHILCA</c:v>
                </c:pt>
                <c:pt idx="49">
                  <c:v>STATKRAFT</c:v>
                </c:pt>
                <c:pt idx="50">
                  <c:v>ORAZUL ENERGY PERÚ</c:v>
                </c:pt>
                <c:pt idx="51">
                  <c:v>EMGE HUALLAGA</c:v>
                </c:pt>
                <c:pt idx="52">
                  <c:v>FENIX POWER</c:v>
                </c:pt>
                <c:pt idx="53">
                  <c:v>KALLPA  (*)</c:v>
                </c:pt>
                <c:pt idx="54">
                  <c:v>ELECTROPERU</c:v>
                </c:pt>
                <c:pt idx="55">
                  <c:v>ENEL GENERACION PERU</c:v>
                </c:pt>
                <c:pt idx="56">
                  <c:v>ENGIE</c:v>
                </c:pt>
              </c:strCache>
            </c:strRef>
          </c:cat>
          <c:val>
            <c:numRef>
              <c:f>'7. Generacion empresa'!$N$5:$N$61</c:f>
              <c:numCache>
                <c:formatCode>General</c:formatCode>
                <c:ptCount val="57"/>
                <c:pt idx="0">
                  <c:v>0</c:v>
                </c:pt>
                <c:pt idx="1">
                  <c:v>0.62758437499999997</c:v>
                </c:pt>
                <c:pt idx="2">
                  <c:v>0</c:v>
                </c:pt>
                <c:pt idx="3">
                  <c:v>0</c:v>
                </c:pt>
                <c:pt idx="5">
                  <c:v>1.8615331874999999</c:v>
                </c:pt>
                <c:pt idx="6">
                  <c:v>0.60593085000000002</c:v>
                </c:pt>
                <c:pt idx="7">
                  <c:v>0.3701769775</c:v>
                </c:pt>
                <c:pt idx="9">
                  <c:v>2.2018542500000002</c:v>
                </c:pt>
                <c:pt idx="10">
                  <c:v>3.1982881000000001</c:v>
                </c:pt>
                <c:pt idx="11">
                  <c:v>2.5699418875000002</c:v>
                </c:pt>
                <c:pt idx="12">
                  <c:v>2.5219999999999998</c:v>
                </c:pt>
                <c:pt idx="13">
                  <c:v>3.1175707500000005</c:v>
                </c:pt>
                <c:pt idx="14">
                  <c:v>3.6067930000000001</c:v>
                </c:pt>
                <c:pt idx="15">
                  <c:v>3.9912231449999998</c:v>
                </c:pt>
                <c:pt idx="16">
                  <c:v>0</c:v>
                </c:pt>
                <c:pt idx="17">
                  <c:v>4.5925670700000003</c:v>
                </c:pt>
                <c:pt idx="18">
                  <c:v>4.8935458900000004</c:v>
                </c:pt>
                <c:pt idx="19">
                  <c:v>5.0338097500000005</c:v>
                </c:pt>
                <c:pt idx="20">
                  <c:v>3.4875260499999996</c:v>
                </c:pt>
                <c:pt idx="21">
                  <c:v>5.4871706974999999</c:v>
                </c:pt>
                <c:pt idx="23">
                  <c:v>9.4148222199999996</c:v>
                </c:pt>
                <c:pt idx="24">
                  <c:v>5.0411700000000002E-3</c:v>
                </c:pt>
                <c:pt idx="25">
                  <c:v>13.272971</c:v>
                </c:pt>
                <c:pt idx="26">
                  <c:v>12.594816255</c:v>
                </c:pt>
                <c:pt idx="27">
                  <c:v>11.2620294875</c:v>
                </c:pt>
                <c:pt idx="28">
                  <c:v>12.0024222425</c:v>
                </c:pt>
                <c:pt idx="29">
                  <c:v>0.17983486749999997</c:v>
                </c:pt>
                <c:pt idx="30">
                  <c:v>15.862747680000002</c:v>
                </c:pt>
                <c:pt idx="32">
                  <c:v>20.473513837500001</c:v>
                </c:pt>
                <c:pt idx="33">
                  <c:v>7.5640972149999994</c:v>
                </c:pt>
                <c:pt idx="34">
                  <c:v>23.942596994999999</c:v>
                </c:pt>
                <c:pt idx="35">
                  <c:v>25.595690730000001</c:v>
                </c:pt>
                <c:pt idx="36">
                  <c:v>5.0003024724999996</c:v>
                </c:pt>
                <c:pt idx="37">
                  <c:v>46.5194274925</c:v>
                </c:pt>
                <c:pt idx="38">
                  <c:v>46.070589032499996</c:v>
                </c:pt>
                <c:pt idx="39">
                  <c:v>34.697945805000003</c:v>
                </c:pt>
                <c:pt idx="40">
                  <c:v>81.39460115</c:v>
                </c:pt>
                <c:pt idx="41">
                  <c:v>64.111384064999996</c:v>
                </c:pt>
                <c:pt idx="42">
                  <c:v>63.751754809999994</c:v>
                </c:pt>
                <c:pt idx="43">
                  <c:v>78.708810575000001</c:v>
                </c:pt>
                <c:pt idx="44">
                  <c:v>127.57981545749999</c:v>
                </c:pt>
                <c:pt idx="45">
                  <c:v>40.514315947499995</c:v>
                </c:pt>
                <c:pt idx="46">
                  <c:v>112.6307849975</c:v>
                </c:pt>
                <c:pt idx="47">
                  <c:v>119.21927296499999</c:v>
                </c:pt>
                <c:pt idx="48">
                  <c:v>33.14900583</c:v>
                </c:pt>
                <c:pt idx="49">
                  <c:v>195.48258343000003</c:v>
                </c:pt>
                <c:pt idx="50">
                  <c:v>230.99144163999998</c:v>
                </c:pt>
                <c:pt idx="51">
                  <c:v>264.87519700249999</c:v>
                </c:pt>
                <c:pt idx="52">
                  <c:v>402.6164141475</c:v>
                </c:pt>
                <c:pt idx="53">
                  <c:v>285.16548796749998</c:v>
                </c:pt>
                <c:pt idx="54">
                  <c:v>551.99472093750001</c:v>
                </c:pt>
                <c:pt idx="55">
                  <c:v>595.31835009250005</c:v>
                </c:pt>
                <c:pt idx="56">
                  <c:v>630.57512287499992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3972.194399999999</c:v>
                </c:pt>
                <c:pt idx="1">
                  <c:v>4181.7234999999982</c:v>
                </c:pt>
                <c:pt idx="2">
                  <c:v>3499.9080100000001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2665.2945000000009</c:v>
                </c:pt>
                <c:pt idx="1">
                  <c:v>2286.1302900000001</c:v>
                </c:pt>
                <c:pt idx="2">
                  <c:v>2874.8092700000002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247.10244</c:v>
                </c:pt>
                <c:pt idx="1">
                  <c:v>91.209550000000007</c:v>
                </c:pt>
                <c:pt idx="2">
                  <c:v>117.6927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rgbClr val="0077A5"/>
            </a:solidFill>
          </c:spPr>
          <c:invertIfNegative val="0"/>
          <c:cat>
            <c:strRef>
              <c:f>'9. Pot. Empresa'!$L$7:$L$63</c:f>
              <c:strCache>
                <c:ptCount val="57"/>
                <c:pt idx="0">
                  <c:v>RIO BAÑOS</c:v>
                </c:pt>
                <c:pt idx="1">
                  <c:v>ECELIM (**)</c:v>
                </c:pt>
                <c:pt idx="2">
                  <c:v>ELECTRO ZAÑA</c:v>
                </c:pt>
                <c:pt idx="3">
                  <c:v>TERMOSELVA</c:v>
                </c:pt>
                <c:pt idx="4">
                  <c:v>TACNA SOLAR</c:v>
                </c:pt>
                <c:pt idx="5">
                  <c:v>SAMAY I</c:v>
                </c:pt>
                <c:pt idx="6">
                  <c:v>PLANTA  ETEN</c:v>
                </c:pt>
                <c:pt idx="7">
                  <c:v>PANAMERICANA SOLAR</c:v>
                </c:pt>
                <c:pt idx="8">
                  <c:v>MOQUEGUA FV</c:v>
                </c:pt>
                <c:pt idx="9">
                  <c:v>IYEPSA</c:v>
                </c:pt>
                <c:pt idx="10">
                  <c:v>GTS REPARTICION</c:v>
                </c:pt>
                <c:pt idx="11">
                  <c:v>GTS MAJES</c:v>
                </c:pt>
                <c:pt idx="12">
                  <c:v>CERRO VERDE</c:v>
                </c:pt>
                <c:pt idx="13">
                  <c:v>HYDRO PATAPO</c:v>
                </c:pt>
                <c:pt idx="14">
                  <c:v>ELECTRICA SANTA ROSA</c:v>
                </c:pt>
                <c:pt idx="15">
                  <c:v>MAJA ENERGIA</c:v>
                </c:pt>
                <c:pt idx="16">
                  <c:v>SINERSA</c:v>
                </c:pt>
                <c:pt idx="17">
                  <c:v>HIDROCAÑETE</c:v>
                </c:pt>
                <c:pt idx="18">
                  <c:v>ELECTRICA YANAPAMPA</c:v>
                </c:pt>
                <c:pt idx="19">
                  <c:v>EGECSAC</c:v>
                </c:pt>
                <c:pt idx="20">
                  <c:v>PETRAMAS  (**)</c:v>
                </c:pt>
                <c:pt idx="21">
                  <c:v>RIO DOBLE</c:v>
                </c:pt>
                <c:pt idx="22">
                  <c:v>AIPSA</c:v>
                </c:pt>
                <c:pt idx="23">
                  <c:v>AGROAURORA</c:v>
                </c:pt>
                <c:pt idx="24">
                  <c:v>AGUA AZUL</c:v>
                </c:pt>
                <c:pt idx="25">
                  <c:v>SANTA CRUZ</c:v>
                </c:pt>
                <c:pt idx="26">
                  <c:v>HIDROELECTRICA HUANCHOR</c:v>
                </c:pt>
                <c:pt idx="27">
                  <c:v>HUAURA POWER</c:v>
                </c:pt>
                <c:pt idx="28">
                  <c:v>HIDROMARAÑON/ CELEPSA RENOVABLES  (****)</c:v>
                </c:pt>
                <c:pt idx="29">
                  <c:v>SANTA ANA</c:v>
                </c:pt>
                <c:pt idx="30">
                  <c:v>ANDEAN POWER</c:v>
                </c:pt>
                <c:pt idx="31">
                  <c:v>SHOUGESA</c:v>
                </c:pt>
                <c:pt idx="32">
                  <c:v>P.E. MARCONA</c:v>
                </c:pt>
                <c:pt idx="33">
                  <c:v>SDF ENERGIA</c:v>
                </c:pt>
                <c:pt idx="34">
                  <c:v>GEPSA</c:v>
                </c:pt>
                <c:pt idx="35">
                  <c:v>EMGE JUNÍN</c:v>
                </c:pt>
                <c:pt idx="36">
                  <c:v>EGESUR</c:v>
                </c:pt>
                <c:pt idx="37">
                  <c:v>ENERGÍA EÓLICA</c:v>
                </c:pt>
                <c:pt idx="38">
                  <c:v>P.E. TRES HERMANAS</c:v>
                </c:pt>
                <c:pt idx="39">
                  <c:v>EMGE HUANZA</c:v>
                </c:pt>
                <c:pt idx="40">
                  <c:v>ENEL GREEN POWER PERU</c:v>
                </c:pt>
                <c:pt idx="41">
                  <c:v>ENEL GENERACION PIURA</c:v>
                </c:pt>
                <c:pt idx="42">
                  <c:v>LUZ DEL SUR / INLAND  (***)</c:v>
                </c:pt>
                <c:pt idx="43">
                  <c:v>SAN GABAN</c:v>
                </c:pt>
                <c:pt idx="44">
                  <c:v>CELEPSA</c:v>
                </c:pt>
                <c:pt idx="45">
                  <c:v>EGEMSA</c:v>
                </c:pt>
                <c:pt idx="46">
                  <c:v>EGASA</c:v>
                </c:pt>
                <c:pt idx="47">
                  <c:v>CHINANGO</c:v>
                </c:pt>
                <c:pt idx="48">
                  <c:v>TERMOCHILCA</c:v>
                </c:pt>
                <c:pt idx="49">
                  <c:v>ORAZUL ENERGY PERÚ</c:v>
                </c:pt>
                <c:pt idx="50">
                  <c:v>STATKRAFT</c:v>
                </c:pt>
                <c:pt idx="51">
                  <c:v>EMGE HUALLAGA</c:v>
                </c:pt>
                <c:pt idx="52">
                  <c:v>FENIX POWER</c:v>
                </c:pt>
                <c:pt idx="53">
                  <c:v>KALLPA  (*)</c:v>
                </c:pt>
                <c:pt idx="54">
                  <c:v>ENEL GENERACION PERU</c:v>
                </c:pt>
                <c:pt idx="55">
                  <c:v>ELECTROPERU</c:v>
                </c:pt>
                <c:pt idx="56">
                  <c:v>ENGIE</c:v>
                </c:pt>
              </c:strCache>
            </c:strRef>
          </c:cat>
          <c:val>
            <c:numRef>
              <c:f>'9. Pot. Empresa'!$M$7:$M$63</c:f>
              <c:numCache>
                <c:formatCode>General</c:formatCode>
                <c:ptCount val="57"/>
                <c:pt idx="2">
                  <c:v>0</c:v>
                </c:pt>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0.90700000000000003</c:v>
                </c:pt>
                <c:pt idx="14">
                  <c:v>0.94188000000000005</c:v>
                </c:pt>
                <c:pt idx="15">
                  <c:v>1.5269999999999999</c:v>
                </c:pt>
                <c:pt idx="16" formatCode="0.00">
                  <c:v>2.3944800000000002</c:v>
                </c:pt>
                <c:pt idx="17" formatCode="0.00">
                  <c:v>2.4</c:v>
                </c:pt>
                <c:pt idx="18" formatCode="0.00">
                  <c:v>3.60182</c:v>
                </c:pt>
                <c:pt idx="19" formatCode="0.00">
                  <c:v>4.9903599999999999</c:v>
                </c:pt>
                <c:pt idx="20" formatCode="0.00">
                  <c:v>6.8082000000000011</c:v>
                </c:pt>
                <c:pt idx="21" formatCode="0.00">
                  <c:v>9.4473900000000004</c:v>
                </c:pt>
                <c:pt idx="22" formatCode="0.00">
                  <c:v>12.84328</c:v>
                </c:pt>
                <c:pt idx="23" formatCode="0.00">
                  <c:v>13.55499</c:v>
                </c:pt>
                <c:pt idx="24" formatCode="0.00">
                  <c:v>15.892329999999999</c:v>
                </c:pt>
                <c:pt idx="25" formatCode="0.00">
                  <c:v>16.815079999999998</c:v>
                </c:pt>
                <c:pt idx="26" formatCode="0.00">
                  <c:v>17.88</c:v>
                </c:pt>
                <c:pt idx="27" formatCode="0.00">
                  <c:v>18.104219999999998</c:v>
                </c:pt>
                <c:pt idx="28" formatCode="0.00">
                  <c:v>18.877369999999999</c:v>
                </c:pt>
                <c:pt idx="29" formatCode="0.00">
                  <c:v>19.850020000000001</c:v>
                </c:pt>
                <c:pt idx="30" formatCode="0.00">
                  <c:v>20.367170000000002</c:v>
                </c:pt>
                <c:pt idx="31" formatCode="0.00">
                  <c:v>20.883690000000001</c:v>
                </c:pt>
                <c:pt idx="32" formatCode="0.00">
                  <c:v>25.828679999999999</c:v>
                </c:pt>
                <c:pt idx="33" formatCode="0.00">
                  <c:v>27.943930000000002</c:v>
                </c:pt>
                <c:pt idx="34" formatCode="0.00">
                  <c:v>34.778909999999996</c:v>
                </c:pt>
                <c:pt idx="35" formatCode="0.00">
                  <c:v>37.160550000000001</c:v>
                </c:pt>
                <c:pt idx="36" formatCode="0.00">
                  <c:v>46.206550000000007</c:v>
                </c:pt>
                <c:pt idx="37" formatCode="0.00">
                  <c:v>56.806190000000001</c:v>
                </c:pt>
                <c:pt idx="38" formatCode="0.00">
                  <c:v>80.15558</c:v>
                </c:pt>
                <c:pt idx="39" formatCode="0.00">
                  <c:v>81.192689999999999</c:v>
                </c:pt>
                <c:pt idx="40" formatCode="0.00">
                  <c:v>84.311989999999994</c:v>
                </c:pt>
                <c:pt idx="41" formatCode="0.00">
                  <c:v>88.366280000000003</c:v>
                </c:pt>
                <c:pt idx="42" formatCode="0.00">
                  <c:v>90.325099999999992</c:v>
                </c:pt>
                <c:pt idx="43" formatCode="0.00">
                  <c:v>110.10356</c:v>
                </c:pt>
                <c:pt idx="44" formatCode="0.00">
                  <c:v>134.03176999999999</c:v>
                </c:pt>
                <c:pt idx="45" formatCode="0.00">
                  <c:v>166.62601000000001</c:v>
                </c:pt>
                <c:pt idx="46" formatCode="0.00">
                  <c:v>167.72149000000002</c:v>
                </c:pt>
                <c:pt idx="47" formatCode="0.00">
                  <c:v>182.12267</c:v>
                </c:pt>
                <c:pt idx="48" formatCode="0.00">
                  <c:v>291.77163999999999</c:v>
                </c:pt>
                <c:pt idx="49" formatCode="0.00">
                  <c:v>339.10036000000002</c:v>
                </c:pt>
                <c:pt idx="50" formatCode="0.00">
                  <c:v>339.57974999999999</c:v>
                </c:pt>
                <c:pt idx="51" formatCode="0.00">
                  <c:v>360.29655000000002</c:v>
                </c:pt>
                <c:pt idx="52" formatCode="0.00">
                  <c:v>541.04791</c:v>
                </c:pt>
                <c:pt idx="53" formatCode="0.00">
                  <c:v>751.21424999999999</c:v>
                </c:pt>
                <c:pt idx="54" formatCode="0.00">
                  <c:v>785.28833000000009</c:v>
                </c:pt>
                <c:pt idx="55" formatCode="0.00">
                  <c:v>837.01967999999999</c:v>
                </c:pt>
                <c:pt idx="56" formatCode="0.00">
                  <c:v>1017.5046399999998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Empresa'!$L$7:$L$63</c:f>
              <c:strCache>
                <c:ptCount val="57"/>
                <c:pt idx="0">
                  <c:v>RIO BAÑOS</c:v>
                </c:pt>
                <c:pt idx="1">
                  <c:v>ECELIM (**)</c:v>
                </c:pt>
                <c:pt idx="2">
                  <c:v>ELECTRO ZAÑA</c:v>
                </c:pt>
                <c:pt idx="3">
                  <c:v>TERMOSELVA</c:v>
                </c:pt>
                <c:pt idx="4">
                  <c:v>TACNA SOLAR</c:v>
                </c:pt>
                <c:pt idx="5">
                  <c:v>SAMAY I</c:v>
                </c:pt>
                <c:pt idx="6">
                  <c:v>PLANTA  ETEN</c:v>
                </c:pt>
                <c:pt idx="7">
                  <c:v>PANAMERICANA SOLAR</c:v>
                </c:pt>
                <c:pt idx="8">
                  <c:v>MOQUEGUA FV</c:v>
                </c:pt>
                <c:pt idx="9">
                  <c:v>IYEPSA</c:v>
                </c:pt>
                <c:pt idx="10">
                  <c:v>GTS REPARTICION</c:v>
                </c:pt>
                <c:pt idx="11">
                  <c:v>GTS MAJES</c:v>
                </c:pt>
                <c:pt idx="12">
                  <c:v>CERRO VERDE</c:v>
                </c:pt>
                <c:pt idx="13">
                  <c:v>HYDRO PATAPO</c:v>
                </c:pt>
                <c:pt idx="14">
                  <c:v>ELECTRICA SANTA ROSA</c:v>
                </c:pt>
                <c:pt idx="15">
                  <c:v>MAJA ENERGIA</c:v>
                </c:pt>
                <c:pt idx="16">
                  <c:v>SINERSA</c:v>
                </c:pt>
                <c:pt idx="17">
                  <c:v>HIDROCAÑETE</c:v>
                </c:pt>
                <c:pt idx="18">
                  <c:v>ELECTRICA YANAPAMPA</c:v>
                </c:pt>
                <c:pt idx="19">
                  <c:v>EGECSAC</c:v>
                </c:pt>
                <c:pt idx="20">
                  <c:v>PETRAMAS  (**)</c:v>
                </c:pt>
                <c:pt idx="21">
                  <c:v>RIO DOBLE</c:v>
                </c:pt>
                <c:pt idx="22">
                  <c:v>AIPSA</c:v>
                </c:pt>
                <c:pt idx="23">
                  <c:v>AGROAURORA</c:v>
                </c:pt>
                <c:pt idx="24">
                  <c:v>AGUA AZUL</c:v>
                </c:pt>
                <c:pt idx="25">
                  <c:v>SANTA CRUZ</c:v>
                </c:pt>
                <c:pt idx="26">
                  <c:v>HIDROELECTRICA HUANCHOR</c:v>
                </c:pt>
                <c:pt idx="27">
                  <c:v>HUAURA POWER</c:v>
                </c:pt>
                <c:pt idx="28">
                  <c:v>HIDROMARAÑON/ CELEPSA RENOVABLES  (****)</c:v>
                </c:pt>
                <c:pt idx="29">
                  <c:v>SANTA ANA</c:v>
                </c:pt>
                <c:pt idx="30">
                  <c:v>ANDEAN POWER</c:v>
                </c:pt>
                <c:pt idx="31">
                  <c:v>SHOUGESA</c:v>
                </c:pt>
                <c:pt idx="32">
                  <c:v>P.E. MARCONA</c:v>
                </c:pt>
                <c:pt idx="33">
                  <c:v>SDF ENERGIA</c:v>
                </c:pt>
                <c:pt idx="34">
                  <c:v>GEPSA</c:v>
                </c:pt>
                <c:pt idx="35">
                  <c:v>EMGE JUNÍN</c:v>
                </c:pt>
                <c:pt idx="36">
                  <c:v>EGESUR</c:v>
                </c:pt>
                <c:pt idx="37">
                  <c:v>ENERGÍA EÓLICA</c:v>
                </c:pt>
                <c:pt idx="38">
                  <c:v>P.E. TRES HERMANAS</c:v>
                </c:pt>
                <c:pt idx="39">
                  <c:v>EMGE HUANZA</c:v>
                </c:pt>
                <c:pt idx="40">
                  <c:v>ENEL GREEN POWER PERU</c:v>
                </c:pt>
                <c:pt idx="41">
                  <c:v>ENEL GENERACION PIURA</c:v>
                </c:pt>
                <c:pt idx="42">
                  <c:v>LUZ DEL SUR / INLAND  (***)</c:v>
                </c:pt>
                <c:pt idx="43">
                  <c:v>SAN GABAN</c:v>
                </c:pt>
                <c:pt idx="44">
                  <c:v>CELEPSA</c:v>
                </c:pt>
                <c:pt idx="45">
                  <c:v>EGEMSA</c:v>
                </c:pt>
                <c:pt idx="46">
                  <c:v>EGASA</c:v>
                </c:pt>
                <c:pt idx="47">
                  <c:v>CHINANGO</c:v>
                </c:pt>
                <c:pt idx="48">
                  <c:v>TERMOCHILCA</c:v>
                </c:pt>
                <c:pt idx="49">
                  <c:v>ORAZUL ENERGY PERÚ</c:v>
                </c:pt>
                <c:pt idx="50">
                  <c:v>STATKRAFT</c:v>
                </c:pt>
                <c:pt idx="51">
                  <c:v>EMGE HUALLAGA</c:v>
                </c:pt>
                <c:pt idx="52">
                  <c:v>FENIX POWER</c:v>
                </c:pt>
                <c:pt idx="53">
                  <c:v>KALLPA  (*)</c:v>
                </c:pt>
                <c:pt idx="54">
                  <c:v>ENEL GENERACION PERU</c:v>
                </c:pt>
                <c:pt idx="55">
                  <c:v>ELECTROPERU</c:v>
                </c:pt>
                <c:pt idx="56">
                  <c:v>ENGIE</c:v>
                </c:pt>
              </c:strCache>
            </c:strRef>
          </c:cat>
          <c:val>
            <c:numRef>
              <c:f>'9. Pot. Empresa'!$N$7:$N$63</c:f>
              <c:numCache>
                <c:formatCode>General</c:formatCode>
                <c:ptCount val="57"/>
                <c:pt idx="0">
                  <c:v>0</c:v>
                </c:pt>
                <c:pt idx="1">
                  <c:v>0</c:v>
                </c:pt>
                <c:pt idx="3" formatCode="0.00">
                  <c:v>0</c:v>
                </c:pt>
                <c:pt idx="4" formatCode="0.00">
                  <c:v>0</c:v>
                </c:pt>
                <c:pt idx="5">
                  <c:v>0</c:v>
                </c:pt>
                <c:pt idx="6" formatCode="0.00">
                  <c:v>0</c:v>
                </c:pt>
                <c:pt idx="7" formatCode="0.00">
                  <c:v>0</c:v>
                </c:pt>
                <c:pt idx="8" formatCode="0.00">
                  <c:v>0</c:v>
                </c:pt>
                <c:pt idx="9" formatCode="0.00">
                  <c:v>0</c:v>
                </c:pt>
                <c:pt idx="10">
                  <c:v>0</c:v>
                </c:pt>
                <c:pt idx="11" formatCode="0.00">
                  <c:v>0</c:v>
                </c:pt>
                <c:pt idx="12" formatCode="0.00">
                  <c:v>0</c:v>
                </c:pt>
                <c:pt idx="14">
                  <c:v>0.74956</c:v>
                </c:pt>
                <c:pt idx="15">
                  <c:v>3.1520000000000001</c:v>
                </c:pt>
                <c:pt idx="16" formatCode="0.00">
                  <c:v>2.8185899999999999</c:v>
                </c:pt>
                <c:pt idx="17" formatCode="0.00">
                  <c:v>3.6</c:v>
                </c:pt>
                <c:pt idx="18">
                  <c:v>3.5885800000000003</c:v>
                </c:pt>
                <c:pt idx="19" formatCode="0.00">
                  <c:v>4.1999999999999993</c:v>
                </c:pt>
                <c:pt idx="20" formatCode="0.00">
                  <c:v>4.3065999999999995</c:v>
                </c:pt>
                <c:pt idx="21" formatCode="0.00">
                  <c:v>13.553619999999999</c:v>
                </c:pt>
                <c:pt idx="22" formatCode="0.00">
                  <c:v>11.179410000000001</c:v>
                </c:pt>
                <c:pt idx="23" formatCode="0.00">
                  <c:v>0</c:v>
                </c:pt>
                <c:pt idx="24" formatCode="0.00">
                  <c:v>0</c:v>
                </c:pt>
                <c:pt idx="25" formatCode="0.00">
                  <c:v>18.442070000000001</c:v>
                </c:pt>
                <c:pt idx="26" formatCode="0.00">
                  <c:v>17.423999999999999</c:v>
                </c:pt>
                <c:pt idx="27" formatCode="0.00">
                  <c:v>17.134370000000001</c:v>
                </c:pt>
                <c:pt idx="28" formatCode="0.00">
                  <c:v>19.46772</c:v>
                </c:pt>
                <c:pt idx="31" formatCode="0.00">
                  <c:v>0</c:v>
                </c:pt>
                <c:pt idx="32" formatCode="0.00">
                  <c:v>10.36957</c:v>
                </c:pt>
                <c:pt idx="33" formatCode="0.00">
                  <c:v>27.69003</c:v>
                </c:pt>
                <c:pt idx="34" formatCode="0.00">
                  <c:v>6.56175</c:v>
                </c:pt>
                <c:pt idx="35" formatCode="0.00">
                  <c:v>25.51116</c:v>
                </c:pt>
                <c:pt idx="36" formatCode="0.00">
                  <c:v>48.564819999999997</c:v>
                </c:pt>
                <c:pt idx="37" formatCode="0.00">
                  <c:v>86.014499999999998</c:v>
                </c:pt>
                <c:pt idx="38" formatCode="0.00">
                  <c:v>33.914949999999997</c:v>
                </c:pt>
                <c:pt idx="39" formatCode="0.00">
                  <c:v>95.914209999999997</c:v>
                </c:pt>
                <c:pt idx="40" formatCode="0.00">
                  <c:v>0</c:v>
                </c:pt>
                <c:pt idx="41" formatCode="0.00">
                  <c:v>90.647369999999995</c:v>
                </c:pt>
                <c:pt idx="42" formatCode="0.00">
                  <c:v>90.423689999999993</c:v>
                </c:pt>
                <c:pt idx="43" formatCode="0.00">
                  <c:v>110.82124999999999</c:v>
                </c:pt>
                <c:pt idx="44" formatCode="0.00">
                  <c:v>215.91407000000001</c:v>
                </c:pt>
                <c:pt idx="45" formatCode="0.00">
                  <c:v>167.16457</c:v>
                </c:pt>
                <c:pt idx="46" formatCode="0.00">
                  <c:v>228.60289</c:v>
                </c:pt>
                <c:pt idx="47" formatCode="0.00">
                  <c:v>142.58607000000001</c:v>
                </c:pt>
                <c:pt idx="48" formatCode="0.00">
                  <c:v>184.45033000000001</c:v>
                </c:pt>
                <c:pt idx="49" formatCode="0.00">
                  <c:v>356.61589000000004</c:v>
                </c:pt>
                <c:pt idx="50" formatCode="0.00">
                  <c:v>333.1426800000001</c:v>
                </c:pt>
                <c:pt idx="51" formatCode="0.00">
                  <c:v>463.91374000000002</c:v>
                </c:pt>
                <c:pt idx="52" formatCode="0.00">
                  <c:v>548.05982000000006</c:v>
                </c:pt>
                <c:pt idx="53" formatCode="0.00">
                  <c:v>407.82664</c:v>
                </c:pt>
                <c:pt idx="54" formatCode="0.00">
                  <c:v>1019.05563</c:v>
                </c:pt>
                <c:pt idx="55" formatCode="0.00">
                  <c:v>850.53264000000001</c:v>
                </c:pt>
                <c:pt idx="56" formatCode="0.00">
                  <c:v>798.48780999999997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2518.1680651151491</c:v>
                </c:pt>
                <c:pt idx="1">
                  <c:v>1523.6902835589847</c:v>
                </c:pt>
                <c:pt idx="2">
                  <c:v>1.4045599313964749</c:v>
                </c:pt>
                <c:pt idx="3">
                  <c:v>3.1774130019754998</c:v>
                </c:pt>
                <c:pt idx="4">
                  <c:v>9.6022811257249998</c:v>
                </c:pt>
                <c:pt idx="5">
                  <c:v>92.030563942929874</c:v>
                </c:pt>
                <c:pt idx="6">
                  <c:v>62.632254656498645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1812.1990822999999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14.568871332499999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16.608781927500001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139.86001345999998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76.637353504999993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'12.Caudales'!$N$4:$N$159</c:f>
              <c:numCache>
                <c:formatCode>0.0</c:formatCode>
                <c:ptCount val="156"/>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formatCode="General">
                  <c:v>60.27571428571428</c:v>
                </c:pt>
                <c:pt idx="153" formatCode="General">
                  <c:v>46.701999664285715</c:v>
                </c:pt>
                <c:pt idx="154" formatCode="General">
                  <c:v>68.7</c:v>
                </c:pt>
                <c:pt idx="155" formatCode="General">
                  <c:v>97.347143448571416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'12.Caudales'!$O$4:$O$159</c:f>
              <c:numCache>
                <c:formatCode>0.0</c:formatCode>
                <c:ptCount val="156"/>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formatCode="General">
                  <c:v>17.955714285714286</c:v>
                </c:pt>
                <c:pt idx="153" formatCode="General">
                  <c:v>13.432571411428571</c:v>
                </c:pt>
                <c:pt idx="154" formatCode="General">
                  <c:v>39.414285714285711</c:v>
                </c:pt>
                <c:pt idx="155" formatCode="General">
                  <c:v>65.679429182857149</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'12.Caudales'!$M$4:$M$159</c:f>
              <c:numCache>
                <c:formatCode>0.0</c:formatCode>
                <c:ptCount val="156"/>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formatCode="General">
                  <c:v>22.62857142857143</c:v>
                </c:pt>
                <c:pt idx="153" formatCode="General">
                  <c:v>17.776714461428572</c:v>
                </c:pt>
                <c:pt idx="154" formatCode="General">
                  <c:v>34.085714285714282</c:v>
                </c:pt>
                <c:pt idx="155" formatCode="General">
                  <c:v>52.094142914285719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'13.Caudales'!$Q$4:$Q$159</c:f>
              <c:numCache>
                <c:formatCode>0.0</c:formatCode>
                <c:ptCount val="156"/>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'13.Caudales'!$R$4:$R$159</c:f>
              <c:numCache>
                <c:formatCode>0.0</c:formatCode>
                <c:ptCount val="156"/>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'13.Caudales'!$S$4:$S$159</c:f>
              <c:numCache>
                <c:formatCode>0.0</c:formatCode>
                <c:ptCount val="156"/>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'13.Caudales'!$T$4:$T$159</c:f>
              <c:numCache>
                <c:formatCode>0.0</c:formatCode>
                <c:ptCount val="156"/>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'13.Caudales'!$U$4:$U$159</c:f>
              <c:numCache>
                <c:formatCode>0.0</c:formatCode>
                <c:ptCount val="156"/>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'13.Caudales'!$V$4:$V$159</c:f>
              <c:numCache>
                <c:formatCode>0.0</c:formatCode>
                <c:ptCount val="156"/>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'13.Caudales'!$N$4:$O$159</c:f>
              <c:multiLvlStrCache>
                <c:ptCount val="15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lvl>
                <c:lvl>
                  <c:pt idx="0">
                    <c:v>2016</c:v>
                  </c:pt>
                  <c:pt idx="52">
                    <c:v>2017</c:v>
                  </c:pt>
                  <c:pt idx="104">
                    <c:v>2018</c:v>
                  </c:pt>
                </c:lvl>
              </c:multiLvlStrCache>
            </c:multiLvlStrRef>
          </c:cat>
          <c:val>
            <c:numRef>
              <c:f>'13.Caudales'!$W$4:$W$159</c:f>
              <c:numCache>
                <c:formatCode>0.0</c:formatCode>
                <c:ptCount val="156"/>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'13.Caudales'!$Y$4:$Y$159</c:f>
              <c:numCache>
                <c:formatCode>0.0</c:formatCode>
                <c:ptCount val="156"/>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'13.Caudales'!$X$4:$X$159</c:f>
              <c:numCache>
                <c:formatCode>0.0</c:formatCode>
                <c:ptCount val="156"/>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9.1525739814143279</c:v>
                </c:pt>
                <c:pt idx="1">
                  <c:v>8.8222422827425451</c:v>
                </c:pt>
                <c:pt idx="2">
                  <c:v>8.6712656684073472</c:v>
                </c:pt>
                <c:pt idx="3">
                  <c:v>8.6183090266176059</c:v>
                </c:pt>
                <c:pt idx="4">
                  <c:v>8.5788965548995115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8.7189999999999994</c:v>
                </c:pt>
                <c:pt idx="1">
                  <c:v>8.51</c:v>
                </c:pt>
                <c:pt idx="2">
                  <c:v>8.5</c:v>
                </c:pt>
                <c:pt idx="3">
                  <c:v>8.4860000000000007</c:v>
                </c:pt>
                <c:pt idx="4">
                  <c:v>8.48</c:v>
                </c:pt>
                <c:pt idx="5">
                  <c:v>8.3000000000000007</c:v>
                </c:pt>
                <c:pt idx="6">
                  <c:v>8.19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9.33</c:v>
                </c:pt>
                <c:pt idx="1">
                  <c:v>9.0169999999999995</c:v>
                </c:pt>
                <c:pt idx="2">
                  <c:v>8.99</c:v>
                </c:pt>
                <c:pt idx="3">
                  <c:v>8.98</c:v>
                </c:pt>
                <c:pt idx="4">
                  <c:v>8.74</c:v>
                </c:pt>
                <c:pt idx="5">
                  <c:v>8.67</c:v>
                </c:pt>
                <c:pt idx="6">
                  <c:v>8.0299999999999994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DICIEMBRE
 2016</c:v>
                </c:pt>
              </c:strCache>
            </c:strRef>
          </c:tx>
          <c:spPr>
            <a:solidFill>
              <a:schemeClr val="accent6"/>
            </a:solidFill>
          </c:spPr>
          <c:invertIfNegative val="0"/>
          <c:cat>
            <c:strRef>
              <c:f>'16. Congestiones'!$C$7:$C$14</c:f>
              <c:strCache>
                <c:ptCount val="8"/>
                <c:pt idx="0">
                  <c:v>ENLACE CENTRO - SUR</c:v>
                </c:pt>
                <c:pt idx="1">
                  <c:v>MACHUPICCHU - CACHIMAYO</c:v>
                </c:pt>
                <c:pt idx="2">
                  <c:v>CARHUAMAYO  NUEVA</c:v>
                </c:pt>
                <c:pt idx="3">
                  <c:v>KIMAN AYLLU</c:v>
                </c:pt>
                <c:pt idx="4">
                  <c:v>POMACOCHA - SAN JUAN</c:v>
                </c:pt>
                <c:pt idx="5">
                  <c:v>CARHUAMAYO - OROYA NUEVA</c:v>
                </c:pt>
                <c:pt idx="6">
                  <c:v>CHILCA - DESIERTO</c:v>
                </c:pt>
                <c:pt idx="7">
                  <c:v>MARCONA - SAN NICOLÁS</c:v>
                </c:pt>
              </c:strCache>
            </c:strRef>
          </c:cat>
          <c:val>
            <c:numRef>
              <c:f>'16. Congestiones'!$F$7:$F$14</c:f>
              <c:numCache>
                <c:formatCode>#,##0.00</c:formatCode>
                <c:ptCount val="8"/>
                <c:pt idx="0">
                  <c:v>281.03333333333336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DICIEMBRE
 2017</c:v>
                </c:pt>
              </c:strCache>
            </c:strRef>
          </c:tx>
          <c:invertIfNegative val="0"/>
          <c:cat>
            <c:strRef>
              <c:f>'16. Congestiones'!$C$7:$C$14</c:f>
              <c:strCache>
                <c:ptCount val="8"/>
                <c:pt idx="0">
                  <c:v>ENLACE CENTRO - SUR</c:v>
                </c:pt>
                <c:pt idx="1">
                  <c:v>MACHUPICCHU - CACHIMAYO</c:v>
                </c:pt>
                <c:pt idx="2">
                  <c:v>CARHUAMAYO  NUEVA</c:v>
                </c:pt>
                <c:pt idx="3">
                  <c:v>KIMAN AYLLU</c:v>
                </c:pt>
                <c:pt idx="4">
                  <c:v>POMACOCHA - SAN JUAN</c:v>
                </c:pt>
                <c:pt idx="5">
                  <c:v>CARHUAMAYO - OROYA NUEVA</c:v>
                </c:pt>
                <c:pt idx="6">
                  <c:v>CHILCA - DESIERTO</c:v>
                </c:pt>
                <c:pt idx="7">
                  <c:v>MARCONA - SAN NICOLÁS</c:v>
                </c:pt>
              </c:strCache>
            </c:strRef>
          </c:cat>
          <c:val>
            <c:numRef>
              <c:f>'16. Congestiones'!$E$7:$E$14</c:f>
              <c:numCache>
                <c:formatCode>#,##0.00</c:formatCode>
                <c:ptCount val="8"/>
                <c:pt idx="1">
                  <c:v>9.7666666666666675</c:v>
                </c:pt>
                <c:pt idx="2">
                  <c:v>5.0333333333333341</c:v>
                </c:pt>
                <c:pt idx="3">
                  <c:v>4.2999999999999989</c:v>
                </c:pt>
                <c:pt idx="7">
                  <c:v>13.5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DICIEMBRE
 2018</c:v>
                </c:pt>
              </c:strCache>
            </c:strRef>
          </c:tx>
          <c:invertIfNegative val="0"/>
          <c:cat>
            <c:strRef>
              <c:f>'16. Congestiones'!$C$7:$C$14</c:f>
              <c:strCache>
                <c:ptCount val="8"/>
                <c:pt idx="0">
                  <c:v>ENLACE CENTRO - SUR</c:v>
                </c:pt>
                <c:pt idx="1">
                  <c:v>MACHUPICCHU - CACHIMAYO</c:v>
                </c:pt>
                <c:pt idx="2">
                  <c:v>CARHUAMAYO  NUEVA</c:v>
                </c:pt>
                <c:pt idx="3">
                  <c:v>KIMAN AYLLU</c:v>
                </c:pt>
                <c:pt idx="4">
                  <c:v>POMACOCHA - SAN JUAN</c:v>
                </c:pt>
                <c:pt idx="5">
                  <c:v>CARHUAMAYO - OROYA NUEVA</c:v>
                </c:pt>
                <c:pt idx="6">
                  <c:v>CHILCA - DESIERTO</c:v>
                </c:pt>
                <c:pt idx="7">
                  <c:v>MARCONA - SAN NICOLÁS</c:v>
                </c:pt>
              </c:strCache>
            </c:strRef>
          </c:cat>
          <c:val>
            <c:numRef>
              <c:f>'16. Congestiones'!$D$7:$D$14</c:f>
              <c:numCache>
                <c:formatCode>#,##0.00</c:formatCode>
                <c:ptCount val="8"/>
                <c:pt idx="4">
                  <c:v>56.2</c:v>
                </c:pt>
                <c:pt idx="5">
                  <c:v>39.833333333333329</c:v>
                </c:pt>
                <c:pt idx="6">
                  <c:v>33.466666666666669</c:v>
                </c:pt>
                <c:pt idx="7">
                  <c:v>295.13333333333327</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5.290817153584286E-2"/>
                  <c:y val="-6.711680537829627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8638870441738087"/>
                  <c:y val="4.944725063363952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55669666434842635"/>
                  <c:y val="-0.5842897844726860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8.4292439921842183E-2"/>
                  <c:y val="-4.370629684887932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0478490041153124"/>
                  <c:y val="-0.2322500044938973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0.21966547617180079"/>
                  <c:y val="0.7463055670399597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4081423399586191"/>
                  <c:y val="0.7574477359745466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31</c:v>
                </c:pt>
                <c:pt idx="1">
                  <c:v>4</c:v>
                </c:pt>
                <c:pt idx="2">
                  <c:v>0</c:v>
                </c:pt>
                <c:pt idx="3">
                  <c:v>3</c:v>
                </c:pt>
                <c:pt idx="4">
                  <c:v>26</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0059242154673118"/>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SUBESTACIÓN</c:v>
                </c:pt>
                <c:pt idx="4">
                  <c:v>TRANSFORMADOR </c:v>
                </c:pt>
              </c:strCache>
            </c:strRef>
          </c:cat>
          <c:val>
            <c:numRef>
              <c:f>'17. Eventos'!$J$7:$J$11</c:f>
              <c:numCache>
                <c:formatCode>#,##0.00</c:formatCode>
                <c:ptCount val="5"/>
                <c:pt idx="0">
                  <c:v>573.89</c:v>
                </c:pt>
                <c:pt idx="1">
                  <c:v>160.05000000000001</c:v>
                </c:pt>
                <c:pt idx="2">
                  <c:v>69.699999999999989</c:v>
                </c:pt>
                <c:pt idx="3">
                  <c:v>142.42000000000002</c:v>
                </c:pt>
                <c:pt idx="4">
                  <c:v>6.6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generación'!$B$42:$C$42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generación'!$D$41:$E$41</c:f>
              <c:strCache>
                <c:ptCount val="2"/>
                <c:pt idx="0">
                  <c:v>DICIEMBRE 2018</c:v>
                </c:pt>
                <c:pt idx="1">
                  <c:v>DICIEMBRE 2017</c:v>
                </c:pt>
              </c:strCache>
            </c:strRef>
          </c:cat>
          <c:val>
            <c:numRef>
              <c:f>'2. Oferta de generación'!$D$42:$E$42</c:f>
              <c:numCache>
                <c:formatCode>#,##0.0</c:formatCode>
                <c:ptCount val="2"/>
                <c:pt idx="0">
                  <c:v>4995.1492474999995</c:v>
                </c:pt>
                <c:pt idx="1">
                  <c:v>4882.6042475000013</c:v>
                </c:pt>
              </c:numCache>
            </c:numRef>
          </c:val>
          <c:extLst>
            <c:ext xmlns:c16="http://schemas.microsoft.com/office/drawing/2014/chart" uri="{C3380CC4-5D6E-409C-BE32-E72D297353CC}">
              <c16:uniqueId val="{00000004-54B0-402D-913D-0304413B844F}"/>
            </c:ext>
          </c:extLst>
        </c:ser>
        <c:ser>
          <c:idx val="1"/>
          <c:order val="1"/>
          <c:tx>
            <c:strRef>
              <c:f>'2. Oferta de generación'!$B$43:$C$43</c:f>
              <c:strCache>
                <c:ptCount val="2"/>
                <c:pt idx="0">
                  <c:v>TERMOELÉCTRICA</c:v>
                </c:pt>
              </c:strCache>
            </c:strRef>
          </c:tx>
          <c:spPr>
            <a:solidFill>
              <a:schemeClr val="accent2"/>
            </a:solidFill>
          </c:spPr>
          <c:invertIfNegative val="0"/>
          <c:cat>
            <c:strRef>
              <c:f>'2. Oferta de generación'!$D$41:$E$41</c:f>
              <c:strCache>
                <c:ptCount val="2"/>
                <c:pt idx="0">
                  <c:v>DICIEMBRE 2018</c:v>
                </c:pt>
                <c:pt idx="1">
                  <c:v>DICIEMBRE 2017</c:v>
                </c:pt>
              </c:strCache>
            </c:strRef>
          </c:cat>
          <c:val>
            <c:numRef>
              <c:f>'2. Oferta de generación'!$D$43:$E$43</c:f>
              <c:numCache>
                <c:formatCode>#,##0.0</c:formatCode>
                <c:ptCount val="2"/>
                <c:pt idx="0">
                  <c:v>7395.9645</c:v>
                </c:pt>
                <c:pt idx="1">
                  <c:v>7268.29</c:v>
                </c:pt>
              </c:numCache>
            </c:numRef>
          </c:val>
          <c:extLst>
            <c:ext xmlns:c16="http://schemas.microsoft.com/office/drawing/2014/chart" uri="{C3380CC4-5D6E-409C-BE32-E72D297353CC}">
              <c16:uniqueId val="{00000005-54B0-402D-913D-0304413B844F}"/>
            </c:ext>
          </c:extLst>
        </c:ser>
        <c:ser>
          <c:idx val="2"/>
          <c:order val="2"/>
          <c:tx>
            <c:strRef>
              <c:f>'2. Oferta de generación'!$B$44:$C$44</c:f>
              <c:strCache>
                <c:ptCount val="2"/>
                <c:pt idx="0">
                  <c:v>EÓLICA</c:v>
                </c:pt>
              </c:strCache>
            </c:strRef>
          </c:tx>
          <c:spPr>
            <a:solidFill>
              <a:srgbClr val="6DA6D9"/>
            </a:solidFill>
          </c:spPr>
          <c:invertIfNegative val="0"/>
          <c:cat>
            <c:strRef>
              <c:f>'2. Oferta de generación'!$D$41:$E$41</c:f>
              <c:strCache>
                <c:ptCount val="2"/>
                <c:pt idx="0">
                  <c:v>DICIEMBRE 2018</c:v>
                </c:pt>
                <c:pt idx="1">
                  <c:v>DICIEMBRE 2017</c:v>
                </c:pt>
              </c:strCache>
            </c:strRef>
          </c:cat>
          <c:val>
            <c:numRef>
              <c:f>'2. Oferta de generación'!$D$44:$E$44</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generación'!$B$45:$C$45</c:f>
              <c:strCache>
                <c:ptCount val="2"/>
                <c:pt idx="0">
                  <c:v>SOLAR</c:v>
                </c:pt>
              </c:strCache>
            </c:strRef>
          </c:tx>
          <c:invertIfNegative val="0"/>
          <c:cat>
            <c:strRef>
              <c:f>'2. Oferta de generación'!$D$41:$E$41</c:f>
              <c:strCache>
                <c:ptCount val="2"/>
                <c:pt idx="0">
                  <c:v>DICIEMBRE 2018</c:v>
                </c:pt>
                <c:pt idx="1">
                  <c:v>DICIEMBRE 2017</c:v>
                </c:pt>
              </c:strCache>
            </c:strRef>
          </c:cat>
          <c:val>
            <c:numRef>
              <c:f>'2. Oferta de generación'!$D$45:$E$45</c:f>
              <c:numCache>
                <c:formatCode>#,##0.0</c:formatCode>
                <c:ptCount val="2"/>
                <c:pt idx="0">
                  <c:v>285.02</c:v>
                </c:pt>
                <c:pt idx="1">
                  <c:v>96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405145798248014"/>
          <c:y val="0.33306767186314951"/>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64324803149606291"/>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Eventos'!$B$7:$B$11</c:f>
              <c:numCache>
                <c:formatCode>General</c:formatCode>
                <c:ptCount val="5"/>
                <c:pt idx="0">
                  <c:v>29</c:v>
                </c:pt>
                <c:pt idx="2">
                  <c:v>1</c:v>
                </c:pt>
                <c:pt idx="4">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Eventos'!$C$7:$C$11</c:f>
              <c:numCache>
                <c:formatCode>General</c:formatCode>
                <c:ptCount val="5"/>
                <c:pt idx="0">
                  <c:v>3</c:v>
                </c:pt>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Eventos'!$D$7:$D$11</c:f>
              <c:numCache>
                <c:formatCode>General</c:formatCode>
                <c:ptCount val="5"/>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Eventos'!$E$7:$E$11</c:f>
              <c:numCache>
                <c:formatCode>General</c:formatCode>
                <c:ptCount val="5"/>
                <c:pt idx="0">
                  <c:v>3</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BARRA</c:v>
                </c:pt>
                <c:pt idx="2">
                  <c:v>CELDA</c:v>
                </c:pt>
                <c:pt idx="3">
                  <c:v>SUBESTACIÓN</c:v>
                </c:pt>
                <c:pt idx="4">
                  <c:v>TRANSFORMADOR </c:v>
                </c:pt>
              </c:strCache>
            </c:strRef>
          </c:cat>
          <c:val>
            <c:numRef>
              <c:f>'17. Eventos'!$F$7:$F$11</c:f>
              <c:numCache>
                <c:formatCode>General</c:formatCode>
                <c:ptCount val="5"/>
                <c:pt idx="0">
                  <c:v>18</c:v>
                </c:pt>
                <c:pt idx="1">
                  <c:v>1</c:v>
                </c:pt>
                <c:pt idx="2">
                  <c:v>1</c:v>
                </c:pt>
                <c:pt idx="3">
                  <c:v>5</c:v>
                </c:pt>
                <c:pt idx="4">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generación'!$L$22:$L$26</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1"/>
            <c:invertIfNegative val="0"/>
            <c:bubble3D val="0"/>
            <c:spPr>
              <a:solidFill>
                <a:srgbClr val="0077A5"/>
              </a:solidFill>
              <a:ln>
                <a:noFill/>
              </a:ln>
              <a:effectLst/>
            </c:spPr>
            <c:extLst>
              <c:ext xmlns:c16="http://schemas.microsoft.com/office/drawing/2014/chart" uri="{C3380CC4-5D6E-409C-BE32-E72D297353CC}">
                <c16:uniqueId val="{00000006-062F-457A-90B8-0383FC90D336}"/>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Pt>
            <c:idx val="4"/>
            <c:invertIfNegative val="0"/>
            <c:bubble3D val="0"/>
            <c:spPr>
              <a:solidFill>
                <a:srgbClr val="00B0F0"/>
              </a:solidFill>
              <a:ln>
                <a:noFill/>
              </a:ln>
              <a:effectLst/>
            </c:spPr>
            <c:extLst>
              <c:ext xmlns:c16="http://schemas.microsoft.com/office/drawing/2014/chart" uri="{C3380CC4-5D6E-409C-BE32-E72D297353CC}">
                <c16:uniqueId val="{00000008-17BC-4B09-A0A0-3DBF2EC3D019}"/>
              </c:ext>
            </c:extLst>
          </c:dPt>
          <c:dLbls>
            <c:delete val="1"/>
          </c:dLbls>
          <c:cat>
            <c:strRef>
              <c:f>'2. Oferta de generación'!$L$22:$L$26</c:f>
              <c:strCache>
                <c:ptCount val="5"/>
                <c:pt idx="0">
                  <c:v>Central Solar</c:v>
                </c:pt>
                <c:pt idx="1">
                  <c:v>Central Hidroeléctrica</c:v>
                </c:pt>
                <c:pt idx="2">
                  <c:v>Turbina de Vapor (*)</c:v>
                </c:pt>
                <c:pt idx="3">
                  <c:v>Central Eólica</c:v>
                </c:pt>
                <c:pt idx="4">
                  <c:v>Central a Biogás</c:v>
                </c:pt>
              </c:strCache>
            </c:strRef>
          </c:cat>
          <c:val>
            <c:numRef>
              <c:f>'2. Oferta de generación'!$M$22:$M$26</c:f>
              <c:numCache>
                <c:formatCode>#,##0.00</c:formatCode>
                <c:ptCount val="5"/>
                <c:pt idx="0">
                  <c:v>189.01999999999998</c:v>
                </c:pt>
                <c:pt idx="1">
                  <c:v>107.77999999999999</c:v>
                </c:pt>
                <c:pt idx="2">
                  <c:v>103.95113000000001</c:v>
                </c:pt>
                <c:pt idx="3" formatCode="General">
                  <c:v>132.30000000000001</c:v>
                </c:pt>
                <c:pt idx="4" formatCode="General">
                  <c:v>2.4</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22934.888030034352</c:v>
                </c:pt>
                <c:pt idx="1">
                  <c:v>23961.661639282025</c:v>
                </c:pt>
                <c:pt idx="2">
                  <c:v>1051.9592116548417</c:v>
                </c:pt>
                <c:pt idx="3">
                  <c:v>241.0611229636026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27741.419127373239</c:v>
                </c:pt>
                <c:pt idx="1">
                  <c:v>19898.436490924396</c:v>
                </c:pt>
                <c:pt idx="2">
                  <c:v>1065.2272572094798</c:v>
                </c:pt>
                <c:pt idx="3">
                  <c:v>288.16779198629291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29357.914005065006</c:v>
                </c:pt>
                <c:pt idx="1">
                  <c:v>19220.044509157491</c:v>
                </c:pt>
                <c:pt idx="2">
                  <c:v>1493.6338640475001</c:v>
                </c:pt>
                <c:pt idx="3">
                  <c:v>745.19271519000006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30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29357.914005065006</c:v>
                </c:pt>
                <c:pt idx="1">
                  <c:v>17919.965966475</c:v>
                </c:pt>
                <c:pt idx="2">
                  <c:v>606.26057511749991</c:v>
                </c:pt>
                <c:pt idx="3">
                  <c:v>370.74576912999999</c:v>
                </c:pt>
                <c:pt idx="4">
                  <c:v>0</c:v>
                </c:pt>
                <c:pt idx="5">
                  <c:v>43.120710160000002</c:v>
                </c:pt>
                <c:pt idx="6">
                  <c:v>25.234750090000002</c:v>
                </c:pt>
                <c:pt idx="7">
                  <c:v>2.6571829249999994</c:v>
                </c:pt>
                <c:pt idx="8">
                  <c:v>107.6509891525</c:v>
                </c:pt>
                <c:pt idx="9">
                  <c:v>93.812061187500007</c:v>
                </c:pt>
                <c:pt idx="10">
                  <c:v>50.596504919999994</c:v>
                </c:pt>
                <c:pt idx="11">
                  <c:v>745.19271519000006</c:v>
                </c:pt>
                <c:pt idx="12">
                  <c:v>1493.6338640475001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27741.419127373239</c:v>
                </c:pt>
                <c:pt idx="1">
                  <c:v>17533.645970229143</c:v>
                </c:pt>
                <c:pt idx="2">
                  <c:v>551.35950804963488</c:v>
                </c:pt>
                <c:pt idx="3">
                  <c:v>126.1899293396045</c:v>
                </c:pt>
                <c:pt idx="4">
                  <c:v>9.7034091828799998</c:v>
                </c:pt>
                <c:pt idx="5">
                  <c:v>673.6983736036583</c:v>
                </c:pt>
                <c:pt idx="6">
                  <c:v>126.76813412570822</c:v>
                </c:pt>
                <c:pt idx="7">
                  <c:v>1.7315323146820001</c:v>
                </c:pt>
                <c:pt idx="8">
                  <c:v>751.71495404016821</c:v>
                </c:pt>
                <c:pt idx="9">
                  <c:v>81.687220158217897</c:v>
                </c:pt>
                <c:pt idx="10">
                  <c:v>41.937459880696615</c:v>
                </c:pt>
                <c:pt idx="11">
                  <c:v>288.16779198629291</c:v>
                </c:pt>
                <c:pt idx="12">
                  <c:v>1065.2272572094798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22934.888030034352</c:v>
                </c:pt>
                <c:pt idx="1">
                  <c:v>21185.401662648117</c:v>
                </c:pt>
                <c:pt idx="2">
                  <c:v>650.11322185415315</c:v>
                </c:pt>
                <c:pt idx="3">
                  <c:v>366.26489675736985</c:v>
                </c:pt>
                <c:pt idx="4">
                  <c:v>112.10161766311515</c:v>
                </c:pt>
                <c:pt idx="5">
                  <c:v>772.88571998629777</c:v>
                </c:pt>
                <c:pt idx="6">
                  <c:v>189.9872839617702</c:v>
                </c:pt>
                <c:pt idx="7">
                  <c:v>3.2104355488503695</c:v>
                </c:pt>
                <c:pt idx="8">
                  <c:v>544.15652670155544</c:v>
                </c:pt>
                <c:pt idx="9">
                  <c:v>86.506839575721401</c:v>
                </c:pt>
                <c:pt idx="10">
                  <c:v>51.033434585075</c:v>
                </c:pt>
                <c:pt idx="11">
                  <c:v>241.0611229636026</c:v>
                </c:pt>
                <c:pt idx="12">
                  <c:v>1051.9592116548417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30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850.33699693463234</c:v>
                </c:pt>
                <c:pt idx="1">
                  <c:v>1051.9592116548417</c:v>
                </c:pt>
                <c:pt idx="2">
                  <c:v>241.0611229636026</c:v>
                </c:pt>
                <c:pt idx="3">
                  <c:v>86.506839575721401</c:v>
                </c:pt>
                <c:pt idx="4">
                  <c:v>51.033434585075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1001.8839071484376</c:v>
                </c:pt>
                <c:pt idx="1">
                  <c:v>1065.2272572094798</c:v>
                </c:pt>
                <c:pt idx="2">
                  <c:v>288.16779198629291</c:v>
                </c:pt>
                <c:pt idx="3">
                  <c:v>81.687220158217897</c:v>
                </c:pt>
                <c:pt idx="4">
                  <c:v>41.937459880696615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1290.8966449950001</c:v>
                </c:pt>
                <c:pt idx="1">
                  <c:v>1493.6338640475001</c:v>
                </c:pt>
                <c:pt idx="2">
                  <c:v>745.19271519000006</c:v>
                </c:pt>
                <c:pt idx="3">
                  <c:v>93.812061187500007</c:v>
                </c:pt>
                <c:pt idx="4">
                  <c:v>50.596504919999994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37294604880659E-2"/>
                  <c:y val="-4.841592403079217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8,263%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4124.5542162125021</c:v>
                </c:pt>
                <c:pt idx="1">
                  <c:v>138.42144508000001</c:v>
                </c:pt>
                <c:pt idx="2">
                  <c:v>139.86001345999998</c:v>
                </c:pt>
                <c:pt idx="3">
                  <c:v>76.637353504999993</c:v>
                </c:pt>
                <c:pt idx="4">
                  <c:v>10.894679502500001</c:v>
                </c:pt>
                <c:pt idx="5">
                  <c:v>5.7141024249999992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RER'!$L$6:$L$29</c:f>
              <c:strCache>
                <c:ptCount val="24"/>
                <c:pt idx="0">
                  <c:v>C.H. RENOVANDES H1</c:v>
                </c:pt>
                <c:pt idx="1">
                  <c:v>C.H. RUNATULLO III</c:v>
                </c:pt>
                <c:pt idx="2">
                  <c:v>C.H. YARUCAYA</c:v>
                </c:pt>
                <c:pt idx="3">
                  <c:v>C.H. POTRERO</c:v>
                </c:pt>
                <c:pt idx="4">
                  <c:v>C.H. RUNATULLO II</c:v>
                </c:pt>
                <c:pt idx="5">
                  <c:v>C.H. LAS PIZARRAS</c:v>
                </c:pt>
                <c:pt idx="6">
                  <c:v>C.H. CARHUAC</c:v>
                </c:pt>
                <c:pt idx="7">
                  <c:v>C.H. ÁNGEL II</c:v>
                </c:pt>
                <c:pt idx="8">
                  <c:v>C.H. ÁNGEL III</c:v>
                </c:pt>
                <c:pt idx="9">
                  <c:v>C.H. CARHUAQUERO IV</c:v>
                </c:pt>
                <c:pt idx="10">
                  <c:v>C.H. ÁNGEL I</c:v>
                </c:pt>
                <c:pt idx="11">
                  <c:v>C.H. LA JOYA</c:v>
                </c:pt>
                <c:pt idx="12">
                  <c:v>C.H. SANTA CRUZ II</c:v>
                </c:pt>
                <c:pt idx="13">
                  <c:v>C.H. HUASAHUASI II</c:v>
                </c:pt>
                <c:pt idx="14">
                  <c:v>C.H. HUASAHUASI I</c:v>
                </c:pt>
                <c:pt idx="15">
                  <c:v>C.H. SANTA CRUZ I</c:v>
                </c:pt>
                <c:pt idx="16">
                  <c:v>C.H. CANCHAYLLO</c:v>
                </c:pt>
                <c:pt idx="17">
                  <c:v>C.H. CAÑA BRAVA</c:v>
                </c:pt>
                <c:pt idx="18">
                  <c:v>C.H. IMPERIAL</c:v>
                </c:pt>
                <c:pt idx="19">
                  <c:v>C.H. YANAPAMPA</c:v>
                </c:pt>
                <c:pt idx="20">
                  <c:v>C.H. POECHOS II</c:v>
                </c:pt>
                <c:pt idx="21">
                  <c:v>C.H. RONCADOR</c:v>
                </c:pt>
                <c:pt idx="22">
                  <c:v>C.H. PURMACANA</c:v>
                </c:pt>
                <c:pt idx="23">
                  <c:v>C.H. HER 1</c:v>
                </c:pt>
              </c:strCache>
            </c:strRef>
          </c:cat>
          <c:val>
            <c:numRef>
              <c:f>'6. FP RER'!$O$6:$O$29</c:f>
              <c:numCache>
                <c:formatCode>0.00</c:formatCode>
                <c:ptCount val="24"/>
                <c:pt idx="0">
                  <c:v>14.796658617499999</c:v>
                </c:pt>
                <c:pt idx="1">
                  <c:v>12.804283142500001</c:v>
                </c:pt>
                <c:pt idx="2">
                  <c:v>12.416066305000001</c:v>
                </c:pt>
                <c:pt idx="3">
                  <c:v>11.337685907499999</c:v>
                </c:pt>
                <c:pt idx="4">
                  <c:v>10.41713996</c:v>
                </c:pt>
                <c:pt idx="5">
                  <c:v>9.8516598250000005</c:v>
                </c:pt>
                <c:pt idx="6">
                  <c:v>7.9597405324999997</c:v>
                </c:pt>
                <c:pt idx="7">
                  <c:v>6.9298720950000003</c:v>
                </c:pt>
                <c:pt idx="8">
                  <c:v>6.5698407225000004</c:v>
                </c:pt>
                <c:pt idx="9">
                  <c:v>6.16399878</c:v>
                </c:pt>
                <c:pt idx="10">
                  <c:v>5.861338505</c:v>
                </c:pt>
                <c:pt idx="11">
                  <c:v>4.7784045950000005</c:v>
                </c:pt>
                <c:pt idx="12">
                  <c:v>3.9229125049999998</c:v>
                </c:pt>
                <c:pt idx="13">
                  <c:v>3.7259606874999998</c:v>
                </c:pt>
                <c:pt idx="14">
                  <c:v>3.5022474674999997</c:v>
                </c:pt>
                <c:pt idx="15">
                  <c:v>3.472346055</c:v>
                </c:pt>
                <c:pt idx="16">
                  <c:v>3.170116315</c:v>
                </c:pt>
                <c:pt idx="17">
                  <c:v>3.1556602800000002</c:v>
                </c:pt>
                <c:pt idx="18">
                  <c:v>2.2429000000000001</c:v>
                </c:pt>
                <c:pt idx="19">
                  <c:v>2.1105086425000001</c:v>
                </c:pt>
                <c:pt idx="20">
                  <c:v>1.8235989300000002</c:v>
                </c:pt>
                <c:pt idx="21">
                  <c:v>1.1143244999999999</c:v>
                </c:pt>
                <c:pt idx="22">
                  <c:v>0.21018762000000002</c:v>
                </c:pt>
                <c:pt idx="23">
                  <c:v>7.7484752500000004E-2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RER'!$L$6:$L$29</c:f>
              <c:strCache>
                <c:ptCount val="24"/>
                <c:pt idx="0">
                  <c:v>C.H. RENOVANDES H1</c:v>
                </c:pt>
                <c:pt idx="1">
                  <c:v>C.H. RUNATULLO III</c:v>
                </c:pt>
                <c:pt idx="2">
                  <c:v>C.H. YARUCAYA</c:v>
                </c:pt>
                <c:pt idx="3">
                  <c:v>C.H. POTRERO</c:v>
                </c:pt>
                <c:pt idx="4">
                  <c:v>C.H. RUNATULLO II</c:v>
                </c:pt>
                <c:pt idx="5">
                  <c:v>C.H. LAS PIZARRAS</c:v>
                </c:pt>
                <c:pt idx="6">
                  <c:v>C.H. CARHUAC</c:v>
                </c:pt>
                <c:pt idx="7">
                  <c:v>C.H. ÁNGEL II</c:v>
                </c:pt>
                <c:pt idx="8">
                  <c:v>C.H. ÁNGEL III</c:v>
                </c:pt>
                <c:pt idx="9">
                  <c:v>C.H. CARHUAQUERO IV</c:v>
                </c:pt>
                <c:pt idx="10">
                  <c:v>C.H. ÁNGEL I</c:v>
                </c:pt>
                <c:pt idx="11">
                  <c:v>C.H. LA JOYA</c:v>
                </c:pt>
                <c:pt idx="12">
                  <c:v>C.H. SANTA CRUZ II</c:v>
                </c:pt>
                <c:pt idx="13">
                  <c:v>C.H. HUASAHUASI II</c:v>
                </c:pt>
                <c:pt idx="14">
                  <c:v>C.H. HUASAHUASI I</c:v>
                </c:pt>
                <c:pt idx="15">
                  <c:v>C.H. SANTA CRUZ I</c:v>
                </c:pt>
                <c:pt idx="16">
                  <c:v>C.H. CANCHAYLLO</c:v>
                </c:pt>
                <c:pt idx="17">
                  <c:v>C.H. CAÑA BRAVA</c:v>
                </c:pt>
                <c:pt idx="18">
                  <c:v>C.H. IMPERIAL</c:v>
                </c:pt>
                <c:pt idx="19">
                  <c:v>C.H. YANAPAMPA</c:v>
                </c:pt>
                <c:pt idx="20">
                  <c:v>C.H. POECHOS II</c:v>
                </c:pt>
                <c:pt idx="21">
                  <c:v>C.H. RONCADOR</c:v>
                </c:pt>
                <c:pt idx="22">
                  <c:v>C.H. PURMACANA</c:v>
                </c:pt>
                <c:pt idx="23">
                  <c:v>C.H. HER 1</c:v>
                </c:pt>
              </c:strCache>
            </c:strRef>
          </c:cat>
          <c:val>
            <c:numRef>
              <c:f>'6. FP RER'!$P$6:$P$29</c:f>
              <c:numCache>
                <c:formatCode>0.00</c:formatCode>
                <c:ptCount val="24"/>
                <c:pt idx="0">
                  <c:v>0.99439910063844084</c:v>
                </c:pt>
                <c:pt idx="1">
                  <c:v>0.86196824537870287</c:v>
                </c:pt>
                <c:pt idx="2">
                  <c:v>1.1125507441756273</c:v>
                </c:pt>
                <c:pt idx="3">
                  <c:v>0.76577010776327881</c:v>
                </c:pt>
                <c:pt idx="4">
                  <c:v>0.70123364573050917</c:v>
                </c:pt>
                <c:pt idx="5">
                  <c:v>0.68967828638290596</c:v>
                </c:pt>
                <c:pt idx="6">
                  <c:v>0.53492879922715053</c:v>
                </c:pt>
                <c:pt idx="7">
                  <c:v>0.46202104234671021</c:v>
                </c:pt>
                <c:pt idx="8">
                  <c:v>0.43801741461453531</c:v>
                </c:pt>
                <c:pt idx="9">
                  <c:v>0.82990529868518403</c:v>
                </c:pt>
                <c:pt idx="10">
                  <c:v>0.39078091031159323</c:v>
                </c:pt>
                <c:pt idx="11">
                  <c:v>0.82925588395565664</c:v>
                </c:pt>
                <c:pt idx="12">
                  <c:v>0.71022789083501336</c:v>
                </c:pt>
                <c:pt idx="13">
                  <c:v>0.48992483630867856</c:v>
                </c:pt>
                <c:pt idx="14">
                  <c:v>0.47790069694612741</c:v>
                </c:pt>
                <c:pt idx="15">
                  <c:v>0.67075765943587784</c:v>
                </c:pt>
                <c:pt idx="16">
                  <c:v>0.82114261428746094</c:v>
                </c:pt>
                <c:pt idx="17">
                  <c:v>0.74805623826591583</c:v>
                </c:pt>
                <c:pt idx="18">
                  <c:v>0.76050719920141496</c:v>
                </c:pt>
                <c:pt idx="19">
                  <c:v>0.72434960450296015</c:v>
                </c:pt>
                <c:pt idx="20">
                  <c:v>0.25622766366769406</c:v>
                </c:pt>
                <c:pt idx="21">
                  <c:v>0.43038735168705972</c:v>
                </c:pt>
                <c:pt idx="22">
                  <c:v>0.16482511198102912</c:v>
                </c:pt>
                <c:pt idx="23">
                  <c:v>0.1487802467357911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15 de enero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Diciembre </a:t>
          </a:r>
          <a:r>
            <a:rPr lang="es-PE" sz="2800" b="1">
              <a:solidFill>
                <a:srgbClr val="1F2532"/>
              </a:solidFill>
              <a:effectLst/>
              <a:ea typeface="Calibri" panose="020F0502020204030204" pitchFamily="34" charset="0"/>
              <a:cs typeface="Arial" panose="020B0604020202020204" pitchFamily="34" charset="0"/>
            </a:rPr>
            <a:t>2018</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INFSGI-MES-12-2018</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(8,58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(9,15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(8,74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(8,03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(9,33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(8,99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16</xdr:row>
      <xdr:rowOff>135639</xdr:rowOff>
    </xdr:from>
    <xdr:to>
      <xdr:col>7</xdr:col>
      <xdr:colOff>654327</xdr:colOff>
      <xdr:row>45</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392237</xdr:colOff>
      <xdr:row>16</xdr:row>
      <xdr:rowOff>24419</xdr:rowOff>
    </xdr:from>
    <xdr:to>
      <xdr:col>3</xdr:col>
      <xdr:colOff>348529</xdr:colOff>
      <xdr:row>31</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54429</xdr:rowOff>
    </xdr:from>
    <xdr:to>
      <xdr:col>9</xdr:col>
      <xdr:colOff>527957</xdr:colOff>
      <xdr:row>31</xdr:row>
      <xdr:rowOff>103414</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 Egúsquiza</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47</xdr:row>
      <xdr:rowOff>95250</xdr:rowOff>
    </xdr:from>
    <xdr:to>
      <xdr:col>9</xdr:col>
      <xdr:colOff>581525</xdr:colOff>
      <xdr:row>57</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24</xdr:row>
      <xdr:rowOff>70757</xdr:rowOff>
    </xdr:from>
    <xdr:to>
      <xdr:col>8</xdr:col>
      <xdr:colOff>429240</xdr:colOff>
      <xdr:row>34</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24</xdr:row>
      <xdr:rowOff>46561</xdr:rowOff>
    </xdr:from>
    <xdr:to>
      <xdr:col>1</xdr:col>
      <xdr:colOff>568389</xdr:colOff>
      <xdr:row>25</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15</xdr:row>
      <xdr:rowOff>65690</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63</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4F7-0D18-4727-8445-7BFD890D7197}">
  <sheetPr>
    <tabColor theme="4"/>
  </sheetPr>
  <dimension ref="A1:L66"/>
  <sheetViews>
    <sheetView showGridLines="0" tabSelected="1" view="pageBreakPreview" zoomScale="115" zoomScaleNormal="70" zoomScaleSheetLayoutView="115" zoomScalePageLayoutView="85" workbookViewId="0">
      <selection activeCell="O13" sqref="O13"/>
    </sheetView>
  </sheetViews>
  <sheetFormatPr defaultColWidth="9.33203125" defaultRowHeight="11.25"/>
  <cols>
    <col min="9" max="9" width="14.6640625" customWidth="1"/>
    <col min="12" max="12" width="20.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ht="15.75">
      <c r="A11" s="1"/>
      <c r="B11" s="1"/>
      <c r="C11" s="1"/>
      <c r="D11" s="1"/>
      <c r="E11" s="1"/>
      <c r="F11" s="1"/>
      <c r="H11" s="1"/>
      <c r="I11" s="707"/>
      <c r="J11" s="1"/>
      <c r="L11" s="1"/>
    </row>
    <row r="12" spans="1:12" ht="15.75">
      <c r="A12" s="1"/>
      <c r="B12" s="1"/>
      <c r="C12" s="1"/>
      <c r="D12" s="1"/>
      <c r="E12" s="1"/>
      <c r="F12" s="1"/>
      <c r="H12" s="1"/>
      <c r="I12" s="707"/>
      <c r="J12" s="1"/>
      <c r="L12" s="1"/>
    </row>
    <row r="13" spans="1:12" ht="15.75">
      <c r="A13" s="1"/>
      <c r="B13" s="1"/>
      <c r="C13" s="1"/>
      <c r="D13" s="1"/>
      <c r="E13" s="1"/>
      <c r="F13" s="1"/>
      <c r="H13" s="1"/>
      <c r="I13" s="707"/>
      <c r="J13" s="1"/>
      <c r="L13" s="1"/>
    </row>
    <row r="14" spans="1:12" ht="15.75">
      <c r="A14" s="1"/>
      <c r="B14" s="1"/>
      <c r="C14" s="1"/>
      <c r="D14" s="1"/>
      <c r="E14" s="1"/>
      <c r="F14" s="1"/>
      <c r="H14" s="1"/>
      <c r="I14" s="707"/>
      <c r="J14" s="1"/>
      <c r="L14" s="1"/>
    </row>
    <row r="15" spans="1:12" ht="15.75">
      <c r="A15" s="1"/>
      <c r="B15" s="1"/>
      <c r="C15" s="1"/>
      <c r="D15" s="1"/>
      <c r="E15" s="1"/>
      <c r="F15" s="1"/>
      <c r="H15" s="1"/>
      <c r="I15" s="707"/>
      <c r="J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30" zoomScaleNormal="100" zoomScaleSheetLayoutView="130" zoomScalePageLayoutView="145" workbookViewId="0">
      <selection activeCell="D4" sqref="D4"/>
    </sheetView>
  </sheetViews>
  <sheetFormatPr defaultColWidth="9.33203125"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0" width="10.33203125" style="3" customWidth="1"/>
    <col min="11" max="11" width="10.6640625" style="3" customWidth="1"/>
    <col min="12" max="16384" width="9.33203125" style="3"/>
  </cols>
  <sheetData>
    <row r="1" spans="1:12" ht="11.25" customHeight="1"/>
    <row r="2" spans="1:12" ht="11.25" customHeight="1">
      <c r="A2" s="953" t="s">
        <v>275</v>
      </c>
      <c r="B2" s="953"/>
      <c r="C2" s="953"/>
      <c r="D2" s="953"/>
      <c r="E2" s="953"/>
      <c r="F2" s="953"/>
      <c r="G2" s="953"/>
      <c r="H2" s="953"/>
      <c r="I2" s="953"/>
      <c r="J2" s="953"/>
      <c r="K2" s="953"/>
    </row>
    <row r="3" spans="1:12" ht="11.25" customHeight="1">
      <c r="A3" s="84"/>
      <c r="B3" s="84"/>
      <c r="C3" s="84"/>
      <c r="D3" s="84"/>
      <c r="E3" s="84"/>
      <c r="F3" s="84"/>
      <c r="G3" s="84"/>
      <c r="H3" s="84"/>
      <c r="I3" s="84"/>
      <c r="J3" s="84"/>
      <c r="K3" s="84"/>
      <c r="L3" s="45"/>
    </row>
    <row r="4" spans="1:12" ht="11.25" customHeight="1">
      <c r="A4" s="954" t="s">
        <v>472</v>
      </c>
      <c r="B4" s="954"/>
      <c r="C4" s="954"/>
      <c r="D4" s="954"/>
      <c r="E4" s="954"/>
      <c r="F4" s="954"/>
      <c r="G4" s="954"/>
      <c r="H4" s="954"/>
      <c r="I4" s="954"/>
      <c r="J4" s="954"/>
      <c r="K4" s="954"/>
      <c r="L4" s="45"/>
    </row>
    <row r="5" spans="1:12" ht="11.25" customHeight="1">
      <c r="A5" s="84"/>
      <c r="B5" s="85"/>
      <c r="C5" s="86"/>
      <c r="D5" s="87"/>
      <c r="E5" s="87"/>
      <c r="F5" s="87"/>
      <c r="G5" s="87"/>
      <c r="H5" s="88"/>
      <c r="I5" s="83"/>
      <c r="J5" s="83"/>
      <c r="K5" s="89"/>
      <c r="L5" s="10"/>
    </row>
    <row r="6" spans="1:12" ht="12.75" customHeight="1">
      <c r="A6" s="936" t="s">
        <v>224</v>
      </c>
      <c r="B6" s="933" t="s">
        <v>278</v>
      </c>
      <c r="C6" s="934"/>
      <c r="D6" s="934"/>
      <c r="E6" s="934" t="s">
        <v>34</v>
      </c>
      <c r="F6" s="934"/>
      <c r="G6" s="935" t="s">
        <v>277</v>
      </c>
      <c r="H6" s="935"/>
      <c r="I6" s="935"/>
      <c r="J6" s="935"/>
      <c r="K6" s="935"/>
      <c r="L6" s="20"/>
    </row>
    <row r="7" spans="1:12" ht="12.75" customHeight="1">
      <c r="A7" s="936"/>
      <c r="B7" s="731">
        <f>+'5. RER'!B5</f>
        <v>43377</v>
      </c>
      <c r="C7" s="731">
        <f>+'5. RER'!C5</f>
        <v>43407</v>
      </c>
      <c r="D7" s="731">
        <f>+'5. RER'!D5</f>
        <v>43435</v>
      </c>
      <c r="E7" s="731">
        <f>+'5. RER'!E5</f>
        <v>43070</v>
      </c>
      <c r="F7" s="955" t="s">
        <v>128</v>
      </c>
      <c r="G7" s="732">
        <v>2018</v>
      </c>
      <c r="H7" s="732">
        <v>2017</v>
      </c>
      <c r="I7" s="955" t="s">
        <v>43</v>
      </c>
      <c r="J7" s="732">
        <v>2016</v>
      </c>
      <c r="K7" s="955" t="s">
        <v>36</v>
      </c>
      <c r="L7" s="17"/>
    </row>
    <row r="8" spans="1:12" ht="12.75" customHeight="1">
      <c r="A8" s="936"/>
      <c r="B8" s="733">
        <v>43390.791666666664</v>
      </c>
      <c r="C8" s="733">
        <v>43431.822916666664</v>
      </c>
      <c r="D8" s="733">
        <v>43451.822916666664</v>
      </c>
      <c r="E8" s="733">
        <v>43087.822916666664</v>
      </c>
      <c r="F8" s="956"/>
      <c r="G8" s="734">
        <v>43451.822916666664</v>
      </c>
      <c r="H8" s="734">
        <v>42801.8125</v>
      </c>
      <c r="I8" s="956"/>
      <c r="J8" s="734">
        <v>42724.90625</v>
      </c>
      <c r="K8" s="956"/>
      <c r="L8" s="19"/>
    </row>
    <row r="9" spans="1:12" ht="12.75" customHeight="1">
      <c r="A9" s="936"/>
      <c r="B9" s="735">
        <f>+B8</f>
        <v>43390.791666666664</v>
      </c>
      <c r="C9" s="735">
        <f t="shared" ref="C9:E9" si="0">+C8</f>
        <v>43431.822916666664</v>
      </c>
      <c r="D9" s="735">
        <f t="shared" si="0"/>
        <v>43451.822916666664</v>
      </c>
      <c r="E9" s="735">
        <f t="shared" si="0"/>
        <v>43087.822916666664</v>
      </c>
      <c r="F9" s="956"/>
      <c r="G9" s="736">
        <f>+G8</f>
        <v>43451.822916666664</v>
      </c>
      <c r="H9" s="736">
        <f>+H8</f>
        <v>42801.8125</v>
      </c>
      <c r="I9" s="956"/>
      <c r="J9" s="736">
        <f>+J8</f>
        <v>42724.90625</v>
      </c>
      <c r="K9" s="956"/>
      <c r="L9" s="18"/>
    </row>
    <row r="10" spans="1:12" ht="12.75" customHeight="1">
      <c r="A10" s="333" t="s">
        <v>37</v>
      </c>
      <c r="B10" s="407">
        <v>3854.8354799999993</v>
      </c>
      <c r="C10" s="408">
        <v>4258.4138400000011</v>
      </c>
      <c r="D10" s="409">
        <v>3972.194399999999</v>
      </c>
      <c r="E10" s="407">
        <v>4138.1783099999993</v>
      </c>
      <c r="F10" s="1019">
        <f>+IF(E10=0,"",D10/E10-1)</f>
        <v>-4.01103813238054E-2</v>
      </c>
      <c r="G10" s="407">
        <v>3972.194399999999</v>
      </c>
      <c r="H10" s="408">
        <v>4181.7234999999982</v>
      </c>
      <c r="I10" s="1019">
        <f>+IF(H10=0,"",G10/H10-1)</f>
        <v>-5.010591924597585E-2</v>
      </c>
      <c r="J10" s="407">
        <v>3499.9080100000001</v>
      </c>
      <c r="K10" s="1019">
        <f t="shared" ref="K10:K18" si="1">+IF(J10=0,"",H10/J10-1)</f>
        <v>0.19480954586574928</v>
      </c>
      <c r="L10" s="18"/>
    </row>
    <row r="11" spans="1:12" ht="12.75" customHeight="1">
      <c r="A11" s="182" t="s">
        <v>38</v>
      </c>
      <c r="B11" s="410">
        <v>2470.3212300000005</v>
      </c>
      <c r="C11" s="309">
        <v>2281.6140699999992</v>
      </c>
      <c r="D11" s="411">
        <v>2665.2945000000009</v>
      </c>
      <c r="E11" s="410">
        <v>2193.9252700000002</v>
      </c>
      <c r="F11" s="1020">
        <f>+IF(E11=0,"",D11/E11-1)</f>
        <v>0.2148519990382356</v>
      </c>
      <c r="G11" s="410">
        <v>2665.2945000000009</v>
      </c>
      <c r="H11" s="309">
        <v>2286.1302900000001</v>
      </c>
      <c r="I11" s="1020">
        <f>+IF(H11=0,"",G11/H11-1)</f>
        <v>0.16585415610761212</v>
      </c>
      <c r="J11" s="410">
        <v>2874.8092700000002</v>
      </c>
      <c r="K11" s="1020">
        <f t="shared" si="1"/>
        <v>-0.20477149080571877</v>
      </c>
      <c r="L11" s="18"/>
    </row>
    <row r="12" spans="1:12" ht="12.75" customHeight="1">
      <c r="A12" s="183" t="s">
        <v>39</v>
      </c>
      <c r="B12" s="412">
        <v>332.46701999999999</v>
      </c>
      <c r="C12" s="310">
        <v>245.76401999999999</v>
      </c>
      <c r="D12" s="413">
        <v>247.10244</v>
      </c>
      <c r="E12" s="412">
        <v>130.29901999999998</v>
      </c>
      <c r="F12" s="1021">
        <f>+IF(E12=0,"",D12/E12-1)</f>
        <v>0.89642592860637049</v>
      </c>
      <c r="G12" s="412">
        <v>247.10244</v>
      </c>
      <c r="H12" s="310">
        <v>91.209550000000007</v>
      </c>
      <c r="I12" s="1021">
        <f>+IF(H12=0,"",G12/H12-1)</f>
        <v>1.7091728881460329</v>
      </c>
      <c r="J12" s="412">
        <v>117.6927</v>
      </c>
      <c r="K12" s="1021">
        <f t="shared" si="1"/>
        <v>-0.2250194786932409</v>
      </c>
      <c r="L12" s="17"/>
    </row>
    <row r="13" spans="1:12" ht="12.75" customHeight="1">
      <c r="A13" s="184" t="s">
        <v>30</v>
      </c>
      <c r="B13" s="414">
        <v>0</v>
      </c>
      <c r="C13" s="415">
        <v>0</v>
      </c>
      <c r="D13" s="416">
        <v>0</v>
      </c>
      <c r="E13" s="414">
        <v>0</v>
      </c>
      <c r="F13" s="1022" t="str">
        <f>+IF(E13=0,"",D13/E13-1)</f>
        <v/>
      </c>
      <c r="G13" s="414">
        <v>0</v>
      </c>
      <c r="H13" s="415">
        <v>0</v>
      </c>
      <c r="I13" s="1022" t="str">
        <f>+IF(H13=0,"",G13/H13-1)</f>
        <v/>
      </c>
      <c r="J13" s="414">
        <v>0</v>
      </c>
      <c r="K13" s="1022" t="str">
        <f t="shared" si="1"/>
        <v/>
      </c>
      <c r="L13" s="19"/>
    </row>
    <row r="14" spans="1:12" ht="12.75" customHeight="1">
      <c r="A14" s="185" t="s">
        <v>44</v>
      </c>
      <c r="B14" s="417">
        <v>6657.6237299999993</v>
      </c>
      <c r="C14" s="418">
        <v>6785.7919300000003</v>
      </c>
      <c r="D14" s="419">
        <v>6884.5913399999999</v>
      </c>
      <c r="E14" s="417">
        <v>6462.4025999999994</v>
      </c>
      <c r="F14" s="1023">
        <f>+IF(E14=0,"",D14/E14-1)</f>
        <v>6.5329996617666808E-2</v>
      </c>
      <c r="G14" s="417">
        <v>6884.5913399999999</v>
      </c>
      <c r="H14" s="418">
        <v>6559.0633399999979</v>
      </c>
      <c r="I14" s="1023">
        <f>+IF(H14=0,"",G14/H14-1)</f>
        <v>4.9630257115340193E-2</v>
      </c>
      <c r="J14" s="417">
        <f>+SUM(J10:J13)</f>
        <v>6492.4099800000004</v>
      </c>
      <c r="K14" s="1023">
        <f t="shared" si="1"/>
        <v>1.026635104765794E-2</v>
      </c>
      <c r="L14" s="18"/>
    </row>
    <row r="15" spans="1:12" ht="6.75" customHeight="1">
      <c r="A15" s="313"/>
      <c r="B15" s="313"/>
      <c r="C15" s="313"/>
      <c r="D15" s="313"/>
      <c r="E15" s="313"/>
      <c r="F15" s="1024"/>
      <c r="G15" s="313"/>
      <c r="H15" s="313"/>
      <c r="I15" s="1024"/>
      <c r="J15" s="313"/>
      <c r="K15" s="1024"/>
      <c r="L15" s="18"/>
    </row>
    <row r="16" spans="1:12" ht="12.75" customHeight="1">
      <c r="A16" s="334" t="s">
        <v>40</v>
      </c>
      <c r="B16" s="335">
        <v>0</v>
      </c>
      <c r="C16" s="336">
        <v>0</v>
      </c>
      <c r="D16" s="337">
        <v>0</v>
      </c>
      <c r="E16" s="335">
        <v>0</v>
      </c>
      <c r="F16" s="1025" t="str">
        <f>+IF(E16=0,"",D16/E16-1)</f>
        <v/>
      </c>
      <c r="G16" s="335">
        <v>0</v>
      </c>
      <c r="H16" s="336">
        <v>36.515999999999998</v>
      </c>
      <c r="I16" s="1025">
        <f>+IF(H16=0,"",G16/H16-1)</f>
        <v>-1</v>
      </c>
      <c r="J16" s="335">
        <v>0</v>
      </c>
      <c r="K16" s="1025" t="str">
        <f t="shared" si="1"/>
        <v/>
      </c>
      <c r="L16" s="20"/>
    </row>
    <row r="17" spans="1:12" ht="12.75" customHeight="1">
      <c r="A17" s="338" t="s">
        <v>41</v>
      </c>
      <c r="B17" s="311">
        <v>0</v>
      </c>
      <c r="C17" s="293">
        <v>0</v>
      </c>
      <c r="D17" s="312">
        <v>0</v>
      </c>
      <c r="E17" s="311">
        <v>0</v>
      </c>
      <c r="F17" s="580" t="str">
        <f>+IF(E17=0,"",D17/E17-1)</f>
        <v/>
      </c>
      <c r="G17" s="311">
        <v>0</v>
      </c>
      <c r="H17" s="293">
        <v>0</v>
      </c>
      <c r="I17" s="580" t="str">
        <f>+IF(H17=0,"",G17/H17-1)</f>
        <v/>
      </c>
      <c r="J17" s="311">
        <v>0</v>
      </c>
      <c r="K17" s="580" t="str">
        <f t="shared" si="1"/>
        <v/>
      </c>
      <c r="L17" s="20"/>
    </row>
    <row r="18" spans="1:12" ht="24" customHeight="1">
      <c r="A18" s="339" t="s">
        <v>42</v>
      </c>
      <c r="B18" s="340">
        <f>+B17-B16</f>
        <v>0</v>
      </c>
      <c r="C18" s="341">
        <f>+C17-C16</f>
        <v>0</v>
      </c>
      <c r="D18" s="342">
        <f>+D17-D16</f>
        <v>0</v>
      </c>
      <c r="E18" s="340">
        <f>+E17-E16</f>
        <v>0</v>
      </c>
      <c r="F18" s="1026"/>
      <c r="G18" s="340">
        <f>+G17-G16</f>
        <v>0</v>
      </c>
      <c r="H18" s="341">
        <f>+H17-H16</f>
        <v>-36.515999999999998</v>
      </c>
      <c r="I18" s="1026">
        <f>+IF(H18=0,"",G18/H18-1)</f>
        <v>-1</v>
      </c>
      <c r="J18" s="340">
        <f>+J17-J16</f>
        <v>0</v>
      </c>
      <c r="K18" s="1026" t="str">
        <f t="shared" si="1"/>
        <v/>
      </c>
      <c r="L18" s="20"/>
    </row>
    <row r="19" spans="1:12" ht="6" customHeight="1">
      <c r="A19" s="29"/>
      <c r="B19" s="29"/>
      <c r="C19" s="29"/>
      <c r="D19" s="29"/>
      <c r="E19" s="29"/>
      <c r="F19" s="1027"/>
      <c r="G19" s="29"/>
      <c r="H19" s="29"/>
      <c r="I19" s="1027"/>
      <c r="J19" s="29"/>
      <c r="K19" s="1027"/>
      <c r="L19" s="20"/>
    </row>
    <row r="20" spans="1:12" ht="24" customHeight="1">
      <c r="A20" s="343" t="s">
        <v>276</v>
      </c>
      <c r="B20" s="420">
        <f t="shared" ref="B20:E20" si="2">+B14-B18</f>
        <v>6657.6237299999993</v>
      </c>
      <c r="C20" s="421">
        <f t="shared" si="2"/>
        <v>6785.7919300000003</v>
      </c>
      <c r="D20" s="422">
        <f t="shared" si="2"/>
        <v>6884.5913399999999</v>
      </c>
      <c r="E20" s="420">
        <f t="shared" si="2"/>
        <v>6462.4025999999994</v>
      </c>
      <c r="F20" s="576">
        <f>+IF(E20=0,"",D20/E20-1)</f>
        <v>6.5329996617666808E-2</v>
      </c>
      <c r="G20" s="420">
        <f>+G14-G18</f>
        <v>6884.5913399999999</v>
      </c>
      <c r="H20" s="420">
        <f>+H14-H18</f>
        <v>6595.5793399999975</v>
      </c>
      <c r="I20" s="576">
        <f>+IF(H20=0,"",G20/H20-1)</f>
        <v>4.3819046834482123E-2</v>
      </c>
      <c r="J20" s="420">
        <f>+J14-J18</f>
        <v>6492.4099800000004</v>
      </c>
      <c r="K20" s="576">
        <f>+IF(J20=0,"",H20/J20-1)</f>
        <v>1.5890764803487833E-2</v>
      </c>
      <c r="L20" s="20"/>
    </row>
    <row r="21" spans="1:12" ht="11.25" customHeight="1">
      <c r="A21" s="330" t="s">
        <v>501</v>
      </c>
      <c r="B21" s="159"/>
      <c r="C21" s="159"/>
      <c r="D21" s="159"/>
      <c r="E21" s="159"/>
      <c r="F21" s="159"/>
      <c r="G21" s="159"/>
      <c r="H21" s="159"/>
      <c r="I21" s="159"/>
      <c r="J21" s="159"/>
      <c r="K21" s="159"/>
      <c r="L21" s="22"/>
    </row>
    <row r="22" spans="1:12" ht="17.25" customHeight="1">
      <c r="A22" s="951" t="s">
        <v>494</v>
      </c>
      <c r="B22" s="951"/>
      <c r="C22" s="951"/>
      <c r="D22" s="951"/>
      <c r="E22" s="951"/>
      <c r="F22" s="951"/>
      <c r="G22" s="951"/>
      <c r="H22" s="951"/>
      <c r="I22" s="951"/>
      <c r="J22" s="951"/>
      <c r="K22" s="951"/>
      <c r="L22" s="20"/>
    </row>
    <row r="23" spans="1:12" ht="11.25" customHeight="1">
      <c r="A23" s="176"/>
      <c r="B23" s="176"/>
      <c r="C23" s="176"/>
      <c r="D23" s="176"/>
      <c r="E23" s="176"/>
      <c r="F23" s="176"/>
      <c r="G23" s="176"/>
      <c r="H23" s="176"/>
      <c r="I23" s="176"/>
      <c r="J23" s="176"/>
      <c r="K23" s="176"/>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77"/>
      <c r="B52" s="177"/>
      <c r="C52" s="177"/>
      <c r="D52" s="177"/>
      <c r="E52" s="177"/>
      <c r="F52" s="177"/>
      <c r="G52" s="177"/>
      <c r="H52" s="177"/>
      <c r="I52" s="177"/>
      <c r="J52" s="177"/>
      <c r="K52" s="177"/>
      <c r="L52" s="20"/>
    </row>
    <row r="53" spans="1:12" ht="11.25" customHeight="1">
      <c r="L53" s="15"/>
    </row>
    <row r="54" spans="1:12" ht="11.25" customHeight="1">
      <c r="A54" s="178"/>
      <c r="B54" s="159"/>
      <c r="C54" s="159"/>
      <c r="D54" s="159"/>
      <c r="E54" s="159"/>
      <c r="F54" s="159"/>
      <c r="G54" s="159"/>
      <c r="H54" s="159"/>
      <c r="I54" s="159"/>
      <c r="J54" s="159"/>
      <c r="K54" s="159"/>
      <c r="L54" s="14"/>
    </row>
    <row r="55" spans="1:12" ht="11.25" customHeight="1">
      <c r="A55" s="178"/>
      <c r="B55" s="179"/>
      <c r="C55" s="179"/>
      <c r="D55" s="179"/>
      <c r="E55" s="179"/>
      <c r="F55" s="179"/>
      <c r="G55" s="159"/>
      <c r="H55" s="159"/>
      <c r="I55" s="159"/>
      <c r="J55" s="159"/>
      <c r="K55" s="159"/>
      <c r="L55" s="14"/>
    </row>
    <row r="56" spans="1:12" ht="11.25" customHeight="1">
      <c r="A56" s="172"/>
      <c r="B56" s="180"/>
      <c r="C56" s="180"/>
      <c r="D56" s="181"/>
      <c r="E56" s="181"/>
      <c r="F56" s="181"/>
      <c r="G56" s="159"/>
      <c r="H56" s="159"/>
      <c r="I56" s="159"/>
      <c r="J56" s="159"/>
      <c r="K56" s="159"/>
      <c r="L56" s="14"/>
    </row>
    <row r="57" spans="1:12" ht="11.25" customHeight="1">
      <c r="L57" s="14"/>
    </row>
    <row r="58" spans="1:12" ht="12">
      <c r="A58" s="952" t="str">
        <f>"Gráfico N° 11: Comparación de la máxima potencia coincidente de potencia (MW) por tipo de generación en el SEIN en "&amp;'1. Resumen'!Q4</f>
        <v>Gráfico N° 11: Comparación de la máxima potencia coincidente de potencia (MW) por tipo de generación en el SEIN en diciembre</v>
      </c>
      <c r="B58" s="952"/>
      <c r="C58" s="952"/>
      <c r="D58" s="952"/>
      <c r="E58" s="952"/>
      <c r="F58" s="952"/>
      <c r="G58" s="952"/>
      <c r="H58" s="952"/>
      <c r="I58" s="952"/>
      <c r="J58" s="952"/>
      <c r="K58" s="952"/>
      <c r="L58" s="14"/>
    </row>
    <row r="59" spans="1:12" ht="12">
      <c r="A59" s="172"/>
      <c r="B59" s="180"/>
      <c r="C59" s="180"/>
      <c r="D59" s="181"/>
      <c r="E59" s="181"/>
      <c r="F59" s="181"/>
      <c r="G59" s="159"/>
      <c r="H59" s="159"/>
      <c r="I59" s="159"/>
      <c r="J59" s="159"/>
      <c r="K59" s="159"/>
      <c r="L59" s="14"/>
    </row>
    <row r="60" spans="1:12" ht="12">
      <c r="A60" s="172"/>
      <c r="B60" s="180"/>
      <c r="C60" s="180"/>
      <c r="D60" s="181"/>
      <c r="E60" s="181"/>
      <c r="F60" s="181"/>
      <c r="G60" s="159"/>
      <c r="H60" s="159"/>
      <c r="I60" s="159"/>
      <c r="J60" s="159"/>
      <c r="K60" s="159"/>
      <c r="L60" s="14"/>
    </row>
    <row r="61" spans="1:12" ht="12.75">
      <c r="A61" s="23"/>
      <c r="B61" s="174"/>
      <c r="C61" s="174"/>
      <c r="D61" s="175"/>
      <c r="E61" s="175"/>
      <c r="F61" s="175"/>
      <c r="G61" s="91"/>
      <c r="H61" s="91"/>
      <c r="I61" s="91"/>
      <c r="J61" s="91"/>
      <c r="K61" s="91"/>
      <c r="L61" s="14"/>
    </row>
    <row r="62" spans="1:12" ht="12.75">
      <c r="A62" s="23"/>
      <c r="B62" s="174"/>
      <c r="C62" s="174"/>
      <c r="D62" s="175"/>
      <c r="E62" s="175"/>
      <c r="F62" s="175"/>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Diciembre 2018
INFSGI-MES-12-2018
15/01/2019
Versión: 01</oddHeader>
    <oddFooter>&amp;L&amp;7COES, 2018&amp;C8&amp;R&amp;7Dirección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4"/>
  <sheetViews>
    <sheetView showGridLines="0" view="pageBreakPreview" zoomScale="145" zoomScaleNormal="100" zoomScaleSheetLayoutView="145" zoomScalePageLayoutView="145" workbookViewId="0">
      <selection activeCell="D4" sqref="D4"/>
    </sheetView>
  </sheetViews>
  <sheetFormatPr defaultColWidth="9.33203125"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609" customWidth="1"/>
    <col min="13" max="16384" width="9.33203125" style="3"/>
  </cols>
  <sheetData>
    <row r="1" spans="1:15" ht="11.25" customHeight="1">
      <c r="A1" s="959" t="s">
        <v>281</v>
      </c>
      <c r="B1" s="959"/>
      <c r="C1" s="959"/>
      <c r="D1" s="959"/>
      <c r="E1" s="959"/>
      <c r="F1" s="959"/>
      <c r="G1" s="959"/>
      <c r="H1" s="959"/>
      <c r="I1" s="959"/>
      <c r="J1" s="959"/>
    </row>
    <row r="2" spans="1:15" ht="7.5" customHeight="1">
      <c r="A2" s="92"/>
      <c r="B2" s="91"/>
      <c r="C2" s="91"/>
      <c r="D2" s="91"/>
      <c r="E2" s="91"/>
      <c r="F2" s="91"/>
      <c r="G2" s="91"/>
      <c r="H2" s="91"/>
      <c r="I2" s="91"/>
      <c r="J2" s="91"/>
      <c r="K2" s="45"/>
      <c r="L2" s="1028"/>
    </row>
    <row r="3" spans="1:15" ht="11.25" customHeight="1">
      <c r="A3" s="960" t="s">
        <v>129</v>
      </c>
      <c r="B3" s="962" t="str">
        <f>+'1. Resumen'!Q4</f>
        <v>diciembre</v>
      </c>
      <c r="C3" s="963"/>
      <c r="D3" s="964"/>
      <c r="E3" s="159"/>
      <c r="F3" s="159"/>
      <c r="G3" s="965" t="s">
        <v>280</v>
      </c>
      <c r="H3" s="965"/>
      <c r="I3" s="965"/>
      <c r="J3" s="159"/>
      <c r="K3" s="170"/>
      <c r="L3" s="1028"/>
    </row>
    <row r="4" spans="1:15" ht="11.25" customHeight="1">
      <c r="A4" s="960"/>
      <c r="B4" s="737">
        <v>2018</v>
      </c>
      <c r="C4" s="738">
        <v>2017</v>
      </c>
      <c r="D4" s="966" t="s">
        <v>35</v>
      </c>
      <c r="E4" s="159"/>
      <c r="F4" s="159"/>
      <c r="G4" s="159"/>
      <c r="H4" s="159"/>
      <c r="I4" s="159"/>
      <c r="J4" s="159"/>
      <c r="K4" s="31"/>
      <c r="L4" s="1029"/>
    </row>
    <row r="5" spans="1:15" ht="11.25" customHeight="1">
      <c r="A5" s="960"/>
      <c r="B5" s="739">
        <f>+'8. Max Potencia'!D8</f>
        <v>43451.822916666664</v>
      </c>
      <c r="C5" s="739">
        <f>+'8. Max Potencia'!E8</f>
        <v>43087.822916666664</v>
      </c>
      <c r="D5" s="966"/>
      <c r="E5" s="159"/>
      <c r="F5" s="159"/>
      <c r="G5" s="159"/>
      <c r="H5" s="159"/>
      <c r="I5" s="159"/>
      <c r="J5" s="159"/>
      <c r="K5" s="31"/>
      <c r="L5" s="814"/>
    </row>
    <row r="6" spans="1:15" ht="11.25" customHeight="1" thickBot="1">
      <c r="A6" s="961"/>
      <c r="B6" s="740">
        <f>+'8. Max Potencia'!D9</f>
        <v>43451.822916666664</v>
      </c>
      <c r="C6" s="740">
        <f>+'8. Max Potencia'!E9</f>
        <v>43087.822916666664</v>
      </c>
      <c r="D6" s="967"/>
      <c r="E6" s="159"/>
      <c r="F6" s="159"/>
      <c r="G6" s="159"/>
      <c r="H6" s="159"/>
      <c r="I6" s="159"/>
      <c r="J6" s="159"/>
      <c r="K6" s="32"/>
      <c r="L6" s="813" t="s">
        <v>279</v>
      </c>
      <c r="M6" s="3">
        <v>2018</v>
      </c>
      <c r="N6" s="3">
        <v>2017</v>
      </c>
    </row>
    <row r="7" spans="1:15" ht="9.75" customHeight="1">
      <c r="A7" s="527" t="s">
        <v>91</v>
      </c>
      <c r="B7" s="528">
        <v>1017.5046399999998</v>
      </c>
      <c r="C7" s="528">
        <v>798.48780999999997</v>
      </c>
      <c r="D7" s="529">
        <f>IF(C7=0,"",B7/C7-1)</f>
        <v>0.27428950981731304</v>
      </c>
      <c r="E7" s="159"/>
      <c r="F7" s="159"/>
      <c r="G7" s="159"/>
      <c r="H7" s="159"/>
      <c r="I7" s="159"/>
      <c r="J7" s="159"/>
      <c r="K7" s="30"/>
      <c r="L7" s="1030" t="s">
        <v>127</v>
      </c>
      <c r="N7" s="3">
        <v>0</v>
      </c>
      <c r="O7" s="345"/>
    </row>
    <row r="8" spans="1:15" ht="9.75" customHeight="1">
      <c r="A8" s="530" t="s">
        <v>93</v>
      </c>
      <c r="B8" s="531">
        <v>837.01967999999999</v>
      </c>
      <c r="C8" s="531">
        <v>850.53264000000001</v>
      </c>
      <c r="D8" s="532">
        <f t="shared" ref="D8:D63" si="0">IF(C8=0,"",B8/C8-1)</f>
        <v>-1.5887644241378007E-2</v>
      </c>
      <c r="E8" s="159"/>
      <c r="F8" s="159"/>
      <c r="G8" s="159"/>
      <c r="H8" s="159"/>
      <c r="I8" s="159"/>
      <c r="J8" s="159"/>
      <c r="K8" s="33"/>
      <c r="L8" s="1030" t="s">
        <v>549</v>
      </c>
      <c r="N8" s="3">
        <v>0</v>
      </c>
      <c r="O8" s="345"/>
    </row>
    <row r="9" spans="1:15" ht="9.75" customHeight="1">
      <c r="A9" s="533" t="s">
        <v>92</v>
      </c>
      <c r="B9" s="534">
        <v>785.28833000000009</v>
      </c>
      <c r="C9" s="534">
        <v>1019.05563</v>
      </c>
      <c r="D9" s="535">
        <f t="shared" si="0"/>
        <v>-0.2293960144256304</v>
      </c>
      <c r="E9" s="579"/>
      <c r="F9" s="159"/>
      <c r="G9" s="159"/>
      <c r="H9" s="159"/>
      <c r="I9" s="159"/>
      <c r="J9" s="159"/>
      <c r="K9" s="32"/>
      <c r="L9" s="1030" t="s">
        <v>714</v>
      </c>
      <c r="M9" s="3">
        <v>0</v>
      </c>
      <c r="O9" s="345"/>
    </row>
    <row r="10" spans="1:15" ht="9.75" customHeight="1">
      <c r="A10" s="530" t="s">
        <v>760</v>
      </c>
      <c r="B10" s="531">
        <v>751.21424999999999</v>
      </c>
      <c r="C10" s="531">
        <v>407.82664</v>
      </c>
      <c r="D10" s="532">
        <f t="shared" si="0"/>
        <v>0.8419940639483483</v>
      </c>
      <c r="E10" s="159"/>
      <c r="F10" s="159"/>
      <c r="G10" s="159"/>
      <c r="H10" s="159"/>
      <c r="I10" s="159"/>
      <c r="J10" s="159"/>
      <c r="K10" s="32"/>
      <c r="L10" s="1031" t="s">
        <v>109</v>
      </c>
      <c r="M10" s="346">
        <v>0</v>
      </c>
      <c r="N10" s="346">
        <v>0</v>
      </c>
      <c r="O10" s="345"/>
    </row>
    <row r="11" spans="1:15" ht="9.75" customHeight="1">
      <c r="A11" s="533" t="s">
        <v>266</v>
      </c>
      <c r="B11" s="534">
        <v>541.04791</v>
      </c>
      <c r="C11" s="534">
        <v>548.05982000000006</v>
      </c>
      <c r="D11" s="535">
        <f t="shared" si="0"/>
        <v>-1.2794059597363017E-2</v>
      </c>
      <c r="E11" s="159"/>
      <c r="F11" s="159"/>
      <c r="G11" s="159"/>
      <c r="H11" s="159"/>
      <c r="I11" s="159"/>
      <c r="J11" s="159"/>
      <c r="K11" s="32"/>
      <c r="L11" s="1032" t="s">
        <v>113</v>
      </c>
      <c r="M11" s="346">
        <v>0</v>
      </c>
      <c r="N11" s="346">
        <v>0</v>
      </c>
      <c r="O11" s="345"/>
    </row>
    <row r="12" spans="1:15" ht="9.75" customHeight="1">
      <c r="A12" s="530" t="s">
        <v>263</v>
      </c>
      <c r="B12" s="531">
        <v>360.29655000000002</v>
      </c>
      <c r="C12" s="531">
        <v>463.91374000000002</v>
      </c>
      <c r="D12" s="532">
        <f t="shared" si="0"/>
        <v>-0.22335443222699114</v>
      </c>
      <c r="E12" s="159"/>
      <c r="F12" s="159"/>
      <c r="G12" s="159"/>
      <c r="H12" s="159"/>
      <c r="I12" s="159"/>
      <c r="J12" s="159"/>
      <c r="K12" s="30"/>
      <c r="L12" s="1030" t="s">
        <v>271</v>
      </c>
      <c r="M12" s="332">
        <v>0</v>
      </c>
      <c r="N12" s="3">
        <v>0</v>
      </c>
      <c r="O12" s="345"/>
    </row>
    <row r="13" spans="1:15" ht="9.75" customHeight="1">
      <c r="A13" s="533" t="s">
        <v>94</v>
      </c>
      <c r="B13" s="534">
        <v>339.57974999999999</v>
      </c>
      <c r="C13" s="534">
        <v>333.1426800000001</v>
      </c>
      <c r="D13" s="535">
        <f t="shared" si="0"/>
        <v>1.9322261560722032E-2</v>
      </c>
      <c r="E13" s="159"/>
      <c r="F13" s="159"/>
      <c r="G13" s="159"/>
      <c r="H13" s="159"/>
      <c r="I13" s="159"/>
      <c r="J13" s="159"/>
      <c r="K13" s="33"/>
      <c r="L13" s="1032" t="s">
        <v>270</v>
      </c>
      <c r="M13" s="346">
        <v>0</v>
      </c>
      <c r="N13" s="346">
        <v>0</v>
      </c>
      <c r="O13" s="345"/>
    </row>
    <row r="14" spans="1:15" ht="9.75" customHeight="1">
      <c r="A14" s="530" t="s">
        <v>268</v>
      </c>
      <c r="B14" s="531">
        <v>339.10036000000002</v>
      </c>
      <c r="C14" s="531">
        <v>356.61589000000004</v>
      </c>
      <c r="D14" s="532">
        <f t="shared" si="0"/>
        <v>-4.9115954984507271E-2</v>
      </c>
      <c r="E14" s="159"/>
      <c r="F14" s="159"/>
      <c r="G14" s="159"/>
      <c r="H14" s="159"/>
      <c r="I14" s="159"/>
      <c r="J14" s="159"/>
      <c r="K14" s="33"/>
      <c r="L14" s="1032" t="s">
        <v>111</v>
      </c>
      <c r="M14" s="346">
        <v>0</v>
      </c>
      <c r="N14" s="346">
        <v>0</v>
      </c>
      <c r="O14" s="345"/>
    </row>
    <row r="15" spans="1:15" ht="9.75" customHeight="1">
      <c r="A15" s="533" t="s">
        <v>104</v>
      </c>
      <c r="B15" s="534">
        <v>291.77163999999999</v>
      </c>
      <c r="C15" s="534">
        <v>184.45033000000001</v>
      </c>
      <c r="D15" s="535">
        <f t="shared" si="0"/>
        <v>0.58184395766600128</v>
      </c>
      <c r="E15" s="159"/>
      <c r="F15" s="159"/>
      <c r="G15" s="159"/>
      <c r="H15" s="159"/>
      <c r="I15" s="159"/>
      <c r="J15" s="159"/>
      <c r="K15" s="33"/>
      <c r="L15" s="1032" t="s">
        <v>114</v>
      </c>
      <c r="M15" s="346">
        <v>0</v>
      </c>
      <c r="N15" s="346">
        <v>0</v>
      </c>
      <c r="O15" s="345"/>
    </row>
    <row r="16" spans="1:15" ht="9.75" customHeight="1">
      <c r="A16" s="530" t="s">
        <v>97</v>
      </c>
      <c r="B16" s="531">
        <v>182.12267</v>
      </c>
      <c r="C16" s="531">
        <v>142.58607000000001</v>
      </c>
      <c r="D16" s="532">
        <f t="shared" si="0"/>
        <v>0.27728234602440471</v>
      </c>
      <c r="E16" s="159"/>
      <c r="F16" s="159"/>
      <c r="G16" s="159"/>
      <c r="H16" s="159"/>
      <c r="I16" s="159"/>
      <c r="J16" s="159"/>
      <c r="K16" s="33"/>
      <c r="L16" s="1031" t="s">
        <v>122</v>
      </c>
      <c r="M16" s="346">
        <v>0</v>
      </c>
      <c r="N16" s="346">
        <v>0</v>
      </c>
      <c r="O16" s="345"/>
    </row>
    <row r="17" spans="1:15" ht="9.75" customHeight="1">
      <c r="A17" s="533" t="s">
        <v>95</v>
      </c>
      <c r="B17" s="534">
        <v>167.72149000000002</v>
      </c>
      <c r="C17" s="534">
        <v>228.60289</v>
      </c>
      <c r="D17" s="535">
        <f t="shared" si="0"/>
        <v>-0.26631946778975535</v>
      </c>
      <c r="E17" s="159"/>
      <c r="F17" s="159"/>
      <c r="G17" s="159"/>
      <c r="H17" s="159"/>
      <c r="I17" s="159"/>
      <c r="J17" s="159"/>
      <c r="K17" s="33"/>
      <c r="L17" s="1030" t="s">
        <v>116</v>
      </c>
      <c r="M17" s="3">
        <v>0</v>
      </c>
      <c r="N17" s="3">
        <v>0</v>
      </c>
      <c r="O17" s="345"/>
    </row>
    <row r="18" spans="1:15" ht="9.75" customHeight="1">
      <c r="A18" s="530" t="s">
        <v>96</v>
      </c>
      <c r="B18" s="531">
        <v>166.62601000000001</v>
      </c>
      <c r="C18" s="531">
        <v>167.16457</v>
      </c>
      <c r="D18" s="532">
        <f t="shared" si="0"/>
        <v>-3.2217353234599289E-3</v>
      </c>
      <c r="E18" s="159"/>
      <c r="F18" s="159"/>
      <c r="G18" s="159"/>
      <c r="H18" s="159"/>
      <c r="I18" s="159"/>
      <c r="J18" s="159"/>
      <c r="K18" s="33"/>
      <c r="L18" s="1031" t="s">
        <v>115</v>
      </c>
      <c r="M18" s="346">
        <v>0</v>
      </c>
      <c r="N18" s="346">
        <v>0</v>
      </c>
      <c r="O18" s="345"/>
    </row>
    <row r="19" spans="1:15" ht="9.75" customHeight="1">
      <c r="A19" s="533" t="s">
        <v>98</v>
      </c>
      <c r="B19" s="534">
        <v>134.03176999999999</v>
      </c>
      <c r="C19" s="534">
        <v>215.91407000000001</v>
      </c>
      <c r="D19" s="535">
        <f t="shared" si="0"/>
        <v>-0.37923559127017525</v>
      </c>
      <c r="E19" s="159"/>
      <c r="F19" s="159"/>
      <c r="G19" s="159"/>
      <c r="H19" s="159"/>
      <c r="I19" s="159"/>
      <c r="J19" s="159"/>
      <c r="K19" s="33"/>
      <c r="L19" s="1033" t="s">
        <v>262</v>
      </c>
      <c r="M19" s="346">
        <v>0</v>
      </c>
      <c r="N19" s="346">
        <v>0</v>
      </c>
      <c r="O19" s="345"/>
    </row>
    <row r="20" spans="1:15" ht="9.75" customHeight="1">
      <c r="A20" s="530" t="s">
        <v>99</v>
      </c>
      <c r="B20" s="531">
        <v>110.10356</v>
      </c>
      <c r="C20" s="531">
        <v>110.82124999999999</v>
      </c>
      <c r="D20" s="532">
        <f t="shared" si="0"/>
        <v>-6.4761045377126347E-3</v>
      </c>
      <c r="E20" s="159"/>
      <c r="F20" s="159"/>
      <c r="G20" s="159"/>
      <c r="H20" s="159"/>
      <c r="I20" s="159"/>
      <c r="J20" s="159"/>
      <c r="K20" s="38"/>
      <c r="L20" s="1031" t="s">
        <v>566</v>
      </c>
      <c r="M20" s="346">
        <v>0.90700000000000003</v>
      </c>
      <c r="N20" s="346"/>
      <c r="O20" s="345"/>
    </row>
    <row r="21" spans="1:15" ht="9.75" customHeight="1">
      <c r="A21" s="533" t="s">
        <v>765</v>
      </c>
      <c r="B21" s="534">
        <v>90.325099999999992</v>
      </c>
      <c r="C21" s="534">
        <v>90.423689999999993</v>
      </c>
      <c r="D21" s="535">
        <f t="shared" si="0"/>
        <v>-1.0903116207711117E-3</v>
      </c>
      <c r="E21" s="159"/>
      <c r="F21" s="159"/>
      <c r="G21" s="159"/>
      <c r="H21" s="159"/>
      <c r="I21" s="159"/>
      <c r="J21" s="159"/>
      <c r="K21" s="33"/>
      <c r="L21" s="1030" t="s">
        <v>123</v>
      </c>
      <c r="M21" s="3">
        <v>0.94188000000000005</v>
      </c>
      <c r="N21" s="3">
        <v>0.74956</v>
      </c>
      <c r="O21" s="345"/>
    </row>
    <row r="22" spans="1:15" ht="9.75" customHeight="1">
      <c r="A22" s="530" t="s">
        <v>100</v>
      </c>
      <c r="B22" s="531">
        <v>88.366280000000003</v>
      </c>
      <c r="C22" s="531">
        <v>90.647369999999995</v>
      </c>
      <c r="D22" s="532">
        <f t="shared" si="0"/>
        <v>-2.5164436651609279E-2</v>
      </c>
      <c r="E22" s="159"/>
      <c r="F22" s="159"/>
      <c r="G22" s="159"/>
      <c r="H22" s="159"/>
      <c r="I22" s="159"/>
      <c r="J22" s="159"/>
      <c r="K22" s="33"/>
      <c r="L22" s="1030" t="s">
        <v>121</v>
      </c>
      <c r="M22" s="3">
        <v>1.5269999999999999</v>
      </c>
      <c r="N22" s="3">
        <v>3.1520000000000001</v>
      </c>
      <c r="O22" s="345"/>
    </row>
    <row r="23" spans="1:15" ht="9.75" customHeight="1">
      <c r="A23" s="533" t="s">
        <v>102</v>
      </c>
      <c r="B23" s="534">
        <v>84.311989999999994</v>
      </c>
      <c r="C23" s="534">
        <v>0</v>
      </c>
      <c r="D23" s="535" t="str">
        <f t="shared" si="0"/>
        <v/>
      </c>
      <c r="E23" s="159"/>
      <c r="F23" s="159"/>
      <c r="G23" s="159"/>
      <c r="H23" s="159"/>
      <c r="I23" s="159"/>
      <c r="J23" s="159"/>
      <c r="K23" s="33"/>
      <c r="L23" s="1031" t="s">
        <v>117</v>
      </c>
      <c r="M23" s="346">
        <v>2.3944800000000002</v>
      </c>
      <c r="N23" s="346">
        <v>2.8185899999999999</v>
      </c>
      <c r="O23" s="345"/>
    </row>
    <row r="24" spans="1:15" ht="9.75" customHeight="1">
      <c r="A24" s="530" t="s">
        <v>264</v>
      </c>
      <c r="B24" s="531">
        <v>81.192689999999999</v>
      </c>
      <c r="C24" s="531">
        <v>95.914209999999997</v>
      </c>
      <c r="D24" s="532">
        <f t="shared" si="0"/>
        <v>-0.15348632908512716</v>
      </c>
      <c r="E24" s="159"/>
      <c r="F24" s="159"/>
      <c r="G24" s="159"/>
      <c r="H24" s="159"/>
      <c r="I24" s="159"/>
      <c r="J24" s="159"/>
      <c r="K24" s="38"/>
      <c r="L24" s="1031" t="s">
        <v>120</v>
      </c>
      <c r="M24" s="346">
        <v>2.4</v>
      </c>
      <c r="N24" s="346">
        <v>3.6</v>
      </c>
      <c r="O24" s="345"/>
    </row>
    <row r="25" spans="1:15" ht="9.75" customHeight="1">
      <c r="A25" s="533" t="s">
        <v>103</v>
      </c>
      <c r="B25" s="534">
        <v>80.15558</v>
      </c>
      <c r="C25" s="534">
        <v>33.914949999999997</v>
      </c>
      <c r="D25" s="535">
        <f t="shared" si="0"/>
        <v>1.3634291072226263</v>
      </c>
      <c r="E25" s="159"/>
      <c r="F25" s="159"/>
      <c r="G25" s="159"/>
      <c r="H25" s="159"/>
      <c r="I25" s="159"/>
      <c r="J25" s="159"/>
      <c r="K25" s="33"/>
      <c r="L25" s="1030" t="s">
        <v>119</v>
      </c>
      <c r="M25" s="332">
        <v>3.60182</v>
      </c>
      <c r="N25" s="3">
        <v>3.5885800000000003</v>
      </c>
      <c r="O25" s="345"/>
    </row>
    <row r="26" spans="1:15" ht="9.75" customHeight="1">
      <c r="A26" s="530" t="s">
        <v>101</v>
      </c>
      <c r="B26" s="531">
        <v>56.806190000000001</v>
      </c>
      <c r="C26" s="531">
        <v>86.014499999999998</v>
      </c>
      <c r="D26" s="532">
        <f t="shared" si="0"/>
        <v>-0.33957425782862194</v>
      </c>
      <c r="E26" s="159"/>
      <c r="F26" s="159"/>
      <c r="G26" s="159"/>
      <c r="H26" s="159"/>
      <c r="I26" s="159"/>
      <c r="J26" s="159"/>
      <c r="K26" s="33"/>
      <c r="L26" s="1031" t="s">
        <v>118</v>
      </c>
      <c r="M26" s="346">
        <v>4.9903599999999999</v>
      </c>
      <c r="N26" s="346">
        <v>4.1999999999999993</v>
      </c>
      <c r="O26" s="345"/>
    </row>
    <row r="27" spans="1:15" ht="9.75" customHeight="1">
      <c r="A27" s="533" t="s">
        <v>105</v>
      </c>
      <c r="B27" s="534">
        <v>46.206550000000007</v>
      </c>
      <c r="C27" s="534">
        <v>48.564819999999997</v>
      </c>
      <c r="D27" s="535">
        <f t="shared" si="0"/>
        <v>-4.8559224558023528E-2</v>
      </c>
      <c r="E27" s="159"/>
      <c r="F27" s="159"/>
      <c r="G27" s="159"/>
      <c r="H27" s="159"/>
      <c r="I27" s="159"/>
      <c r="J27" s="159"/>
      <c r="K27" s="33"/>
      <c r="L27" s="1031" t="s">
        <v>761</v>
      </c>
      <c r="M27" s="346">
        <v>6.8082000000000011</v>
      </c>
      <c r="N27" s="346">
        <v>4.3065999999999995</v>
      </c>
      <c r="O27" s="345"/>
    </row>
    <row r="28" spans="1:15" ht="9.75" customHeight="1">
      <c r="A28" s="530" t="s">
        <v>265</v>
      </c>
      <c r="B28" s="531">
        <v>37.160550000000001</v>
      </c>
      <c r="C28" s="531">
        <v>25.51116</v>
      </c>
      <c r="D28" s="532">
        <f t="shared" si="0"/>
        <v>0.45663897682426047</v>
      </c>
      <c r="E28" s="159"/>
      <c r="F28" s="159"/>
      <c r="G28" s="159"/>
      <c r="H28" s="159"/>
      <c r="I28" s="159"/>
      <c r="J28" s="159"/>
      <c r="K28" s="33"/>
      <c r="L28" s="1031" t="s">
        <v>108</v>
      </c>
      <c r="M28" s="346">
        <v>9.4473900000000004</v>
      </c>
      <c r="N28" s="346">
        <v>13.553619999999999</v>
      </c>
      <c r="O28" s="345"/>
    </row>
    <row r="29" spans="1:15" ht="9.75" customHeight="1">
      <c r="A29" s="536" t="s">
        <v>112</v>
      </c>
      <c r="B29" s="537">
        <v>34.778909999999996</v>
      </c>
      <c r="C29" s="537">
        <v>6.56175</v>
      </c>
      <c r="D29" s="538">
        <f t="shared" si="0"/>
        <v>4.3002491713338662</v>
      </c>
      <c r="E29" s="159"/>
      <c r="F29" s="159"/>
      <c r="G29" s="159"/>
      <c r="H29" s="159"/>
      <c r="I29" s="159"/>
      <c r="J29" s="159"/>
      <c r="K29" s="33"/>
      <c r="L29" s="1034" t="s">
        <v>110</v>
      </c>
      <c r="M29" s="346">
        <v>12.84328</v>
      </c>
      <c r="N29" s="346">
        <v>11.179410000000001</v>
      </c>
      <c r="O29" s="345"/>
    </row>
    <row r="30" spans="1:15" ht="9.75" customHeight="1">
      <c r="A30" s="539" t="s">
        <v>106</v>
      </c>
      <c r="B30" s="540">
        <v>27.943930000000002</v>
      </c>
      <c r="C30" s="540">
        <v>27.69003</v>
      </c>
      <c r="D30" s="541">
        <f t="shared" si="0"/>
        <v>9.1693652914064394E-3</v>
      </c>
      <c r="E30" s="159"/>
      <c r="F30" s="159"/>
      <c r="G30" s="159"/>
      <c r="H30" s="159"/>
      <c r="I30" s="159"/>
      <c r="J30" s="159"/>
      <c r="K30" s="33"/>
      <c r="L30" s="1032" t="s">
        <v>126</v>
      </c>
      <c r="M30" s="346">
        <v>13.55499</v>
      </c>
      <c r="N30" s="346">
        <v>0</v>
      </c>
      <c r="O30" s="345"/>
    </row>
    <row r="31" spans="1:15" ht="9.75" customHeight="1">
      <c r="A31" s="542" t="s">
        <v>269</v>
      </c>
      <c r="B31" s="543">
        <v>25.828679999999999</v>
      </c>
      <c r="C31" s="543">
        <v>10.36957</v>
      </c>
      <c r="D31" s="544">
        <f t="shared" si="0"/>
        <v>1.490814951825389</v>
      </c>
      <c r="E31" s="159"/>
      <c r="F31" s="159"/>
      <c r="G31" s="159"/>
      <c r="H31" s="159"/>
      <c r="I31" s="159"/>
      <c r="J31" s="159"/>
      <c r="K31" s="33"/>
      <c r="L31" s="1032" t="s">
        <v>125</v>
      </c>
      <c r="M31" s="346">
        <v>15.892329999999999</v>
      </c>
      <c r="N31" s="346">
        <v>0</v>
      </c>
      <c r="O31" s="345"/>
    </row>
    <row r="32" spans="1:15" ht="9.75" customHeight="1">
      <c r="A32" s="539" t="s">
        <v>124</v>
      </c>
      <c r="B32" s="540">
        <v>20.883690000000001</v>
      </c>
      <c r="C32" s="540">
        <v>0</v>
      </c>
      <c r="D32" s="541" t="str">
        <f t="shared" si="0"/>
        <v/>
      </c>
      <c r="E32" s="159"/>
      <c r="F32" s="159"/>
      <c r="G32" s="159"/>
      <c r="H32" s="159"/>
      <c r="I32" s="159"/>
      <c r="J32" s="159"/>
      <c r="K32" s="33"/>
      <c r="L32" s="1031" t="s">
        <v>272</v>
      </c>
      <c r="M32" s="346">
        <v>16.815079999999998</v>
      </c>
      <c r="N32" s="346">
        <v>18.442070000000001</v>
      </c>
      <c r="O32" s="345"/>
    </row>
    <row r="33" spans="1:15" ht="9.75" customHeight="1">
      <c r="A33" s="542" t="s">
        <v>596</v>
      </c>
      <c r="B33" s="543">
        <v>20.367170000000002</v>
      </c>
      <c r="C33" s="543"/>
      <c r="D33" s="544" t="str">
        <f t="shared" si="0"/>
        <v/>
      </c>
      <c r="E33" s="159"/>
      <c r="F33" s="159"/>
      <c r="G33" s="159"/>
      <c r="H33" s="159"/>
      <c r="I33" s="159"/>
      <c r="J33" s="159"/>
      <c r="K33" s="33"/>
      <c r="L33" s="1032" t="s">
        <v>107</v>
      </c>
      <c r="M33" s="346">
        <v>17.88</v>
      </c>
      <c r="N33" s="346">
        <v>17.423999999999999</v>
      </c>
      <c r="O33" s="345"/>
    </row>
    <row r="34" spans="1:15" ht="9.75" customHeight="1">
      <c r="A34" s="539" t="s">
        <v>497</v>
      </c>
      <c r="B34" s="540">
        <v>19.850020000000001</v>
      </c>
      <c r="C34" s="540"/>
      <c r="D34" s="541" t="str">
        <f t="shared" si="0"/>
        <v/>
      </c>
      <c r="E34" s="159"/>
      <c r="F34" s="159"/>
      <c r="G34" s="159"/>
      <c r="H34" s="159"/>
      <c r="I34" s="159"/>
      <c r="J34" s="159"/>
      <c r="K34" s="33"/>
      <c r="L34" s="1031" t="s">
        <v>267</v>
      </c>
      <c r="M34" s="346">
        <v>18.104219999999998</v>
      </c>
      <c r="N34" s="346">
        <v>17.134370000000001</v>
      </c>
      <c r="O34" s="345"/>
    </row>
    <row r="35" spans="1:15" ht="20.25" customHeight="1">
      <c r="A35" s="848" t="s">
        <v>763</v>
      </c>
      <c r="B35" s="543">
        <v>18.877369999999999</v>
      </c>
      <c r="C35" s="543">
        <v>19.46772</v>
      </c>
      <c r="D35" s="544">
        <f t="shared" si="0"/>
        <v>-3.0324557780777694E-2</v>
      </c>
      <c r="E35" s="159"/>
      <c r="F35" s="159"/>
      <c r="G35" s="159"/>
      <c r="H35" s="159"/>
      <c r="I35" s="159"/>
      <c r="J35" s="159"/>
      <c r="K35" s="33"/>
      <c r="L35" s="1034" t="s">
        <v>763</v>
      </c>
      <c r="M35" s="346">
        <v>18.877369999999999</v>
      </c>
      <c r="N35" s="346">
        <v>19.46772</v>
      </c>
      <c r="O35" s="345"/>
    </row>
    <row r="36" spans="1:15" ht="9.75" customHeight="1">
      <c r="A36" s="539" t="s">
        <v>267</v>
      </c>
      <c r="B36" s="540">
        <v>18.104219999999998</v>
      </c>
      <c r="C36" s="540">
        <v>17.134370000000001</v>
      </c>
      <c r="D36" s="541">
        <f t="shared" si="0"/>
        <v>5.6602606340355521E-2</v>
      </c>
      <c r="E36" s="159"/>
      <c r="F36" s="159"/>
      <c r="G36" s="159"/>
      <c r="H36" s="159"/>
      <c r="I36" s="159"/>
      <c r="J36" s="159"/>
      <c r="K36" s="43"/>
      <c r="L36" s="1032" t="s">
        <v>497</v>
      </c>
      <c r="M36" s="346">
        <v>19.850020000000001</v>
      </c>
      <c r="N36" s="346"/>
      <c r="O36" s="345"/>
    </row>
    <row r="37" spans="1:15" ht="9.75" customHeight="1">
      <c r="A37" s="542" t="s">
        <v>107</v>
      </c>
      <c r="B37" s="543">
        <v>17.88</v>
      </c>
      <c r="C37" s="543">
        <v>17.423999999999999</v>
      </c>
      <c r="D37" s="544">
        <f t="shared" si="0"/>
        <v>2.6170798898071501E-2</v>
      </c>
      <c r="E37" s="159"/>
      <c r="F37" s="159"/>
      <c r="G37" s="159"/>
      <c r="H37" s="159"/>
      <c r="I37" s="159"/>
      <c r="J37" s="159"/>
      <c r="K37" s="43"/>
      <c r="L37" s="1030" t="s">
        <v>596</v>
      </c>
      <c r="M37" s="332">
        <v>20.367170000000002</v>
      </c>
      <c r="O37" s="345"/>
    </row>
    <row r="38" spans="1:15" ht="9.75" customHeight="1">
      <c r="A38" s="539" t="s">
        <v>272</v>
      </c>
      <c r="B38" s="540">
        <v>16.815079999999998</v>
      </c>
      <c r="C38" s="540">
        <v>18.442070000000001</v>
      </c>
      <c r="D38" s="541">
        <f t="shared" si="0"/>
        <v>-8.8221658414700865E-2</v>
      </c>
      <c r="E38" s="159"/>
      <c r="F38" s="159"/>
      <c r="G38" s="159"/>
      <c r="H38" s="159"/>
      <c r="I38" s="159"/>
      <c r="J38" s="159"/>
      <c r="K38" s="38"/>
      <c r="L38" s="1032" t="s">
        <v>124</v>
      </c>
      <c r="M38" s="346">
        <v>20.883690000000001</v>
      </c>
      <c r="N38" s="346">
        <v>0</v>
      </c>
      <c r="O38" s="345"/>
    </row>
    <row r="39" spans="1:15" ht="9.75" customHeight="1">
      <c r="A39" s="542" t="s">
        <v>125</v>
      </c>
      <c r="B39" s="543">
        <v>15.892329999999999</v>
      </c>
      <c r="C39" s="543">
        <v>0</v>
      </c>
      <c r="D39" s="544" t="str">
        <f t="shared" si="0"/>
        <v/>
      </c>
      <c r="E39" s="159"/>
      <c r="F39" s="159"/>
      <c r="G39" s="159"/>
      <c r="H39" s="159"/>
      <c r="I39" s="159"/>
      <c r="J39" s="159"/>
      <c r="K39" s="38"/>
      <c r="L39" s="1032" t="s">
        <v>269</v>
      </c>
      <c r="M39" s="346">
        <v>25.828679999999999</v>
      </c>
      <c r="N39" s="346">
        <v>10.36957</v>
      </c>
      <c r="O39" s="345"/>
    </row>
    <row r="40" spans="1:15" ht="9.75" customHeight="1">
      <c r="A40" s="539" t="s">
        <v>126</v>
      </c>
      <c r="B40" s="540">
        <v>13.55499</v>
      </c>
      <c r="C40" s="540">
        <v>0</v>
      </c>
      <c r="D40" s="541" t="str">
        <f t="shared" si="0"/>
        <v/>
      </c>
      <c r="E40" s="159"/>
      <c r="F40" s="159"/>
      <c r="G40" s="159"/>
      <c r="H40" s="159"/>
      <c r="I40" s="159"/>
      <c r="J40" s="159"/>
      <c r="K40" s="38"/>
      <c r="L40" s="1032" t="s">
        <v>106</v>
      </c>
      <c r="M40" s="346">
        <v>27.943930000000002</v>
      </c>
      <c r="N40" s="346">
        <v>27.69003</v>
      </c>
      <c r="O40" s="345"/>
    </row>
    <row r="41" spans="1:15" ht="9.75" customHeight="1">
      <c r="A41" s="542" t="s">
        <v>110</v>
      </c>
      <c r="B41" s="543">
        <v>12.84328</v>
      </c>
      <c r="C41" s="543">
        <v>11.179410000000001</v>
      </c>
      <c r="D41" s="544">
        <f t="shared" si="0"/>
        <v>0.14883343575376506</v>
      </c>
      <c r="E41" s="159"/>
      <c r="F41" s="159"/>
      <c r="G41" s="159"/>
      <c r="H41" s="159"/>
      <c r="I41" s="159"/>
      <c r="J41" s="159"/>
      <c r="K41" s="43"/>
      <c r="L41" s="1032" t="s">
        <v>112</v>
      </c>
      <c r="M41" s="346">
        <v>34.778909999999996</v>
      </c>
      <c r="N41" s="346">
        <v>6.56175</v>
      </c>
      <c r="O41" s="345"/>
    </row>
    <row r="42" spans="1:15" ht="9.75" customHeight="1">
      <c r="A42" s="539" t="s">
        <v>108</v>
      </c>
      <c r="B42" s="540">
        <v>9.4473900000000004</v>
      </c>
      <c r="C42" s="540">
        <v>13.553619999999999</v>
      </c>
      <c r="D42" s="541">
        <f t="shared" si="0"/>
        <v>-0.30296186553850546</v>
      </c>
      <c r="E42" s="159"/>
      <c r="F42" s="159"/>
      <c r="G42" s="159"/>
      <c r="H42" s="159"/>
      <c r="I42" s="159"/>
      <c r="J42" s="159"/>
      <c r="K42" s="43"/>
      <c r="L42" s="1031" t="s">
        <v>265</v>
      </c>
      <c r="M42" s="346">
        <v>37.160550000000001</v>
      </c>
      <c r="N42" s="346">
        <v>25.51116</v>
      </c>
      <c r="O42" s="345"/>
    </row>
    <row r="43" spans="1:15" ht="9.75" customHeight="1">
      <c r="A43" s="542" t="s">
        <v>761</v>
      </c>
      <c r="B43" s="543">
        <v>6.8082000000000011</v>
      </c>
      <c r="C43" s="543">
        <v>4.3065999999999995</v>
      </c>
      <c r="D43" s="544">
        <f t="shared" si="0"/>
        <v>0.58087586495147026</v>
      </c>
      <c r="E43" s="159"/>
      <c r="F43" s="159"/>
      <c r="G43" s="159"/>
      <c r="H43" s="159"/>
      <c r="I43" s="159"/>
      <c r="J43" s="159"/>
      <c r="K43" s="43"/>
      <c r="L43" s="1032" t="s">
        <v>105</v>
      </c>
      <c r="M43" s="346">
        <v>46.206550000000007</v>
      </c>
      <c r="N43" s="346">
        <v>48.564819999999997</v>
      </c>
      <c r="O43" s="345"/>
    </row>
    <row r="44" spans="1:15" ht="9.75" customHeight="1">
      <c r="A44" s="539" t="s">
        <v>118</v>
      </c>
      <c r="B44" s="540">
        <v>4.9903599999999999</v>
      </c>
      <c r="C44" s="540">
        <v>4.1999999999999993</v>
      </c>
      <c r="D44" s="541">
        <f t="shared" si="0"/>
        <v>0.18818095238095256</v>
      </c>
      <c r="E44" s="159"/>
      <c r="F44" s="159"/>
      <c r="G44" s="159"/>
      <c r="H44" s="159"/>
      <c r="I44" s="159"/>
      <c r="J44" s="159"/>
      <c r="K44" s="160"/>
      <c r="L44" s="1032" t="s">
        <v>101</v>
      </c>
      <c r="M44" s="346">
        <v>56.806190000000001</v>
      </c>
      <c r="N44" s="346">
        <v>86.014499999999998</v>
      </c>
      <c r="O44" s="345"/>
    </row>
    <row r="45" spans="1:15" ht="9.75" customHeight="1">
      <c r="A45" s="542" t="s">
        <v>119</v>
      </c>
      <c r="B45" s="543">
        <v>3.60182</v>
      </c>
      <c r="C45" s="543">
        <v>3.5885800000000003</v>
      </c>
      <c r="D45" s="544">
        <f t="shared" si="0"/>
        <v>3.6894816334036573E-3</v>
      </c>
      <c r="E45" s="159"/>
      <c r="F45" s="159"/>
      <c r="G45" s="159"/>
      <c r="H45" s="159"/>
      <c r="I45" s="159"/>
      <c r="J45" s="159"/>
      <c r="L45" s="1031" t="s">
        <v>103</v>
      </c>
      <c r="M45" s="346">
        <v>80.15558</v>
      </c>
      <c r="N45" s="346">
        <v>33.914949999999997</v>
      </c>
      <c r="O45" s="345"/>
    </row>
    <row r="46" spans="1:15" ht="9.75" customHeight="1">
      <c r="A46" s="539" t="s">
        <v>120</v>
      </c>
      <c r="B46" s="540">
        <v>2.4</v>
      </c>
      <c r="C46" s="540">
        <v>3.6</v>
      </c>
      <c r="D46" s="541">
        <f t="shared" si="0"/>
        <v>-0.33333333333333337</v>
      </c>
      <c r="E46" s="159"/>
      <c r="F46" s="159"/>
      <c r="G46" s="159"/>
      <c r="H46" s="159"/>
      <c r="I46" s="159"/>
      <c r="J46" s="159"/>
      <c r="L46" s="1033" t="s">
        <v>264</v>
      </c>
      <c r="M46" s="346">
        <v>81.192689999999999</v>
      </c>
      <c r="N46" s="346">
        <v>95.914209999999997</v>
      </c>
      <c r="O46" s="345"/>
    </row>
    <row r="47" spans="1:15" ht="9.75" customHeight="1">
      <c r="A47" s="542" t="s">
        <v>117</v>
      </c>
      <c r="B47" s="543">
        <v>2.3944800000000002</v>
      </c>
      <c r="C47" s="543">
        <v>2.8185899999999999</v>
      </c>
      <c r="D47" s="544">
        <f t="shared" si="0"/>
        <v>-0.15046885144700006</v>
      </c>
      <c r="E47" s="159"/>
      <c r="F47" s="159"/>
      <c r="G47" s="159"/>
      <c r="H47" s="159"/>
      <c r="I47" s="159"/>
      <c r="J47" s="159"/>
      <c r="L47" s="1031" t="s">
        <v>102</v>
      </c>
      <c r="M47" s="346">
        <v>84.311989999999994</v>
      </c>
      <c r="N47" s="346">
        <v>0</v>
      </c>
      <c r="O47" s="345"/>
    </row>
    <row r="48" spans="1:15" ht="9.75" customHeight="1">
      <c r="A48" s="539" t="s">
        <v>121</v>
      </c>
      <c r="B48" s="540">
        <v>1.5269999999999999</v>
      </c>
      <c r="C48" s="540">
        <v>3.1520000000000001</v>
      </c>
      <c r="D48" s="541">
        <f t="shared" si="0"/>
        <v>-0.51554568527918787</v>
      </c>
      <c r="E48" s="159"/>
      <c r="F48" s="159"/>
      <c r="G48" s="159"/>
      <c r="H48" s="159"/>
      <c r="I48" s="159"/>
      <c r="J48" s="159"/>
      <c r="L48" s="1031" t="s">
        <v>100</v>
      </c>
      <c r="M48" s="346">
        <v>88.366280000000003</v>
      </c>
      <c r="N48" s="346">
        <v>90.647369999999995</v>
      </c>
      <c r="O48" s="345"/>
    </row>
    <row r="49" spans="1:15" ht="9.75" customHeight="1">
      <c r="A49" s="542" t="s">
        <v>123</v>
      </c>
      <c r="B49" s="543">
        <v>0.94188000000000005</v>
      </c>
      <c r="C49" s="543">
        <v>0.74956</v>
      </c>
      <c r="D49" s="544">
        <f t="shared" si="0"/>
        <v>0.2565771919526123</v>
      </c>
      <c r="E49" s="159"/>
      <c r="F49" s="159"/>
      <c r="G49" s="159"/>
      <c r="H49" s="159"/>
      <c r="I49" s="159"/>
      <c r="J49" s="159"/>
      <c r="L49" s="1032" t="s">
        <v>765</v>
      </c>
      <c r="M49" s="346">
        <v>90.325099999999992</v>
      </c>
      <c r="N49" s="346">
        <v>90.423689999999993</v>
      </c>
      <c r="O49" s="345"/>
    </row>
    <row r="50" spans="1:15" ht="9.75" customHeight="1">
      <c r="A50" s="539" t="s">
        <v>566</v>
      </c>
      <c r="B50" s="540">
        <v>0.90700000000000003</v>
      </c>
      <c r="C50" s="540"/>
      <c r="D50" s="541" t="str">
        <f t="shared" si="0"/>
        <v/>
      </c>
      <c r="E50" s="159"/>
      <c r="F50" s="159"/>
      <c r="G50" s="159"/>
      <c r="H50" s="159"/>
      <c r="I50" s="159"/>
      <c r="J50" s="159"/>
      <c r="L50" s="1032" t="s">
        <v>99</v>
      </c>
      <c r="M50" s="346">
        <v>110.10356</v>
      </c>
      <c r="N50" s="346">
        <v>110.82124999999999</v>
      </c>
      <c r="O50" s="345"/>
    </row>
    <row r="51" spans="1:15" ht="9.75" customHeight="1">
      <c r="A51" s="542" t="s">
        <v>262</v>
      </c>
      <c r="B51" s="543">
        <v>0</v>
      </c>
      <c r="C51" s="543">
        <v>0</v>
      </c>
      <c r="D51" s="544" t="str">
        <f t="shared" si="0"/>
        <v/>
      </c>
      <c r="E51" s="159"/>
      <c r="F51" s="159"/>
      <c r="G51" s="159"/>
      <c r="H51" s="159"/>
      <c r="I51" s="159"/>
      <c r="J51" s="159"/>
      <c r="L51" s="1032" t="s">
        <v>98</v>
      </c>
      <c r="M51" s="346">
        <v>134.03176999999999</v>
      </c>
      <c r="N51" s="346">
        <v>215.91407000000001</v>
      </c>
      <c r="O51" s="345"/>
    </row>
    <row r="52" spans="1:15" ht="9.75" customHeight="1">
      <c r="A52" s="539" t="s">
        <v>115</v>
      </c>
      <c r="B52" s="540">
        <v>0</v>
      </c>
      <c r="C52" s="540">
        <v>0</v>
      </c>
      <c r="D52" s="541" t="str">
        <f t="shared" si="0"/>
        <v/>
      </c>
      <c r="E52" s="159"/>
      <c r="F52" s="159"/>
      <c r="G52" s="159"/>
      <c r="H52" s="159"/>
      <c r="I52" s="159"/>
      <c r="J52" s="159"/>
      <c r="L52" s="1032" t="s">
        <v>96</v>
      </c>
      <c r="M52" s="346">
        <v>166.62601000000001</v>
      </c>
      <c r="N52" s="346">
        <v>167.16457</v>
      </c>
      <c r="O52" s="345"/>
    </row>
    <row r="53" spans="1:15" ht="9.75" customHeight="1">
      <c r="A53" s="542" t="s">
        <v>116</v>
      </c>
      <c r="B53" s="543">
        <v>0</v>
      </c>
      <c r="C53" s="543">
        <v>0</v>
      </c>
      <c r="D53" s="544" t="str">
        <f t="shared" si="0"/>
        <v/>
      </c>
      <c r="E53" s="159"/>
      <c r="F53" s="159"/>
      <c r="G53" s="159"/>
      <c r="H53" s="159"/>
      <c r="I53" s="159"/>
      <c r="J53" s="159"/>
      <c r="L53" s="1032" t="s">
        <v>95</v>
      </c>
      <c r="M53" s="346">
        <v>167.72149000000002</v>
      </c>
      <c r="N53" s="346">
        <v>228.60289</v>
      </c>
      <c r="O53" s="345"/>
    </row>
    <row r="54" spans="1:15" ht="9.75" customHeight="1">
      <c r="A54" s="539" t="s">
        <v>122</v>
      </c>
      <c r="B54" s="540">
        <v>0</v>
      </c>
      <c r="C54" s="540">
        <v>0</v>
      </c>
      <c r="D54" s="541" t="str">
        <f t="shared" si="0"/>
        <v/>
      </c>
      <c r="E54" s="159"/>
      <c r="F54" s="159"/>
      <c r="G54" s="159"/>
      <c r="H54" s="159"/>
      <c r="I54" s="159"/>
      <c r="J54" s="159"/>
      <c r="L54" s="1032" t="s">
        <v>97</v>
      </c>
      <c r="M54" s="346">
        <v>182.12267</v>
      </c>
      <c r="N54" s="346">
        <v>142.58607000000001</v>
      </c>
      <c r="O54" s="345"/>
    </row>
    <row r="55" spans="1:15" ht="9.75" customHeight="1">
      <c r="A55" s="542" t="s">
        <v>114</v>
      </c>
      <c r="B55" s="543">
        <v>0</v>
      </c>
      <c r="C55" s="543">
        <v>0</v>
      </c>
      <c r="D55" s="544" t="str">
        <f t="shared" si="0"/>
        <v/>
      </c>
      <c r="E55" s="159"/>
      <c r="F55" s="159"/>
      <c r="G55" s="159"/>
      <c r="H55" s="159"/>
      <c r="I55" s="159"/>
      <c r="J55" s="159"/>
      <c r="L55" s="1032" t="s">
        <v>104</v>
      </c>
      <c r="M55" s="346">
        <v>291.77163999999999</v>
      </c>
      <c r="N55" s="346">
        <v>184.45033000000001</v>
      </c>
      <c r="O55" s="345"/>
    </row>
    <row r="56" spans="1:15" ht="9.75" customHeight="1">
      <c r="A56" s="539" t="s">
        <v>111</v>
      </c>
      <c r="B56" s="540">
        <v>0</v>
      </c>
      <c r="C56" s="540">
        <v>0</v>
      </c>
      <c r="D56" s="541" t="str">
        <f t="shared" si="0"/>
        <v/>
      </c>
      <c r="E56" s="159"/>
      <c r="F56" s="159"/>
      <c r="G56" s="159"/>
      <c r="H56" s="159"/>
      <c r="I56" s="159"/>
      <c r="J56" s="159"/>
      <c r="L56" s="1032" t="s">
        <v>268</v>
      </c>
      <c r="M56" s="346">
        <v>339.10036000000002</v>
      </c>
      <c r="N56" s="346">
        <v>356.61589000000004</v>
      </c>
      <c r="O56" s="345"/>
    </row>
    <row r="57" spans="1:15" ht="9.75" customHeight="1">
      <c r="A57" s="542" t="s">
        <v>270</v>
      </c>
      <c r="B57" s="543">
        <v>0</v>
      </c>
      <c r="C57" s="543">
        <v>0</v>
      </c>
      <c r="D57" s="544" t="str">
        <f t="shared" si="0"/>
        <v/>
      </c>
      <c r="E57" s="159"/>
      <c r="F57" s="159"/>
      <c r="G57" s="159"/>
      <c r="H57" s="159"/>
      <c r="I57" s="159"/>
      <c r="J57" s="159"/>
      <c r="L57" s="1032" t="s">
        <v>94</v>
      </c>
      <c r="M57" s="346">
        <v>339.57974999999999</v>
      </c>
      <c r="N57" s="346">
        <v>333.1426800000001</v>
      </c>
      <c r="O57" s="345"/>
    </row>
    <row r="58" spans="1:15" ht="9.75" customHeight="1">
      <c r="A58" s="539" t="s">
        <v>271</v>
      </c>
      <c r="B58" s="540">
        <v>0</v>
      </c>
      <c r="C58" s="540">
        <v>0</v>
      </c>
      <c r="D58" s="541" t="str">
        <f t="shared" si="0"/>
        <v/>
      </c>
      <c r="E58" s="159"/>
      <c r="F58" s="159"/>
      <c r="G58" s="159"/>
      <c r="H58" s="159"/>
      <c r="I58" s="159"/>
      <c r="J58" s="159"/>
      <c r="L58" s="1032" t="s">
        <v>263</v>
      </c>
      <c r="M58" s="346">
        <v>360.29655000000002</v>
      </c>
      <c r="N58" s="346">
        <v>463.91374000000002</v>
      </c>
      <c r="O58" s="345"/>
    </row>
    <row r="59" spans="1:15" ht="9.75" customHeight="1">
      <c r="A59" s="522" t="s">
        <v>113</v>
      </c>
      <c r="B59" s="523">
        <v>0</v>
      </c>
      <c r="C59" s="523">
        <v>0</v>
      </c>
      <c r="D59" s="544" t="str">
        <f t="shared" si="0"/>
        <v/>
      </c>
      <c r="E59" s="159"/>
      <c r="F59" s="159"/>
      <c r="G59" s="159"/>
      <c r="H59" s="159"/>
      <c r="I59" s="159"/>
      <c r="J59" s="159"/>
      <c r="L59" s="1031" t="s">
        <v>266</v>
      </c>
      <c r="M59" s="346">
        <v>541.04791</v>
      </c>
      <c r="N59" s="346">
        <v>548.05982000000006</v>
      </c>
      <c r="O59" s="345"/>
    </row>
    <row r="60" spans="1:15" ht="9.75" customHeight="1">
      <c r="A60" s="545" t="s">
        <v>109</v>
      </c>
      <c r="B60" s="546">
        <v>0</v>
      </c>
      <c r="C60" s="546">
        <v>0</v>
      </c>
      <c r="D60" s="547" t="str">
        <f t="shared" si="0"/>
        <v/>
      </c>
      <c r="E60" s="159"/>
      <c r="F60" s="159"/>
      <c r="G60" s="159"/>
      <c r="H60" s="159"/>
      <c r="I60" s="159"/>
      <c r="J60" s="159"/>
      <c r="L60" s="1032" t="s">
        <v>760</v>
      </c>
      <c r="M60" s="346">
        <v>751.21424999999999</v>
      </c>
      <c r="N60" s="346">
        <v>407.82664</v>
      </c>
      <c r="O60" s="345"/>
    </row>
    <row r="61" spans="1:15" ht="9.75" customHeight="1">
      <c r="A61" s="522" t="s">
        <v>714</v>
      </c>
      <c r="B61" s="523">
        <v>0</v>
      </c>
      <c r="C61" s="523"/>
      <c r="D61" s="535" t="str">
        <f t="shared" si="0"/>
        <v/>
      </c>
      <c r="E61" s="159"/>
      <c r="F61" s="159"/>
      <c r="G61" s="159"/>
      <c r="H61" s="159"/>
      <c r="I61" s="159"/>
      <c r="J61" s="159"/>
      <c r="L61" s="1032" t="s">
        <v>92</v>
      </c>
      <c r="M61" s="346">
        <v>785.28833000000009</v>
      </c>
      <c r="N61" s="346">
        <v>1019.05563</v>
      </c>
      <c r="O61" s="345"/>
    </row>
    <row r="62" spans="1:15" ht="9.75" customHeight="1">
      <c r="A62" s="545" t="s">
        <v>549</v>
      </c>
      <c r="B62" s="546"/>
      <c r="C62" s="546">
        <v>0</v>
      </c>
      <c r="D62" s="547" t="str">
        <f t="shared" si="0"/>
        <v/>
      </c>
      <c r="E62" s="159"/>
      <c r="F62" s="159"/>
      <c r="G62" s="159"/>
      <c r="H62" s="159"/>
      <c r="I62" s="159"/>
      <c r="J62" s="159"/>
      <c r="L62" s="1032" t="s">
        <v>93</v>
      </c>
      <c r="M62" s="346">
        <v>837.01967999999999</v>
      </c>
      <c r="N62" s="346">
        <v>850.53264000000001</v>
      </c>
      <c r="O62" s="345"/>
    </row>
    <row r="63" spans="1:15" ht="9.75" customHeight="1">
      <c r="A63" s="522" t="s">
        <v>127</v>
      </c>
      <c r="B63" s="523"/>
      <c r="C63" s="523">
        <v>0</v>
      </c>
      <c r="D63" s="535" t="str">
        <f t="shared" si="0"/>
        <v/>
      </c>
      <c r="E63" s="159"/>
      <c r="F63" s="159"/>
      <c r="G63" s="159"/>
      <c r="H63" s="159"/>
      <c r="I63" s="159"/>
      <c r="J63" s="159"/>
      <c r="L63" s="1032" t="s">
        <v>91</v>
      </c>
      <c r="M63" s="346">
        <v>1017.5046399999998</v>
      </c>
      <c r="N63" s="346">
        <v>798.48780999999997</v>
      </c>
      <c r="O63" s="345"/>
    </row>
    <row r="64" spans="1:15" ht="9.75" customHeight="1">
      <c r="A64" s="524" t="s">
        <v>44</v>
      </c>
      <c r="B64" s="525">
        <f>SUM(B7:B63)</f>
        <v>6884.591339999999</v>
      </c>
      <c r="C64" s="525">
        <f>SUM(C7:C63)</f>
        <v>6462.4025999999976</v>
      </c>
      <c r="D64" s="526">
        <f>IF(C64=0,"",B64/C64-1)</f>
        <v>6.5329996617666808E-2</v>
      </c>
      <c r="E64" s="186"/>
      <c r="F64" s="186"/>
      <c r="G64" s="186"/>
      <c r="H64" s="187"/>
      <c r="I64" s="187"/>
      <c r="J64" s="187"/>
      <c r="L64" s="1032"/>
      <c r="M64" s="346"/>
      <c r="N64" s="346"/>
    </row>
    <row r="65" spans="1:10" ht="32.25" customHeight="1">
      <c r="A65" s="948" t="str">
        <f>"Cuadro N° 8: Participación de las empresas generadoras del COES en la máxima potencia coincidente (MW) en "&amp;'1. Resumen'!Q4</f>
        <v>Cuadro N° 8: Participación de las empresas generadoras del COES en la máxima potencia coincidente (MW) en diciembre</v>
      </c>
      <c r="B65" s="948"/>
      <c r="C65" s="948"/>
      <c r="D65" s="948"/>
      <c r="E65" s="173"/>
      <c r="F65" s="948" t="str">
        <f>"Gráfico N° 12: Comparación de la máxima potencia coincidente  (MW) de las empresas generadoras del COES en "&amp;'1. Resumen'!Q4</f>
        <v>Gráfico N° 12: Comparación de la máxima potencia coincidente  (MW) de las empresas generadoras del COES en diciembre</v>
      </c>
      <c r="G65" s="948"/>
      <c r="H65" s="948"/>
      <c r="I65" s="948"/>
      <c r="J65" s="948"/>
    </row>
    <row r="66" spans="1:10" ht="7.5" customHeight="1">
      <c r="A66" s="519"/>
      <c r="B66" s="519"/>
      <c r="C66" s="519"/>
      <c r="D66" s="519"/>
      <c r="E66" s="173"/>
      <c r="F66" s="519"/>
      <c r="G66" s="519"/>
      <c r="H66" s="519"/>
      <c r="I66" s="519"/>
      <c r="J66" s="519"/>
    </row>
    <row r="67" spans="1:10" ht="12.75" customHeight="1">
      <c r="A67" s="950" t="s">
        <v>533</v>
      </c>
      <c r="B67" s="950"/>
      <c r="C67" s="950"/>
      <c r="D67" s="950"/>
      <c r="E67" s="950"/>
      <c r="F67" s="950"/>
      <c r="G67" s="950"/>
      <c r="H67" s="950"/>
      <c r="I67" s="950"/>
      <c r="J67" s="950"/>
    </row>
    <row r="68" spans="1:10" ht="12.75" customHeight="1">
      <c r="A68" s="950" t="s">
        <v>550</v>
      </c>
      <c r="B68" s="950"/>
      <c r="C68" s="950"/>
      <c r="D68" s="950"/>
      <c r="E68" s="950"/>
      <c r="F68" s="950"/>
      <c r="G68" s="950"/>
      <c r="H68" s="950"/>
      <c r="I68" s="950"/>
      <c r="J68" s="950"/>
    </row>
    <row r="69" spans="1:10" ht="12.75" customHeight="1">
      <c r="A69" s="950" t="s">
        <v>546</v>
      </c>
      <c r="B69" s="950"/>
      <c r="C69" s="950"/>
      <c r="D69" s="950"/>
      <c r="E69" s="950"/>
      <c r="F69" s="950"/>
      <c r="G69" s="950"/>
      <c r="H69" s="950"/>
      <c r="I69" s="950"/>
      <c r="J69" s="950"/>
    </row>
    <row r="70" spans="1:10">
      <c r="A70" s="950" t="s">
        <v>547</v>
      </c>
      <c r="B70" s="950"/>
      <c r="C70" s="950"/>
      <c r="D70" s="950"/>
      <c r="E70" s="950"/>
      <c r="F70" s="950"/>
      <c r="G70" s="950"/>
      <c r="H70" s="950"/>
      <c r="I70" s="950"/>
      <c r="J70" s="950"/>
    </row>
    <row r="71" spans="1:10">
      <c r="A71" s="943"/>
      <c r="B71" s="943"/>
      <c r="C71" s="943"/>
      <c r="D71" s="943"/>
      <c r="E71" s="943"/>
      <c r="F71" s="943"/>
      <c r="G71" s="943"/>
      <c r="H71" s="943"/>
      <c r="I71" s="943"/>
      <c r="J71" s="943"/>
    </row>
    <row r="72" spans="1:10">
      <c r="A72" s="942"/>
      <c r="B72" s="942"/>
      <c r="C72" s="942"/>
      <c r="D72" s="942"/>
      <c r="E72" s="942"/>
      <c r="F72" s="942"/>
      <c r="G72" s="942"/>
      <c r="H72" s="942"/>
      <c r="I72" s="942"/>
      <c r="J72" s="942"/>
    </row>
    <row r="73" spans="1:10">
      <c r="A73" s="957"/>
      <c r="B73" s="957"/>
      <c r="C73" s="957"/>
      <c r="D73" s="957"/>
      <c r="E73" s="957"/>
      <c r="F73" s="957"/>
      <c r="G73" s="957"/>
      <c r="H73" s="957"/>
      <c r="I73" s="957"/>
      <c r="J73" s="957"/>
    </row>
    <row r="74" spans="1:10">
      <c r="A74" s="958"/>
      <c r="B74" s="958"/>
      <c r="C74" s="958"/>
      <c r="D74" s="958"/>
      <c r="E74" s="958"/>
      <c r="F74" s="958"/>
      <c r="G74" s="958"/>
      <c r="H74" s="958"/>
      <c r="I74" s="958"/>
      <c r="J74" s="958"/>
    </row>
  </sheetData>
  <mergeCells count="15">
    <mergeCell ref="A69:J69"/>
    <mergeCell ref="A67:J67"/>
    <mergeCell ref="A65:D65"/>
    <mergeCell ref="F65:J65"/>
    <mergeCell ref="A1:J1"/>
    <mergeCell ref="A3:A6"/>
    <mergeCell ref="B3:D3"/>
    <mergeCell ref="G3:I3"/>
    <mergeCell ref="D4:D6"/>
    <mergeCell ref="A68:J68"/>
    <mergeCell ref="A70:J70"/>
    <mergeCell ref="A71:J71"/>
    <mergeCell ref="A72:J72"/>
    <mergeCell ref="A73:J73"/>
    <mergeCell ref="A74:J74"/>
  </mergeCells>
  <pageMargins left="0.7" right="0.5892857142857143" top="0.86956521739130432" bottom="0.61458333333333337" header="0.3" footer="0.3"/>
  <pageSetup orientation="portrait" r:id="rId1"/>
  <headerFooter>
    <oddHeader>&amp;R&amp;7Informe de la Operación Mensual - Diciembre 2018
INFSGI-MES-12-2018
15/01/2019
Versión: 01</oddHeader>
    <oddFooter>&amp;L&amp;7COES, 2018&amp;C9&amp;R&amp;7Dirección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D4" sqref="D4"/>
    </sheetView>
  </sheetViews>
  <sheetFormatPr defaultColWidth="9.33203125"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450" customWidth="1"/>
    <col min="12" max="31" width="9.33203125" style="450"/>
    <col min="32" max="16384" width="9.33203125" style="95"/>
  </cols>
  <sheetData>
    <row r="1" spans="1:38" ht="11.25" customHeight="1"/>
    <row r="2" spans="1:38" ht="17.25" customHeight="1">
      <c r="A2" s="953" t="s">
        <v>282</v>
      </c>
      <c r="B2" s="953"/>
      <c r="C2" s="953"/>
      <c r="D2" s="953"/>
      <c r="E2" s="953"/>
      <c r="F2" s="953"/>
      <c r="G2" s="953"/>
      <c r="H2" s="953"/>
    </row>
    <row r="3" spans="1:38" ht="11.25" customHeight="1">
      <c r="A3" s="193"/>
      <c r="B3" s="193"/>
      <c r="C3" s="193"/>
      <c r="D3" s="193"/>
      <c r="E3" s="193"/>
      <c r="F3" s="102"/>
      <c r="G3" s="102"/>
      <c r="H3" s="102"/>
      <c r="I3" s="45"/>
      <c r="J3" s="451"/>
    </row>
    <row r="4" spans="1:38" ht="11.25" customHeight="1">
      <c r="A4" s="968" t="s">
        <v>283</v>
      </c>
      <c r="B4" s="968"/>
      <c r="C4" s="968"/>
      <c r="D4" s="968"/>
      <c r="E4" s="968"/>
      <c r="F4" s="968"/>
      <c r="G4" s="968"/>
      <c r="H4" s="968"/>
      <c r="I4" s="45"/>
      <c r="J4" s="451"/>
    </row>
    <row r="5" spans="1:38" ht="11.25" customHeight="1">
      <c r="A5" s="97"/>
      <c r="B5" s="194"/>
      <c r="C5" s="99"/>
      <c r="D5" s="99"/>
      <c r="E5" s="100"/>
      <c r="F5" s="96"/>
      <c r="G5" s="96"/>
      <c r="H5" s="101"/>
      <c r="I5" s="195"/>
      <c r="J5" s="452"/>
    </row>
    <row r="6" spans="1:38" ht="42.75" customHeight="1">
      <c r="A6" s="97"/>
      <c r="C6" s="741" t="s">
        <v>130</v>
      </c>
      <c r="D6" s="742" t="s">
        <v>698</v>
      </c>
      <c r="E6" s="742" t="s">
        <v>699</v>
      </c>
      <c r="F6" s="743" t="s">
        <v>131</v>
      </c>
      <c r="G6" s="202"/>
      <c r="H6" s="203"/>
    </row>
    <row r="7" spans="1:38" ht="11.25" customHeight="1">
      <c r="A7" s="97"/>
      <c r="C7" s="868" t="s">
        <v>132</v>
      </c>
      <c r="D7" s="869">
        <v>13.724</v>
      </c>
      <c r="E7" s="870">
        <v>19.443000789999999</v>
      </c>
      <c r="F7" s="871">
        <f>IF(E7=0,"",(D7-E7)/E7)</f>
        <v>-0.29414187921760604</v>
      </c>
      <c r="G7" s="158"/>
      <c r="H7" s="622"/>
    </row>
    <row r="8" spans="1:38" ht="11.25" customHeight="1">
      <c r="A8" s="97"/>
      <c r="C8" s="872" t="s">
        <v>133</v>
      </c>
      <c r="D8" s="873">
        <v>74.947999999999993</v>
      </c>
      <c r="E8" s="874">
        <v>64.021003719999996</v>
      </c>
      <c r="F8" s="875">
        <f t="shared" ref="F8:F20" si="0">IF(E8=0,"",(D8-E8)/E8)</f>
        <v>0.17067830313610707</v>
      </c>
      <c r="G8" s="158"/>
      <c r="H8" s="622"/>
    </row>
    <row r="9" spans="1:38" ht="11.25" customHeight="1">
      <c r="A9" s="97"/>
      <c r="C9" s="876" t="s">
        <v>134</v>
      </c>
      <c r="D9" s="877">
        <v>63.640999999999998</v>
      </c>
      <c r="E9" s="878">
        <v>56.730998990000003</v>
      </c>
      <c r="F9" s="879">
        <f t="shared" si="0"/>
        <v>0.12180291433292094</v>
      </c>
      <c r="G9" s="158"/>
      <c r="H9" s="622"/>
      <c r="M9" s="453" t="s">
        <v>289</v>
      </c>
      <c r="N9" s="454"/>
      <c r="O9" s="454"/>
      <c r="P9" s="454"/>
      <c r="Q9" s="454"/>
      <c r="R9" s="454"/>
      <c r="S9" s="454"/>
      <c r="T9" s="454"/>
      <c r="U9" s="454"/>
      <c r="V9" s="454"/>
      <c r="W9" s="454"/>
      <c r="X9" s="454"/>
      <c r="Y9" s="454"/>
      <c r="Z9" s="454"/>
      <c r="AA9" s="454"/>
      <c r="AB9" s="454"/>
      <c r="AC9" s="454"/>
      <c r="AD9" s="454"/>
      <c r="AE9" s="454"/>
      <c r="AF9" s="350"/>
      <c r="AG9" s="350"/>
      <c r="AH9" s="350"/>
      <c r="AI9" s="350"/>
      <c r="AJ9" s="350"/>
      <c r="AK9" s="350"/>
      <c r="AL9" s="350"/>
    </row>
    <row r="10" spans="1:38" ht="11.25" customHeight="1">
      <c r="A10" s="97"/>
      <c r="C10" s="872" t="s">
        <v>135</v>
      </c>
      <c r="D10" s="873">
        <v>36.265999999999998</v>
      </c>
      <c r="E10" s="874">
        <v>32.578998570000003</v>
      </c>
      <c r="F10" s="875">
        <f t="shared" si="0"/>
        <v>0.11317110997374634</v>
      </c>
      <c r="G10" s="158"/>
      <c r="H10" s="622"/>
      <c r="M10" s="453" t="s">
        <v>290</v>
      </c>
      <c r="N10" s="454"/>
      <c r="O10" s="454"/>
      <c r="P10" s="454"/>
      <c r="Q10" s="454"/>
      <c r="R10" s="454"/>
      <c r="S10" s="454"/>
      <c r="T10" s="454"/>
      <c r="AD10" s="454"/>
      <c r="AE10" s="454"/>
      <c r="AF10" s="350"/>
      <c r="AG10" s="350"/>
      <c r="AH10" s="350"/>
      <c r="AI10" s="350"/>
      <c r="AJ10" s="350"/>
      <c r="AK10" s="350"/>
      <c r="AL10" s="350"/>
    </row>
    <row r="11" spans="1:38" ht="11.25" customHeight="1">
      <c r="A11" s="97"/>
      <c r="C11" s="876" t="s">
        <v>136</v>
      </c>
      <c r="D11" s="877">
        <v>1.6040000000000001</v>
      </c>
      <c r="E11" s="878">
        <v>29.194000240000001</v>
      </c>
      <c r="F11" s="879">
        <f>IF(E11=0,"",(D11-E11)/E11)</f>
        <v>-0.94505720398665038</v>
      </c>
      <c r="G11" s="158"/>
      <c r="H11" s="622"/>
      <c r="M11" s="454"/>
      <c r="N11" s="455">
        <v>2016</v>
      </c>
      <c r="O11" s="455">
        <v>2017</v>
      </c>
      <c r="P11" s="455">
        <v>2018</v>
      </c>
      <c r="Q11" s="454"/>
      <c r="R11" s="454"/>
      <c r="S11" s="454"/>
      <c r="T11" s="454"/>
      <c r="AD11" s="454"/>
      <c r="AE11" s="454"/>
      <c r="AF11" s="350"/>
      <c r="AG11" s="350"/>
      <c r="AH11" s="350"/>
      <c r="AI11" s="350"/>
      <c r="AJ11" s="350"/>
      <c r="AK11" s="350"/>
      <c r="AL11" s="350"/>
    </row>
    <row r="12" spans="1:38" ht="11.25" customHeight="1">
      <c r="A12" s="97"/>
      <c r="C12" s="872" t="s">
        <v>137</v>
      </c>
      <c r="D12" s="873">
        <v>0.106</v>
      </c>
      <c r="E12" s="874">
        <v>4.8249998090000004</v>
      </c>
      <c r="F12" s="875">
        <f t="shared" si="0"/>
        <v>-0.97803108721325138</v>
      </c>
      <c r="G12" s="158"/>
      <c r="H12" s="622"/>
      <c r="M12" s="456">
        <v>1</v>
      </c>
      <c r="N12" s="457">
        <v>138.54</v>
      </c>
      <c r="O12" s="457">
        <v>93.1</v>
      </c>
      <c r="P12" s="457">
        <v>104.46</v>
      </c>
      <c r="Q12" s="454"/>
      <c r="R12" s="454"/>
      <c r="S12" s="454"/>
      <c r="T12" s="454"/>
      <c r="AD12" s="454"/>
      <c r="AE12" s="454"/>
      <c r="AF12" s="350"/>
      <c r="AG12" s="350"/>
      <c r="AH12" s="350"/>
      <c r="AI12" s="350"/>
      <c r="AJ12" s="350"/>
      <c r="AK12" s="350"/>
      <c r="AL12" s="350"/>
    </row>
    <row r="13" spans="1:38" ht="11.25" customHeight="1">
      <c r="A13" s="97"/>
      <c r="C13" s="876" t="s">
        <v>138</v>
      </c>
      <c r="D13" s="877">
        <v>66.19</v>
      </c>
      <c r="E13" s="878">
        <v>57.590000150000002</v>
      </c>
      <c r="F13" s="879">
        <f t="shared" si="0"/>
        <v>0.14933147816635309</v>
      </c>
      <c r="G13" s="158"/>
      <c r="H13" s="622"/>
      <c r="M13" s="456">
        <v>2</v>
      </c>
      <c r="N13" s="457">
        <v>140.53</v>
      </c>
      <c r="O13" s="457">
        <v>93.1</v>
      </c>
      <c r="P13" s="457">
        <v>103.4720001</v>
      </c>
      <c r="Q13" s="454"/>
      <c r="R13" s="454"/>
      <c r="S13" s="454"/>
      <c r="T13" s="454"/>
      <c r="AD13" s="454"/>
      <c r="AE13" s="454"/>
      <c r="AF13" s="350"/>
      <c r="AG13" s="350"/>
      <c r="AH13" s="350"/>
      <c r="AI13" s="350"/>
      <c r="AJ13" s="350"/>
      <c r="AK13" s="350"/>
      <c r="AL13" s="350"/>
    </row>
    <row r="14" spans="1:38" ht="11.25" customHeight="1">
      <c r="A14" s="97"/>
      <c r="C14" s="872" t="s">
        <v>139</v>
      </c>
      <c r="D14" s="873">
        <v>205.916</v>
      </c>
      <c r="E14" s="874">
        <v>215.003006</v>
      </c>
      <c r="F14" s="875">
        <f t="shared" si="0"/>
        <v>-4.2264553268618034E-2</v>
      </c>
      <c r="G14" s="158"/>
      <c r="H14" s="622"/>
      <c r="M14" s="456">
        <v>3</v>
      </c>
      <c r="N14" s="457">
        <v>140.53</v>
      </c>
      <c r="O14" s="457">
        <v>98.74</v>
      </c>
      <c r="P14" s="457">
        <v>106.08699799999999</v>
      </c>
      <c r="Q14" s="454"/>
      <c r="R14" s="454"/>
      <c r="S14" s="454"/>
      <c r="T14" s="454"/>
      <c r="AD14" s="454"/>
      <c r="AE14" s="454"/>
      <c r="AF14" s="350"/>
      <c r="AG14" s="350"/>
      <c r="AH14" s="350"/>
      <c r="AI14" s="350"/>
      <c r="AJ14" s="350"/>
      <c r="AK14" s="350"/>
      <c r="AL14" s="350"/>
    </row>
    <row r="15" spans="1:38" ht="11.25" customHeight="1">
      <c r="A15" s="97"/>
      <c r="C15" s="876" t="s">
        <v>140</v>
      </c>
      <c r="D15" s="877">
        <v>12.05</v>
      </c>
      <c r="E15" s="878">
        <v>6.55</v>
      </c>
      <c r="F15" s="879">
        <f t="shared" si="0"/>
        <v>0.8396946564885498</v>
      </c>
      <c r="G15" s="158"/>
      <c r="H15" s="622"/>
      <c r="M15" s="456">
        <v>4</v>
      </c>
      <c r="N15" s="457">
        <v>137.43800000000002</v>
      </c>
      <c r="O15" s="457">
        <v>98.74</v>
      </c>
      <c r="P15" s="457">
        <v>112.7200012</v>
      </c>
      <c r="Q15" s="454"/>
      <c r="R15" s="454"/>
      <c r="S15" s="454"/>
      <c r="T15" s="454"/>
      <c r="AD15" s="454"/>
      <c r="AE15" s="454"/>
      <c r="AF15" s="350"/>
      <c r="AG15" s="350"/>
      <c r="AH15" s="350"/>
      <c r="AI15" s="350"/>
      <c r="AJ15" s="350"/>
      <c r="AK15" s="350"/>
      <c r="AL15" s="350"/>
    </row>
    <row r="16" spans="1:38" ht="11.25" customHeight="1">
      <c r="A16" s="97"/>
      <c r="C16" s="872" t="s">
        <v>141</v>
      </c>
      <c r="D16" s="873">
        <v>67.131</v>
      </c>
      <c r="E16" s="874">
        <v>27.559000019999999</v>
      </c>
      <c r="F16" s="875">
        <f t="shared" si="0"/>
        <v>1.435901155748829</v>
      </c>
      <c r="G16" s="158"/>
      <c r="H16" s="622"/>
      <c r="M16" s="456">
        <v>5</v>
      </c>
      <c r="N16" s="457">
        <v>137.43800000000002</v>
      </c>
      <c r="O16" s="457">
        <v>125.15</v>
      </c>
      <c r="P16" s="457">
        <v>122.3190002</v>
      </c>
      <c r="Q16" s="454"/>
      <c r="R16" s="454"/>
      <c r="S16" s="454"/>
      <c r="T16" s="454"/>
      <c r="AD16" s="454"/>
      <c r="AE16" s="454"/>
      <c r="AF16" s="350"/>
      <c r="AG16" s="350"/>
      <c r="AH16" s="350"/>
      <c r="AI16" s="350"/>
      <c r="AJ16" s="350"/>
      <c r="AK16" s="350"/>
      <c r="AL16" s="350"/>
    </row>
    <row r="17" spans="1:38" ht="11.25" customHeight="1">
      <c r="A17" s="97"/>
      <c r="C17" s="876" t="s">
        <v>142</v>
      </c>
      <c r="D17" s="877">
        <v>73.930000000000007</v>
      </c>
      <c r="E17" s="878">
        <v>73.589996339999999</v>
      </c>
      <c r="F17" s="879">
        <f t="shared" si="0"/>
        <v>4.6202429258064533E-3</v>
      </c>
      <c r="G17" s="158"/>
      <c r="H17" s="622"/>
      <c r="M17" s="456">
        <v>6</v>
      </c>
      <c r="N17" s="457">
        <v>137.43800000000002</v>
      </c>
      <c r="O17" s="457">
        <v>125.15</v>
      </c>
      <c r="P17" s="457">
        <v>126.1559982</v>
      </c>
      <c r="Q17" s="454"/>
      <c r="R17" s="454"/>
      <c r="S17" s="454"/>
      <c r="T17" s="454"/>
      <c r="AD17" s="454"/>
      <c r="AE17" s="454"/>
      <c r="AF17" s="350"/>
      <c r="AG17" s="350"/>
      <c r="AH17" s="350"/>
      <c r="AI17" s="350"/>
      <c r="AJ17" s="350"/>
      <c r="AK17" s="350"/>
      <c r="AL17" s="350"/>
    </row>
    <row r="18" spans="1:38" ht="11.25" customHeight="1">
      <c r="A18" s="97"/>
      <c r="C18" s="872" t="s">
        <v>143</v>
      </c>
      <c r="D18" s="873">
        <v>3.8</v>
      </c>
      <c r="E18" s="874">
        <v>6.1350002290000001</v>
      </c>
      <c r="F18" s="875">
        <f t="shared" si="0"/>
        <v>-0.38060312010462682</v>
      </c>
      <c r="G18" s="158"/>
      <c r="H18" s="622"/>
      <c r="M18" s="456">
        <v>7</v>
      </c>
      <c r="N18" s="457">
        <v>151.05499267578099</v>
      </c>
      <c r="O18" s="457">
        <v>142.99</v>
      </c>
      <c r="P18" s="457">
        <v>142.9900055</v>
      </c>
      <c r="Q18" s="454"/>
      <c r="R18" s="454"/>
      <c r="S18" s="454"/>
      <c r="T18" s="454"/>
      <c r="AD18" s="454"/>
      <c r="AE18" s="454"/>
      <c r="AF18" s="350"/>
      <c r="AG18" s="350"/>
      <c r="AH18" s="350"/>
      <c r="AI18" s="350"/>
      <c r="AJ18" s="350"/>
      <c r="AK18" s="350"/>
      <c r="AL18" s="350"/>
    </row>
    <row r="19" spans="1:38" ht="12.75" customHeight="1">
      <c r="A19" s="97"/>
      <c r="C19" s="876" t="s">
        <v>144</v>
      </c>
      <c r="D19" s="877">
        <v>40.250999999999998</v>
      </c>
      <c r="E19" s="878">
        <v>15.2296896</v>
      </c>
      <c r="F19" s="879">
        <f t="shared" si="0"/>
        <v>1.642929767918579</v>
      </c>
      <c r="G19" s="158"/>
      <c r="H19" s="622"/>
      <c r="M19" s="456">
        <v>8</v>
      </c>
      <c r="N19" s="457">
        <v>151.05499267578099</v>
      </c>
      <c r="O19" s="457">
        <v>142.99</v>
      </c>
      <c r="P19" s="457">
        <v>134.13600159999999</v>
      </c>
      <c r="Q19" s="454"/>
      <c r="R19" s="454"/>
      <c r="S19" s="454"/>
      <c r="T19" s="454"/>
      <c r="AD19" s="454"/>
      <c r="AE19" s="454"/>
      <c r="AF19" s="350"/>
      <c r="AG19" s="350"/>
      <c r="AH19" s="350"/>
      <c r="AI19" s="350"/>
      <c r="AJ19" s="350"/>
      <c r="AK19" s="350"/>
      <c r="AL19" s="350"/>
    </row>
    <row r="20" spans="1:38" ht="13.5" customHeight="1">
      <c r="A20" s="97"/>
      <c r="C20" s="872" t="s">
        <v>145</v>
      </c>
      <c r="D20" s="873">
        <v>3.6019999999999999</v>
      </c>
      <c r="E20" s="874">
        <v>3.3710000510000002</v>
      </c>
      <c r="F20" s="875">
        <f t="shared" si="0"/>
        <v>6.8525643875761433E-2</v>
      </c>
      <c r="G20" s="158"/>
      <c r="H20" s="622"/>
      <c r="M20" s="456">
        <v>9</v>
      </c>
      <c r="N20" s="457">
        <v>165.00500489999999</v>
      </c>
      <c r="O20" s="457">
        <v>159.53</v>
      </c>
      <c r="P20" s="457">
        <v>153.34500120000001</v>
      </c>
      <c r="Q20" s="454"/>
      <c r="R20" s="454"/>
      <c r="S20" s="454"/>
      <c r="T20" s="454"/>
      <c r="AD20" s="454"/>
      <c r="AE20" s="454"/>
      <c r="AF20" s="350"/>
      <c r="AG20" s="350"/>
      <c r="AH20" s="350"/>
      <c r="AI20" s="350"/>
      <c r="AJ20" s="350"/>
      <c r="AK20" s="350"/>
      <c r="AL20" s="350"/>
    </row>
    <row r="21" spans="1:38" ht="11.25" customHeight="1">
      <c r="A21" s="97"/>
      <c r="C21" s="872" t="s">
        <v>146</v>
      </c>
      <c r="D21" s="873">
        <v>3.581</v>
      </c>
      <c r="E21" s="874">
        <v>2.8919999600000001</v>
      </c>
      <c r="F21" s="875">
        <f t="shared" ref="F21:F27" si="1">IF(E21=0,"",(D21-E21)/E21)</f>
        <v>0.23824344727860916</v>
      </c>
      <c r="M21" s="456">
        <v>10</v>
      </c>
      <c r="N21" s="457">
        <v>165.00500489999999</v>
      </c>
      <c r="O21" s="457">
        <v>159.53</v>
      </c>
      <c r="P21" s="457">
        <v>153.0590057</v>
      </c>
      <c r="Q21" s="454"/>
      <c r="R21" s="454"/>
      <c r="S21" s="454"/>
      <c r="T21" s="454"/>
      <c r="AD21" s="454"/>
      <c r="AE21" s="454"/>
      <c r="AF21" s="350"/>
      <c r="AG21" s="350"/>
      <c r="AH21" s="350"/>
      <c r="AI21" s="350"/>
      <c r="AJ21" s="350"/>
      <c r="AK21" s="350"/>
      <c r="AL21" s="350"/>
    </row>
    <row r="22" spans="1:38" ht="11.25" customHeight="1">
      <c r="A22" s="97"/>
      <c r="C22" s="876" t="s">
        <v>147</v>
      </c>
      <c r="D22" s="877">
        <v>5.298</v>
      </c>
      <c r="E22" s="878">
        <v>5.1170001029999996</v>
      </c>
      <c r="F22" s="879">
        <f t="shared" si="1"/>
        <v>3.5372267609274352E-2</v>
      </c>
      <c r="G22" s="158"/>
      <c r="H22" s="622"/>
      <c r="M22" s="456">
        <v>11</v>
      </c>
      <c r="N22" s="457">
        <v>186.45199584960901</v>
      </c>
      <c r="O22" s="457">
        <v>184.94</v>
      </c>
      <c r="P22" s="457">
        <v>162.93200680000001</v>
      </c>
      <c r="Q22" s="458"/>
      <c r="R22" s="458"/>
      <c r="S22" s="458"/>
      <c r="T22" s="458"/>
      <c r="AD22" s="458"/>
      <c r="AE22" s="458"/>
      <c r="AF22" s="351"/>
      <c r="AG22" s="351"/>
      <c r="AH22" s="351"/>
      <c r="AI22" s="351"/>
      <c r="AJ22" s="351"/>
      <c r="AK22" s="351"/>
      <c r="AL22" s="351"/>
    </row>
    <row r="23" spans="1:38" ht="11.25" customHeight="1">
      <c r="A23" s="97"/>
      <c r="C23" s="872" t="s">
        <v>573</v>
      </c>
      <c r="D23" s="873">
        <v>0.53400000000000003</v>
      </c>
      <c r="E23" s="874">
        <v>0.827000022</v>
      </c>
      <c r="F23" s="875">
        <f t="shared" si="1"/>
        <v>-0.35429264111918002</v>
      </c>
      <c r="G23" s="158"/>
      <c r="H23" s="622"/>
      <c r="M23" s="456">
        <v>12</v>
      </c>
      <c r="N23" s="457">
        <v>186.45199584960901</v>
      </c>
      <c r="O23" s="457">
        <v>184.94</v>
      </c>
      <c r="P23" s="457">
        <v>172.76199339999999</v>
      </c>
      <c r="Q23" s="458"/>
      <c r="R23" s="458"/>
      <c r="S23" s="458"/>
      <c r="T23" s="458"/>
      <c r="AD23" s="458"/>
      <c r="AE23" s="458"/>
      <c r="AF23" s="351"/>
      <c r="AG23" s="351"/>
      <c r="AH23" s="351"/>
      <c r="AI23" s="351"/>
      <c r="AJ23" s="351"/>
      <c r="AK23" s="351"/>
      <c r="AL23" s="351"/>
    </row>
    <row r="24" spans="1:38" ht="11.25" customHeight="1">
      <c r="A24" s="97"/>
      <c r="C24" s="876" t="s">
        <v>148</v>
      </c>
      <c r="D24" s="877">
        <v>117.40300000000001</v>
      </c>
      <c r="E24" s="878">
        <v>104.45500180000001</v>
      </c>
      <c r="F24" s="879">
        <f t="shared" si="1"/>
        <v>0.12395766575919009</v>
      </c>
      <c r="G24" s="158"/>
      <c r="H24" s="622"/>
      <c r="M24" s="456">
        <v>13</v>
      </c>
      <c r="N24" s="457">
        <v>195.64999389648401</v>
      </c>
      <c r="O24" s="457">
        <v>203.73</v>
      </c>
      <c r="P24" s="457">
        <v>182.13900760000001</v>
      </c>
      <c r="Q24" s="458"/>
      <c r="R24" s="458"/>
      <c r="S24" s="458"/>
      <c r="T24" s="458"/>
      <c r="AD24" s="458"/>
      <c r="AE24" s="458"/>
      <c r="AF24" s="351"/>
      <c r="AG24" s="351"/>
      <c r="AH24" s="351"/>
      <c r="AI24" s="351"/>
      <c r="AJ24" s="351"/>
      <c r="AK24" s="351"/>
      <c r="AL24" s="351"/>
    </row>
    <row r="25" spans="1:38" ht="11.25" customHeight="1">
      <c r="A25" s="97"/>
      <c r="C25" s="872" t="s">
        <v>149</v>
      </c>
      <c r="D25" s="873">
        <v>10.355</v>
      </c>
      <c r="E25" s="874">
        <v>21.58799934</v>
      </c>
      <c r="F25" s="875">
        <f t="shared" si="1"/>
        <v>-0.52033535683812004</v>
      </c>
      <c r="G25" s="158"/>
      <c r="H25" s="622"/>
      <c r="M25" s="456">
        <v>14</v>
      </c>
      <c r="N25" s="457">
        <v>195.64999389648401</v>
      </c>
      <c r="O25" s="457">
        <v>203.73</v>
      </c>
      <c r="P25" s="457">
        <v>191.4750061</v>
      </c>
      <c r="Q25" s="458"/>
      <c r="R25" s="458"/>
      <c r="S25" s="458"/>
      <c r="T25" s="458"/>
      <c r="AD25" s="458"/>
      <c r="AE25" s="458"/>
      <c r="AF25" s="351"/>
      <c r="AG25" s="351"/>
      <c r="AH25" s="351"/>
      <c r="AI25" s="351"/>
      <c r="AJ25" s="351"/>
      <c r="AK25" s="351"/>
      <c r="AL25" s="351"/>
    </row>
    <row r="26" spans="1:38" ht="11.25" customHeight="1">
      <c r="A26" s="97"/>
      <c r="C26" s="876" t="s">
        <v>150</v>
      </c>
      <c r="D26" s="877">
        <v>7.7779999999999996</v>
      </c>
      <c r="E26" s="878">
        <v>8.6539999999999999</v>
      </c>
      <c r="F26" s="879">
        <f t="shared" si="1"/>
        <v>-0.10122486711347357</v>
      </c>
      <c r="G26" s="623"/>
      <c r="H26" s="623"/>
      <c r="M26" s="456">
        <v>15</v>
      </c>
      <c r="N26" s="457">
        <v>201.93600463867099</v>
      </c>
      <c r="O26" s="457">
        <v>203.73</v>
      </c>
      <c r="P26" s="457">
        <v>198.43899540000001</v>
      </c>
      <c r="Q26" s="458"/>
      <c r="R26" s="458"/>
      <c r="S26" s="458"/>
      <c r="T26" s="458"/>
      <c r="AD26" s="458"/>
      <c r="AE26" s="458"/>
      <c r="AF26" s="351"/>
      <c r="AG26" s="351"/>
      <c r="AH26" s="351"/>
      <c r="AI26" s="351"/>
      <c r="AJ26" s="351"/>
      <c r="AK26" s="351"/>
      <c r="AL26" s="351"/>
    </row>
    <row r="27" spans="1:38" ht="11.25" customHeight="1">
      <c r="A27" s="97"/>
      <c r="C27" s="880" t="s">
        <v>151</v>
      </c>
      <c r="D27" s="881">
        <v>151.84100000000001</v>
      </c>
      <c r="E27" s="882">
        <v>158.0939941</v>
      </c>
      <c r="F27" s="883">
        <f t="shared" si="1"/>
        <v>-3.9552382338096645E-2</v>
      </c>
      <c r="G27" s="623"/>
      <c r="H27" s="623"/>
      <c r="M27" s="456">
        <v>16</v>
      </c>
      <c r="N27" s="457">
        <v>201.93600463867099</v>
      </c>
      <c r="O27" s="457">
        <v>222.8</v>
      </c>
      <c r="P27" s="457">
        <v>201.52999879999999</v>
      </c>
      <c r="Q27" s="458"/>
      <c r="R27" s="458"/>
      <c r="S27" s="458"/>
      <c r="T27" s="458"/>
      <c r="AD27" s="458"/>
      <c r="AE27" s="458"/>
      <c r="AF27" s="351"/>
      <c r="AG27" s="351"/>
      <c r="AH27" s="351"/>
      <c r="AI27" s="351"/>
      <c r="AJ27" s="351"/>
      <c r="AK27" s="351"/>
      <c r="AL27" s="351"/>
    </row>
    <row r="28" spans="1:38" ht="26.25" customHeight="1">
      <c r="A28" s="97"/>
      <c r="C28" s="969"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diciembre) </v>
      </c>
      <c r="D28" s="969"/>
      <c r="E28" s="969"/>
      <c r="F28" s="969"/>
      <c r="G28" s="623"/>
      <c r="H28" s="623"/>
      <c r="M28" s="456">
        <v>17</v>
      </c>
      <c r="N28" s="457">
        <v>201.93600463867099</v>
      </c>
      <c r="O28" s="457">
        <v>222.8</v>
      </c>
      <c r="P28" s="457">
        <v>206.03700259999999</v>
      </c>
      <c r="Q28" s="458"/>
      <c r="R28" s="458"/>
      <c r="S28" s="458"/>
      <c r="T28" s="458"/>
      <c r="AD28" s="458"/>
      <c r="AE28" s="458"/>
      <c r="AF28" s="351"/>
      <c r="AG28" s="351"/>
      <c r="AH28" s="351"/>
      <c r="AI28" s="351"/>
      <c r="AJ28" s="351"/>
      <c r="AK28" s="351"/>
      <c r="AL28" s="351"/>
    </row>
    <row r="29" spans="1:38" ht="12" customHeight="1">
      <c r="A29" s="94"/>
      <c r="G29" s="623"/>
      <c r="H29" s="623"/>
      <c r="I29" s="198"/>
      <c r="J29" s="459"/>
      <c r="M29" s="456">
        <v>18</v>
      </c>
      <c r="N29" s="457">
        <v>207.58900451660099</v>
      </c>
      <c r="O29" s="457">
        <v>225.58</v>
      </c>
      <c r="P29" s="457">
        <v>213.67399599999999</v>
      </c>
      <c r="Q29" s="458"/>
      <c r="R29" s="458"/>
      <c r="S29" s="458"/>
      <c r="T29" s="458"/>
      <c r="AD29" s="458"/>
      <c r="AE29" s="458"/>
      <c r="AF29" s="351"/>
      <c r="AG29" s="351"/>
      <c r="AH29" s="351"/>
      <c r="AI29" s="351"/>
      <c r="AJ29" s="351"/>
      <c r="AK29" s="351"/>
      <c r="AL29" s="351"/>
    </row>
    <row r="30" spans="1:38" ht="11.25" customHeight="1">
      <c r="A30" s="94"/>
      <c r="B30" s="206"/>
      <c r="C30" s="206"/>
      <c r="D30" s="206"/>
      <c r="E30" s="206"/>
      <c r="F30" s="204"/>
      <c r="G30" s="623"/>
      <c r="H30" s="623"/>
      <c r="M30" s="456">
        <v>19</v>
      </c>
      <c r="N30" s="457">
        <v>207.58900451660099</v>
      </c>
      <c r="O30" s="457">
        <v>225.58</v>
      </c>
      <c r="P30" s="457">
        <v>216.75700380000001</v>
      </c>
      <c r="Q30" s="458"/>
      <c r="R30" s="458"/>
      <c r="S30" s="458"/>
      <c r="T30" s="458"/>
      <c r="AD30" s="458"/>
      <c r="AE30" s="458"/>
      <c r="AF30" s="351"/>
      <c r="AG30" s="351"/>
      <c r="AH30" s="351"/>
      <c r="AI30" s="351"/>
      <c r="AJ30" s="351"/>
      <c r="AK30" s="351"/>
      <c r="AL30" s="351"/>
    </row>
    <row r="31" spans="1:38" ht="11.25" customHeight="1">
      <c r="A31" s="94"/>
      <c r="B31" s="206"/>
      <c r="C31" s="206"/>
      <c r="D31" s="206"/>
      <c r="E31" s="206"/>
      <c r="F31" s="204"/>
      <c r="G31" s="204"/>
      <c r="H31" s="204"/>
      <c r="I31" s="198"/>
      <c r="J31" s="459"/>
      <c r="M31" s="456">
        <v>20</v>
      </c>
      <c r="N31" s="457">
        <v>205.7</v>
      </c>
      <c r="O31" s="457">
        <v>226.61</v>
      </c>
      <c r="P31" s="457">
        <v>217.29400630000001</v>
      </c>
      <c r="Q31" s="458"/>
      <c r="R31" s="458"/>
      <c r="S31" s="458"/>
      <c r="T31" s="458"/>
      <c r="AD31" s="458"/>
      <c r="AE31" s="458"/>
      <c r="AF31" s="351"/>
      <c r="AG31" s="351"/>
      <c r="AH31" s="351"/>
      <c r="AI31" s="351"/>
      <c r="AJ31" s="351"/>
      <c r="AK31" s="351"/>
      <c r="AL31" s="351"/>
    </row>
    <row r="32" spans="1:38" ht="11.25" customHeight="1">
      <c r="A32" s="968" t="s">
        <v>473</v>
      </c>
      <c r="B32" s="968"/>
      <c r="C32" s="968"/>
      <c r="D32" s="968"/>
      <c r="E32" s="968"/>
      <c r="F32" s="968"/>
      <c r="G32" s="968"/>
      <c r="H32" s="968"/>
      <c r="I32" s="197"/>
      <c r="J32" s="459"/>
      <c r="M32" s="456">
        <v>21</v>
      </c>
      <c r="N32" s="457">
        <v>205.7</v>
      </c>
      <c r="O32" s="457">
        <v>226.61</v>
      </c>
      <c r="P32" s="457">
        <v>218.3190002</v>
      </c>
      <c r="Q32" s="458"/>
      <c r="R32" s="458"/>
      <c r="S32" s="458"/>
      <c r="T32" s="458"/>
      <c r="AD32" s="458"/>
      <c r="AE32" s="458"/>
      <c r="AF32" s="351"/>
      <c r="AG32" s="351"/>
      <c r="AH32" s="351"/>
      <c r="AI32" s="351"/>
      <c r="AJ32" s="351"/>
      <c r="AK32" s="351"/>
      <c r="AL32" s="351"/>
    </row>
    <row r="33" spans="1:38" ht="11.25" customHeight="1">
      <c r="A33" s="94"/>
      <c r="B33" s="102"/>
      <c r="C33" s="102"/>
      <c r="D33" s="102"/>
      <c r="E33" s="102"/>
      <c r="F33" s="102"/>
      <c r="G33" s="102"/>
      <c r="H33" s="102"/>
      <c r="I33" s="197"/>
      <c r="J33" s="459"/>
      <c r="M33" s="456">
        <v>22</v>
      </c>
      <c r="N33" s="457">
        <v>204.65</v>
      </c>
      <c r="O33" s="457">
        <v>227.42</v>
      </c>
      <c r="P33" s="457">
        <v>218.79899599999999</v>
      </c>
      <c r="Q33" s="458"/>
      <c r="R33" s="458"/>
      <c r="S33" s="458"/>
      <c r="T33" s="458"/>
      <c r="AD33" s="458"/>
      <c r="AE33" s="458"/>
      <c r="AF33" s="351"/>
      <c r="AG33" s="351"/>
      <c r="AH33" s="351"/>
      <c r="AI33" s="351"/>
      <c r="AJ33" s="351"/>
      <c r="AK33" s="351"/>
      <c r="AL33" s="351"/>
    </row>
    <row r="34" spans="1:38" ht="11.25" customHeight="1">
      <c r="A34" s="94"/>
      <c r="B34" s="102"/>
      <c r="C34" s="102"/>
      <c r="D34" s="102"/>
      <c r="E34" s="102"/>
      <c r="F34" s="102"/>
      <c r="G34" s="102"/>
      <c r="H34" s="102"/>
      <c r="I34" s="197"/>
      <c r="J34" s="459"/>
      <c r="M34" s="456">
        <v>23</v>
      </c>
      <c r="N34" s="457">
        <v>204.65</v>
      </c>
      <c r="O34" s="457">
        <v>227.42</v>
      </c>
      <c r="P34" s="457">
        <v>217.8880005</v>
      </c>
      <c r="Q34" s="458"/>
      <c r="R34" s="458"/>
      <c r="S34" s="458"/>
      <c r="T34" s="458"/>
      <c r="AD34" s="458"/>
      <c r="AE34" s="458"/>
      <c r="AF34" s="351"/>
      <c r="AG34" s="351"/>
      <c r="AH34" s="351"/>
      <c r="AI34" s="351"/>
      <c r="AJ34" s="351"/>
      <c r="AK34" s="351"/>
      <c r="AL34" s="351"/>
    </row>
    <row r="35" spans="1:38" ht="11.25" customHeight="1">
      <c r="A35" s="94"/>
      <c r="B35" s="102"/>
      <c r="C35" s="102"/>
      <c r="D35" s="102"/>
      <c r="E35" s="102"/>
      <c r="F35" s="102"/>
      <c r="G35" s="102"/>
      <c r="H35" s="102"/>
      <c r="I35" s="199"/>
      <c r="J35" s="459"/>
      <c r="M35" s="456">
        <v>24</v>
      </c>
      <c r="N35" s="457">
        <v>200.38</v>
      </c>
      <c r="O35" s="457">
        <v>227.45</v>
      </c>
      <c r="P35" s="457">
        <v>216.04899599999999</v>
      </c>
      <c r="Q35" s="458"/>
      <c r="R35" s="458"/>
      <c r="S35" s="458"/>
      <c r="T35" s="458"/>
      <c r="AD35" s="458"/>
      <c r="AE35" s="458"/>
      <c r="AF35" s="351"/>
      <c r="AG35" s="351"/>
      <c r="AH35" s="351"/>
      <c r="AI35" s="351"/>
      <c r="AJ35" s="351"/>
      <c r="AK35" s="351"/>
      <c r="AL35" s="351"/>
    </row>
    <row r="36" spans="1:38" ht="11.25" customHeight="1">
      <c r="A36" s="94"/>
      <c r="B36" s="102"/>
      <c r="C36" s="102"/>
      <c r="D36" s="102"/>
      <c r="E36" s="102"/>
      <c r="F36" s="102"/>
      <c r="G36" s="102"/>
      <c r="H36" s="102"/>
      <c r="I36" s="197"/>
      <c r="J36" s="459"/>
      <c r="M36" s="456">
        <v>25</v>
      </c>
      <c r="N36" s="457">
        <v>200.38</v>
      </c>
      <c r="O36" s="457">
        <v>227.45</v>
      </c>
      <c r="P36" s="457">
        <v>212.24600219999999</v>
      </c>
      <c r="Q36" s="458"/>
      <c r="R36" s="458"/>
      <c r="S36" s="458"/>
      <c r="T36" s="458"/>
      <c r="AD36" s="458"/>
      <c r="AE36" s="458"/>
      <c r="AF36" s="351"/>
      <c r="AG36" s="351"/>
      <c r="AH36" s="351"/>
      <c r="AI36" s="351"/>
      <c r="AJ36" s="351"/>
      <c r="AK36" s="351"/>
      <c r="AL36" s="351"/>
    </row>
    <row r="37" spans="1:38" ht="11.25" customHeight="1">
      <c r="A37" s="94"/>
      <c r="B37" s="102"/>
      <c r="C37" s="102"/>
      <c r="D37" s="102"/>
      <c r="E37" s="102"/>
      <c r="F37" s="102"/>
      <c r="G37" s="102"/>
      <c r="H37" s="102"/>
      <c r="I37" s="197"/>
      <c r="J37" s="460"/>
      <c r="M37" s="456">
        <v>26</v>
      </c>
      <c r="N37" s="457">
        <v>193.55099487304599</v>
      </c>
      <c r="O37" s="457">
        <v>225.56</v>
      </c>
      <c r="P37" s="457">
        <v>210.22099299999999</v>
      </c>
      <c r="Q37" s="458"/>
      <c r="R37" s="458"/>
      <c r="S37" s="458"/>
      <c r="T37" s="458"/>
      <c r="AD37" s="458"/>
      <c r="AE37" s="458"/>
      <c r="AF37" s="351"/>
      <c r="AG37" s="351"/>
      <c r="AH37" s="351"/>
      <c r="AI37" s="351"/>
      <c r="AJ37" s="351"/>
      <c r="AK37" s="351"/>
      <c r="AL37" s="351"/>
    </row>
    <row r="38" spans="1:38" ht="11.25" customHeight="1">
      <c r="A38" s="94"/>
      <c r="B38" s="102"/>
      <c r="C38" s="102"/>
      <c r="D38" s="102"/>
      <c r="E38" s="102"/>
      <c r="F38" s="102"/>
      <c r="G38" s="102"/>
      <c r="H38" s="102"/>
      <c r="I38" s="197"/>
      <c r="J38" s="460"/>
      <c r="M38" s="456">
        <v>27</v>
      </c>
      <c r="N38" s="457">
        <v>193.55099487304599</v>
      </c>
      <c r="O38" s="457">
        <v>225.56</v>
      </c>
      <c r="P38" s="457">
        <v>209.85200499999999</v>
      </c>
      <c r="Q38" s="458"/>
      <c r="R38" s="458"/>
      <c r="S38" s="458"/>
      <c r="T38" s="458"/>
      <c r="AD38" s="458"/>
      <c r="AE38" s="458"/>
      <c r="AF38" s="351"/>
      <c r="AG38" s="351"/>
      <c r="AH38" s="351"/>
      <c r="AI38" s="351"/>
      <c r="AJ38" s="351"/>
      <c r="AK38" s="351"/>
      <c r="AL38" s="351"/>
    </row>
    <row r="39" spans="1:38" ht="11.25" customHeight="1">
      <c r="A39" s="94"/>
      <c r="B39" s="102"/>
      <c r="C39" s="102"/>
      <c r="D39" s="102"/>
      <c r="E39" s="102"/>
      <c r="F39" s="102"/>
      <c r="G39" s="102"/>
      <c r="H39" s="102"/>
      <c r="I39" s="197"/>
      <c r="J39" s="461"/>
      <c r="M39" s="456">
        <v>28</v>
      </c>
      <c r="N39" s="457">
        <v>186.01199339999999</v>
      </c>
      <c r="O39" s="462">
        <v>225.56</v>
      </c>
      <c r="P39" s="462">
        <v>203.92900090000001</v>
      </c>
      <c r="Q39" s="458"/>
      <c r="R39" s="458"/>
      <c r="S39" s="458"/>
      <c r="T39" s="458"/>
      <c r="AD39" s="458"/>
      <c r="AE39" s="458"/>
      <c r="AF39" s="351"/>
      <c r="AG39" s="351"/>
      <c r="AH39" s="351"/>
      <c r="AI39" s="351"/>
      <c r="AJ39" s="351"/>
      <c r="AK39" s="351"/>
      <c r="AL39" s="351"/>
    </row>
    <row r="40" spans="1:38" ht="11.25" customHeight="1">
      <c r="A40" s="94"/>
      <c r="B40" s="102"/>
      <c r="C40" s="102"/>
      <c r="D40" s="102"/>
      <c r="E40" s="102"/>
      <c r="F40" s="102"/>
      <c r="G40" s="102"/>
      <c r="H40" s="102"/>
      <c r="I40" s="197"/>
      <c r="J40" s="461"/>
      <c r="M40" s="456">
        <v>29</v>
      </c>
      <c r="N40" s="457">
        <v>186.01199339999999</v>
      </c>
      <c r="O40" s="457">
        <v>222.04</v>
      </c>
      <c r="P40" s="457">
        <v>200.56300350000001</v>
      </c>
      <c r="Q40" s="458"/>
      <c r="R40" s="458"/>
      <c r="S40" s="458"/>
      <c r="T40" s="458"/>
      <c r="AD40" s="458"/>
      <c r="AE40" s="458"/>
      <c r="AF40" s="351"/>
      <c r="AG40" s="351"/>
      <c r="AH40" s="351"/>
      <c r="AI40" s="351"/>
      <c r="AJ40" s="351"/>
      <c r="AK40" s="351"/>
      <c r="AL40" s="351"/>
    </row>
    <row r="41" spans="1:38" ht="11.25" customHeight="1">
      <c r="A41" s="94"/>
      <c r="B41" s="102"/>
      <c r="C41" s="102"/>
      <c r="D41" s="102"/>
      <c r="E41" s="102"/>
      <c r="F41" s="102"/>
      <c r="G41" s="102"/>
      <c r="H41" s="102"/>
      <c r="I41" s="197"/>
      <c r="J41" s="461"/>
      <c r="M41" s="456">
        <v>30</v>
      </c>
      <c r="N41" s="457">
        <v>186.01199339999999</v>
      </c>
      <c r="O41" s="457">
        <v>222.04</v>
      </c>
      <c r="P41" s="457">
        <v>194.94900509999999</v>
      </c>
      <c r="Q41" s="458"/>
      <c r="R41" s="458"/>
      <c r="S41" s="458"/>
      <c r="T41" s="458"/>
      <c r="AD41" s="458"/>
      <c r="AE41" s="458"/>
      <c r="AF41" s="351"/>
      <c r="AG41" s="351"/>
      <c r="AH41" s="351"/>
      <c r="AI41" s="351"/>
      <c r="AJ41" s="351"/>
      <c r="AK41" s="351"/>
      <c r="AL41" s="351"/>
    </row>
    <row r="42" spans="1:38" ht="11.25" customHeight="1">
      <c r="A42" s="94"/>
      <c r="B42" s="102"/>
      <c r="C42" s="102"/>
      <c r="D42" s="102"/>
      <c r="E42" s="102"/>
      <c r="F42" s="102"/>
      <c r="G42" s="102"/>
      <c r="H42" s="102"/>
      <c r="I42" s="199"/>
      <c r="J42" s="460"/>
      <c r="M42" s="456">
        <v>31</v>
      </c>
      <c r="N42" s="457">
        <v>178.58200070000001</v>
      </c>
      <c r="O42" s="457">
        <v>213.13</v>
      </c>
      <c r="P42" s="457">
        <v>188.386</v>
      </c>
      <c r="Q42" s="458"/>
      <c r="R42" s="458"/>
      <c r="S42" s="458"/>
      <c r="T42" s="458"/>
      <c r="AD42" s="458"/>
      <c r="AE42" s="458"/>
      <c r="AF42" s="351"/>
      <c r="AG42" s="351"/>
      <c r="AH42" s="351"/>
      <c r="AI42" s="351"/>
      <c r="AJ42" s="351"/>
      <c r="AK42" s="351"/>
      <c r="AL42" s="351"/>
    </row>
    <row r="43" spans="1:38" ht="11.25" customHeight="1">
      <c r="A43" s="94"/>
      <c r="B43" s="102"/>
      <c r="C43" s="102"/>
      <c r="D43" s="102"/>
      <c r="E43" s="102"/>
      <c r="F43" s="102"/>
      <c r="G43" s="102"/>
      <c r="H43" s="102"/>
      <c r="I43" s="197"/>
      <c r="J43" s="460"/>
      <c r="M43" s="456">
        <v>32</v>
      </c>
      <c r="N43" s="457">
        <v>178.58200070000001</v>
      </c>
      <c r="O43" s="457">
        <v>213.13</v>
      </c>
      <c r="P43" s="457">
        <v>184.72900390000001</v>
      </c>
      <c r="Q43" s="458"/>
      <c r="R43" s="458"/>
      <c r="S43" s="458"/>
      <c r="T43" s="458"/>
      <c r="AD43" s="458"/>
      <c r="AE43" s="458"/>
      <c r="AF43" s="351"/>
      <c r="AG43" s="351"/>
      <c r="AH43" s="351"/>
      <c r="AI43" s="351"/>
      <c r="AJ43" s="351"/>
      <c r="AK43" s="351"/>
      <c r="AL43" s="351"/>
    </row>
    <row r="44" spans="1:38" ht="11.25" customHeight="1">
      <c r="A44" s="94"/>
      <c r="B44" s="102"/>
      <c r="C44" s="102"/>
      <c r="D44" s="102"/>
      <c r="E44" s="102"/>
      <c r="F44" s="102"/>
      <c r="G44" s="102"/>
      <c r="H44" s="102"/>
      <c r="I44" s="197"/>
      <c r="J44" s="460"/>
      <c r="M44" s="456">
        <v>33</v>
      </c>
      <c r="N44" s="457">
        <v>169.01100159999999</v>
      </c>
      <c r="O44" s="457">
        <v>205.97</v>
      </c>
      <c r="P44" s="457">
        <v>178.8809967</v>
      </c>
      <c r="Q44" s="458"/>
      <c r="R44" s="458"/>
      <c r="S44" s="458"/>
      <c r="T44" s="458"/>
      <c r="AD44" s="458"/>
      <c r="AE44" s="458"/>
      <c r="AF44" s="351"/>
      <c r="AG44" s="351"/>
      <c r="AH44" s="351"/>
      <c r="AI44" s="351"/>
      <c r="AJ44" s="351"/>
      <c r="AK44" s="351"/>
      <c r="AL44" s="351"/>
    </row>
    <row r="45" spans="1:38" ht="11.25" customHeight="1">
      <c r="A45" s="94"/>
      <c r="B45" s="102"/>
      <c r="C45" s="102"/>
      <c r="D45" s="102"/>
      <c r="E45" s="102"/>
      <c r="F45" s="102"/>
      <c r="G45" s="102"/>
      <c r="H45" s="102"/>
      <c r="I45" s="200"/>
      <c r="J45" s="463"/>
      <c r="M45" s="456">
        <v>34</v>
      </c>
      <c r="N45" s="457">
        <v>169.01100159999999</v>
      </c>
      <c r="O45" s="457">
        <v>199.49</v>
      </c>
      <c r="P45" s="457">
        <v>176.98599239999999</v>
      </c>
      <c r="Q45" s="458"/>
      <c r="R45" s="458"/>
      <c r="S45" s="458"/>
      <c r="T45" s="458"/>
      <c r="AD45" s="458"/>
      <c r="AE45" s="458"/>
      <c r="AF45" s="351"/>
      <c r="AG45" s="351"/>
      <c r="AH45" s="351"/>
      <c r="AI45" s="351"/>
      <c r="AJ45" s="351"/>
      <c r="AK45" s="351"/>
      <c r="AL45" s="351"/>
    </row>
    <row r="46" spans="1:38" ht="11.25" customHeight="1">
      <c r="A46" s="94"/>
      <c r="B46" s="102"/>
      <c r="C46" s="102"/>
      <c r="D46" s="102"/>
      <c r="E46" s="102"/>
      <c r="F46" s="102"/>
      <c r="G46" s="102"/>
      <c r="H46" s="102"/>
      <c r="I46" s="201"/>
      <c r="J46" s="464"/>
      <c r="M46" s="456">
        <v>35</v>
      </c>
      <c r="N46" s="465">
        <v>158.09199523925699</v>
      </c>
      <c r="O46" s="457">
        <v>193.4</v>
      </c>
      <c r="P46" s="457">
        <v>173.36999510000001</v>
      </c>
      <c r="Q46" s="458"/>
      <c r="R46" s="458"/>
      <c r="S46" s="458"/>
      <c r="T46" s="458"/>
      <c r="AD46" s="458"/>
      <c r="AE46" s="458"/>
      <c r="AF46" s="351"/>
      <c r="AG46" s="351"/>
      <c r="AH46" s="351"/>
      <c r="AI46" s="351"/>
      <c r="AJ46" s="351"/>
      <c r="AK46" s="351"/>
      <c r="AL46" s="351"/>
    </row>
    <row r="47" spans="1:38" ht="11.25" customHeight="1">
      <c r="A47" s="94"/>
      <c r="B47" s="102"/>
      <c r="C47" s="102"/>
      <c r="D47" s="102"/>
      <c r="E47" s="102"/>
      <c r="F47" s="102"/>
      <c r="G47" s="102"/>
      <c r="H47" s="102"/>
      <c r="I47" s="201"/>
      <c r="J47" s="464"/>
      <c r="M47" s="456">
        <v>36</v>
      </c>
      <c r="N47" s="465">
        <v>158.09199523925699</v>
      </c>
      <c r="O47" s="457">
        <v>187.93</v>
      </c>
      <c r="P47" s="457">
        <v>167.63</v>
      </c>
      <c r="Q47" s="458"/>
      <c r="R47" s="458"/>
      <c r="S47" s="458"/>
      <c r="T47" s="458"/>
      <c r="AD47" s="458"/>
      <c r="AE47" s="458"/>
      <c r="AF47" s="351"/>
      <c r="AG47" s="351"/>
      <c r="AH47" s="351"/>
      <c r="AI47" s="351"/>
      <c r="AJ47" s="351"/>
      <c r="AK47" s="351"/>
      <c r="AL47" s="351"/>
    </row>
    <row r="48" spans="1:38" ht="11.25" customHeight="1">
      <c r="A48" s="94"/>
      <c r="B48" s="102"/>
      <c r="C48" s="102"/>
      <c r="D48" s="102"/>
      <c r="E48" s="102"/>
      <c r="F48" s="102"/>
      <c r="G48" s="102"/>
      <c r="H48" s="102"/>
      <c r="I48" s="201"/>
      <c r="J48" s="464"/>
      <c r="M48" s="456">
        <v>37</v>
      </c>
      <c r="N48" s="457">
        <v>147.0650024</v>
      </c>
      <c r="O48" s="457">
        <v>182.85</v>
      </c>
      <c r="P48" s="457">
        <v>162.30700680000001</v>
      </c>
      <c r="Q48" s="458"/>
      <c r="R48" s="458"/>
      <c r="S48" s="458"/>
      <c r="T48" s="458"/>
      <c r="AD48" s="458"/>
      <c r="AE48" s="458"/>
      <c r="AF48" s="351"/>
      <c r="AG48" s="351"/>
      <c r="AH48" s="351"/>
      <c r="AI48" s="351"/>
      <c r="AJ48" s="351"/>
      <c r="AK48" s="351"/>
      <c r="AL48" s="351"/>
    </row>
    <row r="49" spans="1:38" ht="11.25" customHeight="1">
      <c r="A49" s="94"/>
      <c r="B49" s="102"/>
      <c r="C49" s="102"/>
      <c r="D49" s="102"/>
      <c r="E49" s="102"/>
      <c r="F49" s="102"/>
      <c r="G49" s="102"/>
      <c r="H49" s="102"/>
      <c r="I49" s="201"/>
      <c r="J49" s="464"/>
      <c r="M49" s="456">
        <v>38</v>
      </c>
      <c r="N49" s="457">
        <v>147.0650024</v>
      </c>
      <c r="O49" s="457">
        <v>179.77</v>
      </c>
      <c r="P49" s="457">
        <v>159.02699279999999</v>
      </c>
      <c r="Q49" s="458"/>
      <c r="R49" s="458"/>
      <c r="S49" s="458"/>
      <c r="T49" s="458"/>
      <c r="AD49" s="458"/>
      <c r="AE49" s="458"/>
      <c r="AF49" s="351"/>
      <c r="AG49" s="351"/>
      <c r="AH49" s="351"/>
      <c r="AI49" s="351"/>
      <c r="AJ49" s="351"/>
      <c r="AK49" s="351"/>
      <c r="AL49" s="351"/>
    </row>
    <row r="50" spans="1:38" ht="12.75">
      <c r="A50" s="94"/>
      <c r="B50" s="102"/>
      <c r="C50" s="102"/>
      <c r="D50" s="102"/>
      <c r="E50" s="102"/>
      <c r="F50" s="102"/>
      <c r="G50" s="102"/>
      <c r="H50" s="102"/>
      <c r="I50" s="201"/>
      <c r="J50" s="464"/>
      <c r="M50" s="456">
        <v>39</v>
      </c>
      <c r="N50" s="457">
        <v>139.11000060000001</v>
      </c>
      <c r="O50" s="457">
        <v>173.62</v>
      </c>
      <c r="P50" s="457">
        <v>153.61700440000001</v>
      </c>
      <c r="Q50" s="458"/>
      <c r="R50" s="458"/>
      <c r="S50" s="458"/>
      <c r="T50" s="458"/>
      <c r="AD50" s="458"/>
      <c r="AE50" s="458"/>
      <c r="AF50" s="351"/>
      <c r="AG50" s="351"/>
      <c r="AH50" s="351"/>
      <c r="AI50" s="351"/>
      <c r="AJ50" s="351"/>
      <c r="AK50" s="351"/>
      <c r="AL50" s="351"/>
    </row>
    <row r="51" spans="1:38" ht="12.75">
      <c r="A51" s="94"/>
      <c r="B51" s="102"/>
      <c r="C51" s="102"/>
      <c r="D51" s="102"/>
      <c r="E51" s="102"/>
      <c r="F51" s="102"/>
      <c r="G51" s="102"/>
      <c r="H51" s="102"/>
      <c r="I51" s="201"/>
      <c r="J51" s="464"/>
      <c r="M51" s="456">
        <v>40</v>
      </c>
      <c r="N51" s="457">
        <v>139.11000060000001</v>
      </c>
      <c r="O51" s="457">
        <v>163</v>
      </c>
      <c r="P51" s="457">
        <v>151.72999569999999</v>
      </c>
      <c r="Q51" s="458"/>
      <c r="R51" s="458"/>
      <c r="S51" s="458"/>
      <c r="T51" s="458"/>
      <c r="AD51" s="458"/>
      <c r="AE51" s="458"/>
      <c r="AF51" s="351"/>
      <c r="AG51" s="351"/>
      <c r="AH51" s="351"/>
      <c r="AI51" s="351"/>
      <c r="AJ51" s="351"/>
      <c r="AK51" s="351"/>
      <c r="AL51" s="351"/>
    </row>
    <row r="52" spans="1:38" ht="12.75">
      <c r="A52" s="94"/>
      <c r="B52" s="102"/>
      <c r="C52" s="102"/>
      <c r="D52" s="102"/>
      <c r="E52" s="102"/>
      <c r="F52" s="102"/>
      <c r="G52" s="102"/>
      <c r="H52" s="102"/>
      <c r="I52" s="201"/>
      <c r="J52" s="464"/>
      <c r="M52" s="456">
        <v>41</v>
      </c>
      <c r="N52" s="457">
        <v>139.11000060000001</v>
      </c>
      <c r="O52" s="457">
        <v>156.5</v>
      </c>
      <c r="P52" s="457">
        <v>147.996002197265</v>
      </c>
      <c r="Q52" s="458"/>
      <c r="R52" s="458"/>
      <c r="S52" s="458"/>
      <c r="T52" s="458"/>
      <c r="AD52" s="458"/>
      <c r="AE52" s="458"/>
      <c r="AF52" s="351"/>
      <c r="AG52" s="351"/>
      <c r="AH52" s="351"/>
      <c r="AI52" s="351"/>
      <c r="AJ52" s="351"/>
      <c r="AK52" s="351"/>
      <c r="AL52" s="351"/>
    </row>
    <row r="53" spans="1:38" ht="12.75">
      <c r="A53" s="94"/>
      <c r="B53" s="102"/>
      <c r="C53" s="102"/>
      <c r="D53" s="102"/>
      <c r="E53" s="102"/>
      <c r="F53" s="102"/>
      <c r="G53" s="102"/>
      <c r="H53" s="102"/>
      <c r="I53" s="201"/>
      <c r="J53" s="464"/>
      <c r="M53" s="456">
        <v>42</v>
      </c>
      <c r="N53" s="457">
        <v>128.34500120000001</v>
      </c>
      <c r="O53" s="457">
        <v>152.78</v>
      </c>
      <c r="P53" s="457">
        <v>144.53999328613199</v>
      </c>
      <c r="Q53" s="458"/>
      <c r="R53" s="458"/>
      <c r="S53" s="458"/>
      <c r="T53" s="458"/>
      <c r="AD53" s="458"/>
      <c r="AE53" s="458"/>
      <c r="AF53" s="351"/>
      <c r="AG53" s="351"/>
      <c r="AH53" s="351"/>
      <c r="AI53" s="351"/>
      <c r="AJ53" s="351"/>
      <c r="AK53" s="351"/>
      <c r="AL53" s="351"/>
    </row>
    <row r="54" spans="1:38" ht="12.75">
      <c r="A54" s="94"/>
      <c r="B54" s="102"/>
      <c r="C54" s="102"/>
      <c r="D54" s="102"/>
      <c r="E54" s="102"/>
      <c r="F54" s="102"/>
      <c r="G54" s="102"/>
      <c r="H54" s="102"/>
      <c r="I54" s="201"/>
      <c r="J54" s="464"/>
      <c r="M54" s="456">
        <v>43</v>
      </c>
      <c r="N54" s="457">
        <v>128.34500120000001</v>
      </c>
      <c r="O54" s="457">
        <v>148.63</v>
      </c>
      <c r="P54" s="457">
        <v>143.72300720214801</v>
      </c>
      <c r="Q54" s="458"/>
      <c r="R54" s="458"/>
      <c r="S54" s="458"/>
      <c r="T54" s="458"/>
      <c r="AD54" s="458"/>
      <c r="AE54" s="458"/>
      <c r="AF54" s="351"/>
      <c r="AG54" s="351"/>
      <c r="AH54" s="351"/>
      <c r="AI54" s="351"/>
      <c r="AJ54" s="351"/>
      <c r="AK54" s="351"/>
      <c r="AL54" s="351"/>
    </row>
    <row r="55" spans="1:38" ht="12.75">
      <c r="A55" s="94"/>
      <c r="B55" s="102"/>
      <c r="C55" s="102"/>
      <c r="D55" s="102"/>
      <c r="E55" s="102"/>
      <c r="F55" s="102"/>
      <c r="G55" s="102"/>
      <c r="H55" s="102"/>
      <c r="I55" s="201"/>
      <c r="J55" s="464"/>
      <c r="M55" s="456">
        <v>44</v>
      </c>
      <c r="N55" s="457">
        <v>121.20099639999999</v>
      </c>
      <c r="O55" s="457">
        <v>142.91</v>
      </c>
      <c r="P55" s="457">
        <v>142.33900449999999</v>
      </c>
      <c r="Q55" s="458"/>
      <c r="R55" s="458"/>
      <c r="S55" s="458"/>
      <c r="T55" s="458"/>
      <c r="AD55" s="458"/>
      <c r="AE55" s="458"/>
      <c r="AF55" s="351"/>
      <c r="AG55" s="351"/>
      <c r="AH55" s="351"/>
      <c r="AI55" s="351"/>
      <c r="AJ55" s="351"/>
      <c r="AK55" s="351"/>
      <c r="AL55" s="351"/>
    </row>
    <row r="56" spans="1:38" ht="12.75">
      <c r="A56" s="94"/>
      <c r="B56" s="102"/>
      <c r="C56" s="102"/>
      <c r="D56" s="102"/>
      <c r="E56" s="102"/>
      <c r="F56" s="102"/>
      <c r="G56" s="102"/>
      <c r="H56" s="102"/>
      <c r="I56" s="201"/>
      <c r="J56" s="464"/>
      <c r="M56" s="456">
        <v>45</v>
      </c>
      <c r="N56" s="457">
        <v>121.20099639999999</v>
      </c>
      <c r="O56" s="457">
        <v>137.04</v>
      </c>
      <c r="P56" s="457">
        <v>143.13200380000001</v>
      </c>
      <c r="Q56" s="458"/>
      <c r="R56" s="458"/>
      <c r="S56" s="458"/>
      <c r="T56" s="458"/>
      <c r="AD56" s="458"/>
      <c r="AE56" s="458"/>
      <c r="AF56" s="351"/>
      <c r="AG56" s="351"/>
      <c r="AH56" s="351"/>
      <c r="AI56" s="351"/>
      <c r="AJ56" s="351"/>
      <c r="AK56" s="351"/>
      <c r="AL56" s="351"/>
    </row>
    <row r="57" spans="1:38" ht="12.75">
      <c r="A57" s="94"/>
      <c r="B57" s="102"/>
      <c r="C57" s="102"/>
      <c r="D57" s="102"/>
      <c r="E57" s="102"/>
      <c r="F57" s="102"/>
      <c r="G57" s="102"/>
      <c r="H57" s="102"/>
      <c r="M57" s="456">
        <v>46</v>
      </c>
      <c r="N57" s="457">
        <v>112.1429977</v>
      </c>
      <c r="O57" s="457">
        <v>131.22999999999999</v>
      </c>
      <c r="P57" s="457">
        <v>141.37</v>
      </c>
      <c r="Q57" s="458"/>
      <c r="R57" s="458"/>
      <c r="S57" s="458"/>
      <c r="T57" s="458"/>
      <c r="AD57" s="458"/>
      <c r="AE57" s="458"/>
      <c r="AF57" s="351"/>
      <c r="AG57" s="351"/>
      <c r="AH57" s="351"/>
      <c r="AI57" s="351"/>
      <c r="AJ57" s="351"/>
      <c r="AK57" s="351"/>
      <c r="AL57" s="351"/>
    </row>
    <row r="58" spans="1:38" ht="12.75">
      <c r="A58" s="94"/>
      <c r="B58" s="102"/>
      <c r="C58" s="102"/>
      <c r="D58" s="102"/>
      <c r="E58" s="102"/>
      <c r="F58" s="102"/>
      <c r="G58" s="102"/>
      <c r="H58" s="102"/>
      <c r="M58" s="456">
        <v>47</v>
      </c>
      <c r="N58" s="457">
        <v>112.1429977</v>
      </c>
      <c r="O58" s="457">
        <v>125.5</v>
      </c>
      <c r="P58" s="457">
        <v>140.33900449999999</v>
      </c>
      <c r="Q58" s="458"/>
      <c r="R58" s="458"/>
      <c r="S58" s="458"/>
      <c r="T58" s="458"/>
      <c r="AD58" s="458"/>
      <c r="AE58" s="458"/>
      <c r="AF58" s="351"/>
      <c r="AG58" s="351"/>
      <c r="AH58" s="351"/>
      <c r="AI58" s="351"/>
      <c r="AJ58" s="351"/>
      <c r="AK58" s="351"/>
      <c r="AL58" s="351"/>
    </row>
    <row r="59" spans="1:38" ht="12.75">
      <c r="A59" s="347" t="s">
        <v>522</v>
      </c>
      <c r="B59" s="102"/>
      <c r="C59" s="102"/>
      <c r="D59" s="102"/>
      <c r="E59" s="102"/>
      <c r="F59" s="102"/>
      <c r="G59" s="102"/>
      <c r="H59" s="102"/>
      <c r="M59" s="456">
        <v>48</v>
      </c>
      <c r="N59" s="457">
        <v>101.13500209999999</v>
      </c>
      <c r="O59" s="457">
        <v>120.41</v>
      </c>
      <c r="P59" s="457">
        <v>137.8150024</v>
      </c>
      <c r="Q59" s="458"/>
      <c r="R59" s="458"/>
      <c r="S59" s="458"/>
      <c r="T59" s="458"/>
      <c r="AD59" s="458"/>
      <c r="AE59" s="458"/>
      <c r="AF59" s="351"/>
      <c r="AG59" s="351"/>
      <c r="AH59" s="351"/>
      <c r="AI59" s="351"/>
      <c r="AJ59" s="351"/>
      <c r="AK59" s="351"/>
      <c r="AL59" s="351"/>
    </row>
    <row r="60" spans="1:38" ht="12.75">
      <c r="A60" s="93"/>
      <c r="B60" s="102"/>
      <c r="C60" s="102"/>
      <c r="D60" s="102"/>
      <c r="E60" s="102"/>
      <c r="F60" s="102"/>
      <c r="G60" s="102"/>
      <c r="H60" s="102"/>
      <c r="M60" s="456">
        <v>49</v>
      </c>
      <c r="N60" s="457">
        <v>101.13500209999999</v>
      </c>
      <c r="O60" s="457">
        <v>115.91300200000001</v>
      </c>
      <c r="P60" s="457">
        <v>129.0279999</v>
      </c>
      <c r="Q60" s="458"/>
      <c r="R60" s="458"/>
      <c r="S60" s="458"/>
      <c r="T60" s="458"/>
      <c r="AD60" s="458"/>
      <c r="AE60" s="458"/>
      <c r="AF60" s="351"/>
      <c r="AG60" s="351"/>
      <c r="AH60" s="351"/>
      <c r="AI60" s="351"/>
      <c r="AJ60" s="351"/>
      <c r="AK60" s="351"/>
      <c r="AL60" s="351"/>
    </row>
    <row r="61" spans="1:38">
      <c r="M61" s="456">
        <v>50</v>
      </c>
      <c r="N61" s="457">
        <v>96.752998349999999</v>
      </c>
      <c r="O61" s="457">
        <v>110.0599976</v>
      </c>
      <c r="P61" s="457">
        <v>129.30000000000001</v>
      </c>
      <c r="Q61" s="458"/>
      <c r="R61" s="458"/>
      <c r="S61" s="458"/>
      <c r="T61" s="458"/>
      <c r="AD61" s="454"/>
      <c r="AE61" s="454"/>
      <c r="AF61" s="350"/>
      <c r="AG61" s="350"/>
      <c r="AH61" s="350"/>
      <c r="AI61" s="350"/>
      <c r="AJ61" s="350"/>
      <c r="AK61" s="350"/>
      <c r="AL61" s="350"/>
    </row>
    <row r="62" spans="1:38">
      <c r="M62" s="456">
        <v>51</v>
      </c>
      <c r="N62" s="457">
        <v>96.752998349999999</v>
      </c>
      <c r="O62" s="457">
        <v>107.5970001</v>
      </c>
      <c r="P62" s="457">
        <v>129</v>
      </c>
      <c r="Q62" s="458"/>
      <c r="R62" s="458"/>
      <c r="S62" s="458"/>
      <c r="T62" s="458"/>
      <c r="AD62" s="454"/>
      <c r="AE62" s="454"/>
      <c r="AF62" s="350"/>
      <c r="AG62" s="350"/>
      <c r="AH62" s="350"/>
      <c r="AI62" s="350"/>
      <c r="AJ62" s="350"/>
      <c r="AK62" s="350"/>
      <c r="AL62" s="350"/>
    </row>
    <row r="63" spans="1:38">
      <c r="M63" s="456">
        <v>52</v>
      </c>
      <c r="N63" s="457">
        <v>96.752998349999999</v>
      </c>
      <c r="O63" s="457">
        <v>104.4029999</v>
      </c>
      <c r="P63" s="457">
        <v>130.4810028</v>
      </c>
      <c r="Q63" s="458"/>
      <c r="R63" s="458"/>
      <c r="S63" s="458"/>
      <c r="T63" s="458"/>
      <c r="AD63" s="454"/>
      <c r="AE63" s="454"/>
      <c r="AF63" s="350"/>
      <c r="AG63" s="350"/>
      <c r="AH63" s="350"/>
      <c r="AI63" s="350"/>
      <c r="AJ63" s="350"/>
      <c r="AK63" s="350"/>
      <c r="AL63" s="350"/>
    </row>
    <row r="64" spans="1:38">
      <c r="M64" s="456">
        <v>53</v>
      </c>
      <c r="N64" s="457"/>
      <c r="O64" s="457"/>
      <c r="P64" s="466"/>
      <c r="Q64" s="458"/>
      <c r="R64" s="458"/>
      <c r="S64" s="458"/>
      <c r="T64" s="458"/>
      <c r="AD64" s="454"/>
      <c r="AE64" s="454"/>
      <c r="AF64" s="350"/>
      <c r="AG64" s="350"/>
      <c r="AH64" s="350"/>
      <c r="AI64" s="350"/>
      <c r="AJ64" s="350"/>
      <c r="AK64" s="350"/>
      <c r="AL64" s="350"/>
    </row>
    <row r="65" spans="13:38">
      <c r="M65" s="454"/>
      <c r="N65" s="454"/>
      <c r="O65" s="454"/>
      <c r="P65" s="454"/>
      <c r="Q65" s="454"/>
      <c r="R65" s="454"/>
      <c r="S65" s="454"/>
      <c r="T65" s="454"/>
      <c r="AD65" s="454"/>
      <c r="AE65" s="454"/>
      <c r="AF65" s="350"/>
      <c r="AG65" s="350"/>
      <c r="AH65" s="350"/>
      <c r="AI65" s="350"/>
      <c r="AJ65" s="350"/>
      <c r="AK65" s="350"/>
      <c r="AL65" s="350"/>
    </row>
  </sheetData>
  <mergeCells count="4">
    <mergeCell ref="A2:H2"/>
    <mergeCell ref="A4:H4"/>
    <mergeCell ref="C28:F28"/>
    <mergeCell ref="A32:H32"/>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Normal="100" zoomScaleSheetLayoutView="100" zoomScalePageLayoutView="115" workbookViewId="0">
      <selection activeCell="D4" sqref="D4"/>
    </sheetView>
  </sheetViews>
  <sheetFormatPr defaultColWidth="9.33203125" defaultRowHeight="11.25"/>
  <cols>
    <col min="1" max="9" width="9.33203125" style="3"/>
    <col min="10" max="11" width="9.33203125" style="3" customWidth="1"/>
    <col min="12" max="13" width="9.33203125" style="3"/>
    <col min="14" max="28" width="9.33203125" style="619"/>
    <col min="29" max="31" width="9.33203125" style="595"/>
    <col min="32" max="16384" width="9.33203125" style="3"/>
  </cols>
  <sheetData>
    <row r="1" spans="1:22" ht="11.25" customHeight="1">
      <c r="A1" s="160"/>
      <c r="B1" s="160"/>
      <c r="C1" s="160"/>
      <c r="D1" s="160"/>
      <c r="E1" s="160"/>
      <c r="F1" s="160"/>
      <c r="G1" s="160"/>
      <c r="H1" s="160"/>
      <c r="I1" s="160"/>
      <c r="J1" s="160"/>
      <c r="K1" s="160"/>
      <c r="L1" s="160"/>
    </row>
    <row r="2" spans="1:22" ht="11.25" customHeight="1">
      <c r="A2" s="423"/>
      <c r="B2" s="433"/>
      <c r="C2" s="433"/>
      <c r="D2" s="433"/>
      <c r="E2" s="433"/>
      <c r="F2" s="433"/>
      <c r="G2" s="434"/>
      <c r="H2" s="434"/>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24" t="s">
        <v>291</v>
      </c>
      <c r="O4" s="625"/>
      <c r="P4" s="625"/>
      <c r="Q4" s="625"/>
      <c r="R4" s="625"/>
      <c r="S4" s="625"/>
      <c r="T4" s="626" t="s">
        <v>292</v>
      </c>
      <c r="U4" s="625"/>
      <c r="V4" s="625"/>
    </row>
    <row r="5" spans="1:22" ht="11.25" customHeight="1">
      <c r="A5" s="970"/>
      <c r="B5" s="970"/>
      <c r="C5" s="970"/>
      <c r="D5" s="970"/>
      <c r="E5" s="970"/>
      <c r="F5" s="970"/>
      <c r="G5" s="970"/>
      <c r="H5" s="970"/>
      <c r="I5" s="970"/>
      <c r="J5" s="16"/>
      <c r="K5" s="16"/>
      <c r="L5" s="10"/>
      <c r="N5" s="625"/>
      <c r="O5" s="627">
        <v>2016</v>
      </c>
      <c r="P5" s="627">
        <v>2017</v>
      </c>
      <c r="Q5" s="627">
        <v>2018</v>
      </c>
      <c r="R5" s="625"/>
      <c r="S5" s="625"/>
      <c r="T5" s="627">
        <v>2016</v>
      </c>
      <c r="U5" s="627">
        <v>2017</v>
      </c>
      <c r="V5" s="627">
        <v>2018</v>
      </c>
    </row>
    <row r="6" spans="1:22" ht="11.25" customHeight="1">
      <c r="A6" s="84"/>
      <c r="B6" s="188"/>
      <c r="C6" s="86"/>
      <c r="D6" s="87"/>
      <c r="E6" s="87"/>
      <c r="F6" s="88"/>
      <c r="G6" s="83"/>
      <c r="H6" s="83"/>
      <c r="I6" s="89"/>
      <c r="J6" s="16"/>
      <c r="K6" s="16"/>
      <c r="L6" s="7"/>
      <c r="N6" s="628">
        <v>1</v>
      </c>
      <c r="O6" s="629">
        <v>119.86</v>
      </c>
      <c r="P6" s="629">
        <v>27.559000019999999</v>
      </c>
      <c r="Q6" s="630">
        <v>34.76</v>
      </c>
      <c r="R6" s="625"/>
      <c r="S6" s="628">
        <v>1</v>
      </c>
      <c r="T6" s="631">
        <v>150.22999999999999</v>
      </c>
      <c r="U6" s="632">
        <v>122.19600180599998</v>
      </c>
      <c r="V6" s="633">
        <v>210.20000000000002</v>
      </c>
    </row>
    <row r="7" spans="1:22" ht="11.25" customHeight="1">
      <c r="A7" s="84"/>
      <c r="B7" s="971"/>
      <c r="C7" s="971"/>
      <c r="D7" s="189"/>
      <c r="E7" s="189"/>
      <c r="F7" s="88"/>
      <c r="G7" s="83"/>
      <c r="H7" s="83"/>
      <c r="I7" s="89"/>
      <c r="J7" s="5"/>
      <c r="K7" s="5"/>
      <c r="L7" s="20"/>
      <c r="N7" s="628">
        <v>2</v>
      </c>
      <c r="O7" s="629">
        <v>113.21</v>
      </c>
      <c r="P7" s="629">
        <v>36.5890007</v>
      </c>
      <c r="Q7" s="630">
        <v>47.749000549999998</v>
      </c>
      <c r="R7" s="625"/>
      <c r="S7" s="628">
        <v>2</v>
      </c>
      <c r="T7" s="631">
        <v>145.21</v>
      </c>
      <c r="U7" s="632">
        <v>136.535000822</v>
      </c>
      <c r="V7" s="633">
        <v>216.70300435500002</v>
      </c>
    </row>
    <row r="8" spans="1:22" ht="11.25" customHeight="1">
      <c r="A8" s="84"/>
      <c r="B8" s="190"/>
      <c r="C8" s="49"/>
      <c r="D8" s="191"/>
      <c r="E8" s="191"/>
      <c r="F8" s="88"/>
      <c r="G8" s="83"/>
      <c r="H8" s="83"/>
      <c r="I8" s="89"/>
      <c r="J8" s="6"/>
      <c r="K8" s="6"/>
      <c r="L8" s="16"/>
      <c r="N8" s="628">
        <v>3</v>
      </c>
      <c r="O8" s="629">
        <v>117.64</v>
      </c>
      <c r="P8" s="629">
        <v>63.17599869</v>
      </c>
      <c r="Q8" s="630">
        <v>67.130996699999997</v>
      </c>
      <c r="R8" s="625"/>
      <c r="S8" s="628">
        <v>3</v>
      </c>
      <c r="T8" s="631">
        <v>143.88</v>
      </c>
      <c r="U8" s="632">
        <v>170.80799961000002</v>
      </c>
      <c r="V8" s="633">
        <v>232.83600043999999</v>
      </c>
    </row>
    <row r="9" spans="1:22" ht="11.25" customHeight="1">
      <c r="A9" s="84"/>
      <c r="B9" s="190"/>
      <c r="C9" s="49"/>
      <c r="D9" s="191"/>
      <c r="E9" s="191"/>
      <c r="F9" s="88"/>
      <c r="G9" s="83"/>
      <c r="H9" s="83"/>
      <c r="I9" s="89"/>
      <c r="J9" s="5"/>
      <c r="K9" s="8"/>
      <c r="L9" s="21"/>
      <c r="N9" s="628">
        <v>4</v>
      </c>
      <c r="O9" s="629">
        <v>117.64</v>
      </c>
      <c r="P9" s="629">
        <v>113.2139969</v>
      </c>
      <c r="Q9" s="630">
        <v>93.789001459999994</v>
      </c>
      <c r="R9" s="625"/>
      <c r="S9" s="628">
        <v>4</v>
      </c>
      <c r="T9" s="631">
        <v>139.38200000000001</v>
      </c>
      <c r="U9" s="632">
        <v>186.385000214</v>
      </c>
      <c r="V9" s="633">
        <v>271.78000545999998</v>
      </c>
    </row>
    <row r="10" spans="1:22" ht="11.25" customHeight="1">
      <c r="A10" s="84"/>
      <c r="B10" s="190"/>
      <c r="C10" s="49"/>
      <c r="D10" s="191"/>
      <c r="E10" s="191"/>
      <c r="F10" s="88"/>
      <c r="G10" s="83"/>
      <c r="H10" s="83"/>
      <c r="I10" s="89"/>
      <c r="J10" s="5"/>
      <c r="K10" s="5"/>
      <c r="L10" s="20"/>
      <c r="N10" s="628">
        <v>5</v>
      </c>
      <c r="O10" s="629">
        <v>133.43</v>
      </c>
      <c r="P10" s="629">
        <v>156.8220062</v>
      </c>
      <c r="Q10" s="630">
        <v>111.01599880000001</v>
      </c>
      <c r="R10" s="625"/>
      <c r="S10" s="628">
        <v>5</v>
      </c>
      <c r="T10" s="631">
        <v>135.79099490000002</v>
      </c>
      <c r="U10" s="632">
        <v>204.80799868699998</v>
      </c>
      <c r="V10" s="633">
        <v>269.07999802</v>
      </c>
    </row>
    <row r="11" spans="1:22" ht="11.25" customHeight="1">
      <c r="A11" s="84"/>
      <c r="B11" s="191"/>
      <c r="C11" s="49"/>
      <c r="D11" s="191"/>
      <c r="E11" s="191"/>
      <c r="F11" s="88"/>
      <c r="G11" s="83"/>
      <c r="H11" s="83"/>
      <c r="I11" s="89"/>
      <c r="J11" s="5"/>
      <c r="K11" s="5"/>
      <c r="L11" s="20"/>
      <c r="N11" s="628">
        <v>6</v>
      </c>
      <c r="O11" s="629">
        <v>159.2149963</v>
      </c>
      <c r="P11" s="629">
        <v>168.8840027</v>
      </c>
      <c r="Q11" s="630">
        <v>126.6029968</v>
      </c>
      <c r="R11" s="625"/>
      <c r="S11" s="628">
        <v>6</v>
      </c>
      <c r="T11" s="631">
        <v>150.04800029899999</v>
      </c>
      <c r="U11" s="632">
        <v>201.82999366799999</v>
      </c>
      <c r="V11" s="633">
        <v>273.52000047000001</v>
      </c>
    </row>
    <row r="12" spans="1:22" ht="11.25" customHeight="1">
      <c r="A12" s="84"/>
      <c r="B12" s="191"/>
      <c r="C12" s="49"/>
      <c r="D12" s="191"/>
      <c r="E12" s="191"/>
      <c r="F12" s="88"/>
      <c r="G12" s="83"/>
      <c r="H12" s="83"/>
      <c r="I12" s="89"/>
      <c r="J12" s="5"/>
      <c r="K12" s="5"/>
      <c r="L12" s="20"/>
      <c r="N12" s="628">
        <v>7</v>
      </c>
      <c r="O12" s="629">
        <v>186.18299870000001</v>
      </c>
      <c r="P12" s="629">
        <v>196.28300479999999</v>
      </c>
      <c r="Q12" s="630">
        <v>135.7250061</v>
      </c>
      <c r="R12" s="625"/>
      <c r="S12" s="628">
        <v>7</v>
      </c>
      <c r="T12" s="631">
        <v>174.31999966699999</v>
      </c>
      <c r="U12" s="632">
        <v>199.59600258</v>
      </c>
      <c r="V12" s="633">
        <v>302.63299941999998</v>
      </c>
    </row>
    <row r="13" spans="1:22" ht="11.25" customHeight="1">
      <c r="A13" s="84"/>
      <c r="B13" s="191"/>
      <c r="C13" s="49"/>
      <c r="D13" s="191"/>
      <c r="E13" s="191"/>
      <c r="F13" s="88"/>
      <c r="G13" s="83"/>
      <c r="H13" s="83"/>
      <c r="I13" s="89"/>
      <c r="J13" s="6"/>
      <c r="K13" s="6"/>
      <c r="L13" s="16"/>
      <c r="N13" s="628">
        <v>8</v>
      </c>
      <c r="O13" s="629">
        <v>206.53900150000001</v>
      </c>
      <c r="P13" s="629">
        <v>230.18899540000001</v>
      </c>
      <c r="Q13" s="630">
        <v>159.2149963</v>
      </c>
      <c r="R13" s="625"/>
      <c r="S13" s="628">
        <v>8</v>
      </c>
      <c r="T13" s="631">
        <v>262.93500039999998</v>
      </c>
      <c r="U13" s="632">
        <v>214.34299659800001</v>
      </c>
      <c r="V13" s="633">
        <v>328.23703</v>
      </c>
    </row>
    <row r="14" spans="1:22" ht="11.25" customHeight="1">
      <c r="A14" s="84"/>
      <c r="B14" s="191"/>
      <c r="C14" s="49"/>
      <c r="D14" s="191"/>
      <c r="E14" s="191"/>
      <c r="F14" s="88"/>
      <c r="G14" s="83"/>
      <c r="H14" s="83"/>
      <c r="I14" s="89"/>
      <c r="J14" s="5"/>
      <c r="K14" s="8"/>
      <c r="L14" s="21"/>
      <c r="N14" s="628">
        <v>9</v>
      </c>
      <c r="O14" s="629">
        <v>240.9539948</v>
      </c>
      <c r="P14" s="629">
        <v>249.13000489999999</v>
      </c>
      <c r="Q14" s="630">
        <v>186.18299870000001</v>
      </c>
      <c r="R14" s="625"/>
      <c r="S14" s="628">
        <v>9</v>
      </c>
      <c r="T14" s="631">
        <v>279.08800121000002</v>
      </c>
      <c r="U14" s="632">
        <v>250.89400288000002</v>
      </c>
      <c r="V14" s="633">
        <v>343.54049999999995</v>
      </c>
    </row>
    <row r="15" spans="1:22" ht="11.25" customHeight="1">
      <c r="A15" s="84"/>
      <c r="B15" s="191"/>
      <c r="C15" s="49"/>
      <c r="D15" s="191"/>
      <c r="E15" s="191"/>
      <c r="F15" s="88"/>
      <c r="G15" s="83"/>
      <c r="H15" s="83"/>
      <c r="I15" s="89"/>
      <c r="J15" s="5"/>
      <c r="K15" s="8"/>
      <c r="L15" s="20"/>
      <c r="N15" s="628">
        <v>10</v>
      </c>
      <c r="O15" s="629">
        <v>279.86401369999999</v>
      </c>
      <c r="P15" s="629">
        <v>311.77999999999997</v>
      </c>
      <c r="Q15" s="630">
        <v>203.96099849999999</v>
      </c>
      <c r="R15" s="625"/>
      <c r="S15" s="628">
        <v>10</v>
      </c>
      <c r="T15" s="631">
        <v>283.79400062561007</v>
      </c>
      <c r="U15" s="632">
        <v>298.99899296000001</v>
      </c>
      <c r="V15" s="633">
        <v>371.29100467000001</v>
      </c>
    </row>
    <row r="16" spans="1:22" ht="11.25" customHeight="1">
      <c r="A16" s="84"/>
      <c r="B16" s="191"/>
      <c r="C16" s="49"/>
      <c r="D16" s="191"/>
      <c r="E16" s="191"/>
      <c r="F16" s="88"/>
      <c r="G16" s="83"/>
      <c r="H16" s="83"/>
      <c r="I16" s="89"/>
      <c r="J16" s="5"/>
      <c r="K16" s="8"/>
      <c r="L16" s="20"/>
      <c r="N16" s="628">
        <v>11</v>
      </c>
      <c r="O16" s="629">
        <v>308.83</v>
      </c>
      <c r="P16" s="629">
        <v>332.70800000000003</v>
      </c>
      <c r="Q16" s="630">
        <v>230.18899540000001</v>
      </c>
      <c r="R16" s="634"/>
      <c r="S16" s="628">
        <v>11</v>
      </c>
      <c r="T16" s="631">
        <v>286.24</v>
      </c>
      <c r="U16" s="632">
        <v>321.03300188000003</v>
      </c>
      <c r="V16" s="633">
        <v>390.38299555999998</v>
      </c>
    </row>
    <row r="17" spans="1:22" ht="11.25" customHeight="1">
      <c r="A17" s="84"/>
      <c r="B17" s="191"/>
      <c r="C17" s="49"/>
      <c r="D17" s="191"/>
      <c r="E17" s="191"/>
      <c r="F17" s="88"/>
      <c r="G17" s="83"/>
      <c r="H17" s="83"/>
      <c r="I17" s="89"/>
      <c r="J17" s="5"/>
      <c r="K17" s="8"/>
      <c r="L17" s="20"/>
      <c r="N17" s="628">
        <v>12</v>
      </c>
      <c r="O17" s="629">
        <v>308.829986572265</v>
      </c>
      <c r="P17" s="629">
        <v>344.881012</v>
      </c>
      <c r="Q17" s="630">
        <v>282.71701050000001</v>
      </c>
      <c r="R17" s="634"/>
      <c r="S17" s="628">
        <v>12</v>
      </c>
      <c r="T17" s="631">
        <v>285.01299476623473</v>
      </c>
      <c r="U17" s="632">
        <v>332.34900279999999</v>
      </c>
      <c r="V17" s="633">
        <v>412.41217171999995</v>
      </c>
    </row>
    <row r="18" spans="1:22" ht="11.25" customHeight="1">
      <c r="A18" s="84"/>
      <c r="B18" s="191"/>
      <c r="C18" s="49"/>
      <c r="D18" s="191"/>
      <c r="E18" s="191"/>
      <c r="F18" s="88"/>
      <c r="G18" s="83"/>
      <c r="H18" s="83"/>
      <c r="I18" s="89"/>
      <c r="J18" s="5"/>
      <c r="K18" s="8"/>
      <c r="L18" s="20"/>
      <c r="N18" s="628">
        <v>13</v>
      </c>
      <c r="O18" s="629">
        <v>308.829986572265</v>
      </c>
      <c r="P18" s="629">
        <v>338.77499390000003</v>
      </c>
      <c r="Q18" s="630">
        <v>329.68899540000001</v>
      </c>
      <c r="R18" s="634"/>
      <c r="S18" s="628">
        <v>13</v>
      </c>
      <c r="T18" s="631">
        <v>279.96900081634436</v>
      </c>
      <c r="U18" s="632">
        <v>366.02899361000004</v>
      </c>
      <c r="V18" s="633">
        <v>410.83199501000001</v>
      </c>
    </row>
    <row r="19" spans="1:22" ht="11.25" customHeight="1">
      <c r="A19" s="84"/>
      <c r="B19" s="191"/>
      <c r="C19" s="49"/>
      <c r="D19" s="191"/>
      <c r="E19" s="191"/>
      <c r="F19" s="88"/>
      <c r="G19" s="83"/>
      <c r="H19" s="83"/>
      <c r="I19" s="89"/>
      <c r="J19" s="5"/>
      <c r="K19" s="8"/>
      <c r="L19" s="20"/>
      <c r="N19" s="628">
        <v>14</v>
      </c>
      <c r="O19" s="629">
        <v>302.95901489257801</v>
      </c>
      <c r="P19" s="629">
        <v>338.77999390000002</v>
      </c>
      <c r="Q19" s="630">
        <v>329.68899540000001</v>
      </c>
      <c r="R19" s="634"/>
      <c r="S19" s="628">
        <v>14</v>
      </c>
      <c r="T19" s="631">
        <v>286.54100227355917</v>
      </c>
      <c r="U19" s="632">
        <v>382.58400344</v>
      </c>
      <c r="V19" s="633">
        <v>403.70400233999999</v>
      </c>
    </row>
    <row r="20" spans="1:22" ht="11.25" customHeight="1">
      <c r="A20" s="84"/>
      <c r="B20" s="191"/>
      <c r="C20" s="49"/>
      <c r="D20" s="191"/>
      <c r="E20" s="191"/>
      <c r="F20" s="88"/>
      <c r="G20" s="83"/>
      <c r="H20" s="83"/>
      <c r="I20" s="89"/>
      <c r="J20" s="5"/>
      <c r="K20" s="8"/>
      <c r="L20" s="20"/>
      <c r="N20" s="628">
        <v>15</v>
      </c>
      <c r="O20" s="629">
        <v>311.781005859375</v>
      </c>
      <c r="P20" s="629">
        <v>347.94900510000002</v>
      </c>
      <c r="Q20" s="630">
        <v>326.67999270000001</v>
      </c>
      <c r="R20" s="634"/>
      <c r="S20" s="628">
        <v>15</v>
      </c>
      <c r="T20" s="631">
        <v>288.78499984741165</v>
      </c>
      <c r="U20" s="632">
        <v>385.29699126999998</v>
      </c>
      <c r="V20" s="633">
        <v>399.27400204999998</v>
      </c>
    </row>
    <row r="21" spans="1:22" ht="11.25" customHeight="1">
      <c r="A21" s="84"/>
      <c r="B21" s="191"/>
      <c r="C21" s="49"/>
      <c r="D21" s="191"/>
      <c r="E21" s="191"/>
      <c r="F21" s="88"/>
      <c r="G21" s="83"/>
      <c r="H21" s="83"/>
      <c r="I21" s="89"/>
      <c r="J21" s="5"/>
      <c r="K21" s="9"/>
      <c r="L21" s="22"/>
      <c r="N21" s="628">
        <v>16</v>
      </c>
      <c r="O21" s="629">
        <v>320.69100952148398</v>
      </c>
      <c r="P21" s="629">
        <v>354.11401369999999</v>
      </c>
      <c r="Q21" s="630">
        <v>314.7409973</v>
      </c>
      <c r="R21" s="634"/>
      <c r="S21" s="628">
        <v>16</v>
      </c>
      <c r="T21" s="631">
        <v>293.26400000000001</v>
      </c>
      <c r="U21" s="632">
        <v>384.95899003</v>
      </c>
      <c r="V21" s="633">
        <v>394.58499913000003</v>
      </c>
    </row>
    <row r="22" spans="1:22" ht="11.25" customHeight="1">
      <c r="A22" s="97"/>
      <c r="B22" s="191"/>
      <c r="C22" s="49"/>
      <c r="D22" s="191"/>
      <c r="E22" s="191"/>
      <c r="F22" s="88"/>
      <c r="G22" s="83"/>
      <c r="H22" s="83"/>
      <c r="I22" s="89"/>
      <c r="J22" s="5"/>
      <c r="K22" s="8"/>
      <c r="L22" s="20"/>
      <c r="N22" s="628">
        <v>17</v>
      </c>
      <c r="O22" s="629">
        <v>326.67999267578102</v>
      </c>
      <c r="P22" s="629">
        <v>351.02700809999999</v>
      </c>
      <c r="Q22" s="630">
        <v>305.89001459999997</v>
      </c>
      <c r="R22" s="634"/>
      <c r="S22" s="628">
        <v>17</v>
      </c>
      <c r="T22" s="631">
        <v>292.87300071716299</v>
      </c>
      <c r="U22" s="632">
        <v>381.86699488000005</v>
      </c>
      <c r="V22" s="633">
        <v>392.29800030000007</v>
      </c>
    </row>
    <row r="23" spans="1:22" ht="11.25" customHeight="1">
      <c r="A23" s="97"/>
      <c r="B23" s="191"/>
      <c r="C23" s="49"/>
      <c r="D23" s="191"/>
      <c r="E23" s="191"/>
      <c r="F23" s="88"/>
      <c r="G23" s="83"/>
      <c r="H23" s="83"/>
      <c r="I23" s="89"/>
      <c r="J23" s="5"/>
      <c r="K23" s="8"/>
      <c r="L23" s="20"/>
      <c r="N23" s="628">
        <v>18</v>
      </c>
      <c r="O23" s="629">
        <v>314.74099731445301</v>
      </c>
      <c r="P23" s="629">
        <v>354.11401369999999</v>
      </c>
      <c r="Q23" s="630">
        <v>314.7409973</v>
      </c>
      <c r="R23" s="634"/>
      <c r="S23" s="628">
        <v>18</v>
      </c>
      <c r="T23" s="631">
        <v>289.06400012969908</v>
      </c>
      <c r="U23" s="632">
        <v>382.77999115</v>
      </c>
      <c r="V23" s="633">
        <v>390.15600400999995</v>
      </c>
    </row>
    <row r="24" spans="1:22" ht="11.25" customHeight="1">
      <c r="A24" s="97"/>
      <c r="B24" s="191"/>
      <c r="C24" s="49"/>
      <c r="D24" s="191"/>
      <c r="E24" s="191"/>
      <c r="F24" s="88"/>
      <c r="G24" s="83"/>
      <c r="H24" s="83"/>
      <c r="I24" s="89"/>
      <c r="J24" s="8"/>
      <c r="K24" s="8"/>
      <c r="L24" s="20"/>
      <c r="N24" s="628">
        <v>19</v>
      </c>
      <c r="O24" s="629">
        <v>308.829986572265</v>
      </c>
      <c r="P24" s="629">
        <v>363.43499759999997</v>
      </c>
      <c r="Q24" s="630">
        <v>314.7409973</v>
      </c>
      <c r="R24" s="634"/>
      <c r="S24" s="628">
        <v>19</v>
      </c>
      <c r="T24" s="631">
        <v>283.7310012817382</v>
      </c>
      <c r="U24" s="632">
        <v>381.91700169999996</v>
      </c>
      <c r="V24" s="633">
        <v>386.47099490999994</v>
      </c>
    </row>
    <row r="25" spans="1:22" ht="11.25" customHeight="1">
      <c r="A25" s="348" t="s">
        <v>523</v>
      </c>
      <c r="B25" s="191"/>
      <c r="C25" s="49"/>
      <c r="D25" s="191"/>
      <c r="E25" s="191"/>
      <c r="F25" s="88"/>
      <c r="G25" s="83"/>
      <c r="H25" s="83"/>
      <c r="I25" s="89"/>
      <c r="J25" s="5"/>
      <c r="K25" s="9"/>
      <c r="L25" s="22"/>
      <c r="N25" s="628">
        <v>20</v>
      </c>
      <c r="O25" s="629">
        <v>308.8</v>
      </c>
      <c r="P25" s="629">
        <v>366.56100459999999</v>
      </c>
      <c r="Q25" s="630">
        <v>314.7409973</v>
      </c>
      <c r="R25" s="634"/>
      <c r="S25" s="628">
        <v>20</v>
      </c>
      <c r="T25" s="631">
        <v>278.90000000000003</v>
      </c>
      <c r="U25" s="632">
        <v>379.35699083999998</v>
      </c>
      <c r="V25" s="633">
        <v>382.00799562999993</v>
      </c>
    </row>
    <row r="26" spans="1:22" ht="11.25" customHeight="1">
      <c r="A26" s="93"/>
      <c r="B26" s="191"/>
      <c r="C26" s="49"/>
      <c r="D26" s="191"/>
      <c r="E26" s="191"/>
      <c r="F26" s="88"/>
      <c r="G26" s="83"/>
      <c r="H26" s="83"/>
      <c r="I26" s="89"/>
      <c r="J26" s="6"/>
      <c r="K26" s="8"/>
      <c r="L26" s="20"/>
      <c r="N26" s="628">
        <v>21</v>
      </c>
      <c r="O26" s="629">
        <v>311.781005859375</v>
      </c>
      <c r="P26" s="629">
        <v>357.21099850000002</v>
      </c>
      <c r="Q26" s="630">
        <v>314.7409973</v>
      </c>
      <c r="R26" s="634"/>
      <c r="S26" s="628">
        <v>21</v>
      </c>
      <c r="T26" s="631">
        <v>274.65599975585928</v>
      </c>
      <c r="U26" s="632">
        <v>375.59600258</v>
      </c>
      <c r="V26" s="633">
        <v>378.52099610999994</v>
      </c>
    </row>
    <row r="27" spans="1:22" ht="11.25" customHeight="1">
      <c r="A27" s="97"/>
      <c r="B27" s="191"/>
      <c r="C27" s="49"/>
      <c r="D27" s="191"/>
      <c r="E27" s="191"/>
      <c r="F27" s="91"/>
      <c r="G27" s="91"/>
      <c r="H27" s="91"/>
      <c r="I27" s="91"/>
      <c r="J27" s="6"/>
      <c r="K27" s="8"/>
      <c r="L27" s="20"/>
      <c r="N27" s="628">
        <v>22</v>
      </c>
      <c r="O27" s="629">
        <v>314.74</v>
      </c>
      <c r="P27" s="629">
        <v>341.82</v>
      </c>
      <c r="Q27" s="630">
        <v>311.78100590000003</v>
      </c>
      <c r="R27" s="634"/>
      <c r="S27" s="628">
        <v>22</v>
      </c>
      <c r="T27" s="631">
        <v>269.74</v>
      </c>
      <c r="U27" s="632">
        <v>373.52000000000004</v>
      </c>
      <c r="V27" s="633">
        <v>375.20999716</v>
      </c>
    </row>
    <row r="28" spans="1:22" ht="11.25" customHeight="1">
      <c r="A28" s="97"/>
      <c r="B28" s="191"/>
      <c r="C28" s="49"/>
      <c r="D28" s="191"/>
      <c r="E28" s="191"/>
      <c r="F28" s="91"/>
      <c r="G28" s="91"/>
      <c r="H28" s="91"/>
      <c r="I28" s="91"/>
      <c r="J28" s="6"/>
      <c r="K28" s="8"/>
      <c r="L28" s="20"/>
      <c r="N28" s="628">
        <v>23</v>
      </c>
      <c r="O28" s="629">
        <v>308.83</v>
      </c>
      <c r="P28" s="629">
        <v>326.67999270000001</v>
      </c>
      <c r="Q28" s="630">
        <v>308.82998659999998</v>
      </c>
      <c r="R28" s="634"/>
      <c r="S28" s="628">
        <v>23</v>
      </c>
      <c r="T28" s="631">
        <v>265.4609997</v>
      </c>
      <c r="U28" s="632">
        <v>369.22100255000004</v>
      </c>
      <c r="V28" s="633">
        <v>374.07600211999994</v>
      </c>
    </row>
    <row r="29" spans="1:22" ht="11.25" customHeight="1">
      <c r="A29" s="97"/>
      <c r="B29" s="191"/>
      <c r="C29" s="49"/>
      <c r="D29" s="191"/>
      <c r="E29" s="191"/>
      <c r="F29" s="91"/>
      <c r="G29" s="91"/>
      <c r="H29" s="91"/>
      <c r="I29" s="91"/>
      <c r="J29" s="6"/>
      <c r="K29" s="8"/>
      <c r="L29" s="20"/>
      <c r="N29" s="628">
        <v>24</v>
      </c>
      <c r="O29" s="629">
        <v>300.04000000000002</v>
      </c>
      <c r="P29" s="629">
        <v>308.82998659999998</v>
      </c>
      <c r="Q29" s="630">
        <v>300.0379944</v>
      </c>
      <c r="R29" s="634"/>
      <c r="S29" s="628">
        <v>24</v>
      </c>
      <c r="T29" s="631">
        <v>261.10000000000002</v>
      </c>
      <c r="U29" s="632">
        <v>364.44200138999997</v>
      </c>
      <c r="V29" s="633">
        <v>370.89200402</v>
      </c>
    </row>
    <row r="30" spans="1:22" ht="11.25" customHeight="1">
      <c r="A30" s="92"/>
      <c r="B30" s="91"/>
      <c r="C30" s="91"/>
      <c r="D30" s="91"/>
      <c r="E30" s="91"/>
      <c r="F30" s="91"/>
      <c r="G30" s="91"/>
      <c r="H30" s="91"/>
      <c r="I30" s="91"/>
      <c r="J30" s="5"/>
      <c r="K30" s="8"/>
      <c r="L30" s="20"/>
      <c r="N30" s="628">
        <v>25</v>
      </c>
      <c r="O30" s="629">
        <v>282.71701050000001</v>
      </c>
      <c r="P30" s="629">
        <v>291.33300780000002</v>
      </c>
      <c r="Q30" s="630">
        <v>294.22500609999997</v>
      </c>
      <c r="R30" s="634"/>
      <c r="S30" s="628">
        <v>25</v>
      </c>
      <c r="T30" s="631">
        <v>256.25999989000002</v>
      </c>
      <c r="U30" s="632">
        <v>359.61999897999999</v>
      </c>
      <c r="V30" s="633">
        <v>366.71700096999996</v>
      </c>
    </row>
    <row r="31" spans="1:22" ht="11.25" customHeight="1">
      <c r="A31" s="92"/>
      <c r="B31" s="91"/>
      <c r="C31" s="91"/>
      <c r="D31" s="91"/>
      <c r="E31" s="91"/>
      <c r="F31" s="91"/>
      <c r="G31" s="91"/>
      <c r="H31" s="91"/>
      <c r="I31" s="91"/>
      <c r="J31" s="5"/>
      <c r="K31" s="8"/>
      <c r="L31" s="20"/>
      <c r="N31" s="628">
        <v>26</v>
      </c>
      <c r="O31" s="629">
        <v>262.95300292968699</v>
      </c>
      <c r="P31" s="629">
        <v>268.55099489999998</v>
      </c>
      <c r="Q31" s="630">
        <v>282.71701050000001</v>
      </c>
      <c r="R31" s="634"/>
      <c r="S31" s="628">
        <v>26</v>
      </c>
      <c r="T31" s="631">
        <v>252.54899978637627</v>
      </c>
      <c r="U31" s="632">
        <v>354.77499773999995</v>
      </c>
      <c r="V31" s="633">
        <v>361.43599508999995</v>
      </c>
    </row>
    <row r="32" spans="1:22" ht="11.25" customHeight="1">
      <c r="A32" s="92"/>
      <c r="B32" s="91"/>
      <c r="C32" s="91"/>
      <c r="D32" s="91"/>
      <c r="E32" s="91"/>
      <c r="F32" s="91"/>
      <c r="G32" s="91"/>
      <c r="H32" s="91"/>
      <c r="I32" s="91"/>
      <c r="J32" s="5"/>
      <c r="K32" s="8"/>
      <c r="L32" s="20"/>
      <c r="N32" s="628">
        <v>27</v>
      </c>
      <c r="O32" s="629">
        <v>254.63000489999999</v>
      </c>
      <c r="P32" s="629">
        <v>265.7470093</v>
      </c>
      <c r="Q32" s="630">
        <v>271.36</v>
      </c>
      <c r="R32" s="634"/>
      <c r="S32" s="628">
        <v>27</v>
      </c>
      <c r="T32" s="631">
        <v>248.26700022</v>
      </c>
      <c r="U32" s="632">
        <v>349.77999684000002</v>
      </c>
      <c r="V32" s="633">
        <v>355.34</v>
      </c>
    </row>
    <row r="33" spans="1:22" ht="11.25" customHeight="1">
      <c r="A33" s="92"/>
      <c r="B33" s="91"/>
      <c r="C33" s="91"/>
      <c r="D33" s="91"/>
      <c r="E33" s="91"/>
      <c r="F33" s="91"/>
      <c r="G33" s="91"/>
      <c r="H33" s="91"/>
      <c r="I33" s="91"/>
      <c r="J33" s="5"/>
      <c r="K33" s="8"/>
      <c r="L33" s="20"/>
      <c r="N33" s="628">
        <v>28</v>
      </c>
      <c r="O33" s="629">
        <v>240.9539948</v>
      </c>
      <c r="P33" s="635">
        <v>243.66999820000001</v>
      </c>
      <c r="Q33" s="630">
        <v>260.16900629999998</v>
      </c>
      <c r="R33" s="634"/>
      <c r="S33" s="628">
        <v>28</v>
      </c>
      <c r="T33" s="631">
        <v>243.86400222</v>
      </c>
      <c r="U33" s="632">
        <v>344.32400322999996</v>
      </c>
      <c r="V33" s="633">
        <v>349.01599981000004</v>
      </c>
    </row>
    <row r="34" spans="1:22" ht="11.25" customHeight="1">
      <c r="A34" s="92"/>
      <c r="B34" s="91"/>
      <c r="C34" s="91"/>
      <c r="D34" s="91"/>
      <c r="E34" s="91"/>
      <c r="F34" s="91"/>
      <c r="G34" s="91"/>
      <c r="H34" s="91"/>
      <c r="I34" s="91"/>
      <c r="J34" s="5"/>
      <c r="K34" s="8"/>
      <c r="L34" s="20"/>
      <c r="N34" s="628">
        <v>29</v>
      </c>
      <c r="O34" s="629">
        <v>227.5220032</v>
      </c>
      <c r="P34" s="629">
        <v>227.5220032</v>
      </c>
      <c r="Q34" s="630">
        <v>251.88</v>
      </c>
      <c r="R34" s="634"/>
      <c r="S34" s="628">
        <v>29</v>
      </c>
      <c r="T34" s="631">
        <v>239.07999988</v>
      </c>
      <c r="U34" s="632">
        <v>338.60699847999996</v>
      </c>
      <c r="V34" s="633">
        <v>343.97999999999996</v>
      </c>
    </row>
    <row r="35" spans="1:22" ht="11.25" customHeight="1">
      <c r="A35" s="92"/>
      <c r="B35" s="91"/>
      <c r="C35" s="91"/>
      <c r="D35" s="91"/>
      <c r="E35" s="91"/>
      <c r="F35" s="91"/>
      <c r="G35" s="91"/>
      <c r="H35" s="91"/>
      <c r="I35" s="91"/>
      <c r="J35" s="8"/>
      <c r="K35" s="8"/>
      <c r="L35" s="20"/>
      <c r="N35" s="628">
        <v>30</v>
      </c>
      <c r="O35" s="629">
        <v>216.95199584960901</v>
      </c>
      <c r="P35" s="629">
        <v>216.95199579999999</v>
      </c>
      <c r="Q35" s="630">
        <v>232.8650055</v>
      </c>
      <c r="R35" s="634"/>
      <c r="S35" s="628">
        <v>30</v>
      </c>
      <c r="T35" s="631">
        <v>234.2539968490598</v>
      </c>
      <c r="U35" s="632">
        <v>332.49400331000004</v>
      </c>
      <c r="V35" s="633">
        <v>342.06599807739167</v>
      </c>
    </row>
    <row r="36" spans="1:22" ht="11.25" customHeight="1">
      <c r="A36" s="92"/>
      <c r="B36" s="91"/>
      <c r="C36" s="91"/>
      <c r="D36" s="91"/>
      <c r="E36" s="91"/>
      <c r="F36" s="91"/>
      <c r="G36" s="91"/>
      <c r="H36" s="91"/>
      <c r="I36" s="91"/>
      <c r="J36" s="5"/>
      <c r="K36" s="8"/>
      <c r="L36" s="20"/>
      <c r="N36" s="628">
        <v>31</v>
      </c>
      <c r="O36" s="629">
        <v>216.95199579999999</v>
      </c>
      <c r="P36" s="629">
        <v>209.128006</v>
      </c>
      <c r="Q36" s="630">
        <v>211.726</v>
      </c>
      <c r="R36" s="634"/>
      <c r="S36" s="628">
        <v>31</v>
      </c>
      <c r="T36" s="631">
        <v>229.68000125999998</v>
      </c>
      <c r="U36" s="632">
        <v>324</v>
      </c>
      <c r="V36" s="633">
        <v>335.23199999999997</v>
      </c>
    </row>
    <row r="37" spans="1:22" ht="11.25" customHeight="1">
      <c r="A37" s="92"/>
      <c r="B37" s="91"/>
      <c r="C37" s="91"/>
      <c r="D37" s="91"/>
      <c r="E37" s="91"/>
      <c r="F37" s="91"/>
      <c r="G37" s="91"/>
      <c r="H37" s="91"/>
      <c r="I37" s="91"/>
      <c r="J37" s="5"/>
      <c r="K37" s="13"/>
      <c r="L37" s="20"/>
      <c r="N37" s="628">
        <v>32</v>
      </c>
      <c r="O37" s="629">
        <v>201.39199830000001</v>
      </c>
      <c r="P37" s="629">
        <v>198.83200070000001</v>
      </c>
      <c r="Q37" s="630">
        <v>181.19200129999999</v>
      </c>
      <c r="R37" s="634"/>
      <c r="S37" s="628">
        <v>32</v>
      </c>
      <c r="T37" s="631">
        <v>224.73799990999998</v>
      </c>
      <c r="U37" s="632">
        <v>320.73399734000003</v>
      </c>
      <c r="V37" s="633">
        <v>329.56800555999996</v>
      </c>
    </row>
    <row r="38" spans="1:22" ht="11.25" customHeight="1">
      <c r="A38" s="92"/>
      <c r="B38" s="91"/>
      <c r="C38" s="91"/>
      <c r="D38" s="91"/>
      <c r="E38" s="91"/>
      <c r="F38" s="91"/>
      <c r="G38" s="91"/>
      <c r="H38" s="91"/>
      <c r="I38" s="91"/>
      <c r="J38" s="5"/>
      <c r="K38" s="13"/>
      <c r="L38" s="48"/>
      <c r="N38" s="628">
        <v>33</v>
      </c>
      <c r="O38" s="629">
        <v>193.74299621582</v>
      </c>
      <c r="P38" s="629">
        <v>188.69299319999999</v>
      </c>
      <c r="Q38" s="630">
        <v>152.0650024</v>
      </c>
      <c r="R38" s="634"/>
      <c r="S38" s="628">
        <v>33</v>
      </c>
      <c r="T38" s="631">
        <v>219.00299835205058</v>
      </c>
      <c r="U38" s="632">
        <v>314.19900131999998</v>
      </c>
      <c r="V38" s="633">
        <v>323.79099748000004</v>
      </c>
    </row>
    <row r="39" spans="1:22" ht="11.25" customHeight="1">
      <c r="A39" s="92"/>
      <c r="B39" s="91"/>
      <c r="C39" s="91"/>
      <c r="D39" s="91"/>
      <c r="E39" s="91"/>
      <c r="F39" s="91"/>
      <c r="G39" s="91"/>
      <c r="H39" s="91"/>
      <c r="I39" s="91"/>
      <c r="J39" s="5"/>
      <c r="K39" s="9"/>
      <c r="L39" s="20"/>
      <c r="N39" s="628">
        <v>34</v>
      </c>
      <c r="O39" s="629">
        <v>181.19200129999999</v>
      </c>
      <c r="P39" s="629">
        <v>183.68200680000001</v>
      </c>
      <c r="Q39" s="630">
        <v>156.8220062</v>
      </c>
      <c r="R39" s="634"/>
      <c r="S39" s="628">
        <v>34</v>
      </c>
      <c r="T39" s="631">
        <v>214.38699817</v>
      </c>
      <c r="U39" s="632">
        <v>307.85200500000002</v>
      </c>
      <c r="V39" s="633">
        <v>317.64699750999995</v>
      </c>
    </row>
    <row r="40" spans="1:22" ht="11.25" customHeight="1">
      <c r="A40" s="92"/>
      <c r="B40" s="91"/>
      <c r="C40" s="91"/>
      <c r="D40" s="91"/>
      <c r="E40" s="91"/>
      <c r="F40" s="91"/>
      <c r="G40" s="91"/>
      <c r="H40" s="91"/>
      <c r="I40" s="91"/>
      <c r="J40" s="5"/>
      <c r="K40" s="9"/>
      <c r="L40" s="20"/>
      <c r="N40" s="628">
        <v>35</v>
      </c>
      <c r="O40" s="629">
        <v>171.32600400000001</v>
      </c>
      <c r="P40" s="636">
        <v>176.23899840000001</v>
      </c>
      <c r="Q40" s="630">
        <v>156.82</v>
      </c>
      <c r="R40" s="634"/>
      <c r="S40" s="628">
        <v>35</v>
      </c>
      <c r="T40" s="631">
        <v>208.95000171000001</v>
      </c>
      <c r="U40" s="632">
        <v>300.83900069999999</v>
      </c>
      <c r="V40" s="633">
        <v>311.42</v>
      </c>
    </row>
    <row r="41" spans="1:22" ht="11.25" customHeight="1">
      <c r="A41" s="92"/>
      <c r="B41" s="91"/>
      <c r="C41" s="91"/>
      <c r="D41" s="91"/>
      <c r="E41" s="91"/>
      <c r="F41" s="91"/>
      <c r="G41" s="91"/>
      <c r="H41" s="91"/>
      <c r="I41" s="91"/>
      <c r="J41" s="5"/>
      <c r="K41" s="9"/>
      <c r="L41" s="20"/>
      <c r="N41" s="628">
        <v>36</v>
      </c>
      <c r="O41" s="629">
        <v>164.02999879999999</v>
      </c>
      <c r="P41" s="636">
        <v>168.8840027</v>
      </c>
      <c r="Q41" s="630">
        <v>159.21</v>
      </c>
      <c r="R41" s="634"/>
      <c r="S41" s="628">
        <v>36</v>
      </c>
      <c r="T41" s="631">
        <v>202.97300145000003</v>
      </c>
      <c r="U41" s="632">
        <v>293.46100233999999</v>
      </c>
      <c r="V41" s="633">
        <v>305.20999999999998</v>
      </c>
    </row>
    <row r="42" spans="1:22" ht="11.25" customHeight="1">
      <c r="A42" s="92"/>
      <c r="B42" s="91"/>
      <c r="C42" s="91"/>
      <c r="D42" s="91"/>
      <c r="E42" s="91"/>
      <c r="F42" s="91"/>
      <c r="G42" s="91"/>
      <c r="H42" s="91"/>
      <c r="I42" s="91"/>
      <c r="J42" s="8"/>
      <c r="K42" s="13"/>
      <c r="L42" s="20"/>
      <c r="N42" s="628">
        <v>37</v>
      </c>
      <c r="O42" s="629">
        <v>147.34800720000001</v>
      </c>
      <c r="P42" s="636">
        <v>159.2149963</v>
      </c>
      <c r="Q42" s="630">
        <v>159.2149963</v>
      </c>
      <c r="R42" s="634"/>
      <c r="S42" s="628">
        <v>37</v>
      </c>
      <c r="T42" s="631">
        <v>196.95000080099999</v>
      </c>
      <c r="U42" s="632">
        <v>287.76599501999999</v>
      </c>
      <c r="V42" s="633">
        <v>299.17000225600003</v>
      </c>
    </row>
    <row r="43" spans="1:22" ht="11.25" customHeight="1">
      <c r="A43" s="92"/>
      <c r="B43" s="91"/>
      <c r="C43" s="91"/>
      <c r="D43" s="91"/>
      <c r="E43" s="91"/>
      <c r="F43" s="91"/>
      <c r="G43" s="91"/>
      <c r="H43" s="91"/>
      <c r="I43" s="91"/>
      <c r="J43" s="5"/>
      <c r="K43" s="13"/>
      <c r="L43" s="20"/>
      <c r="N43" s="628">
        <v>38</v>
      </c>
      <c r="O43" s="629">
        <v>131.14500430000001</v>
      </c>
      <c r="P43" s="636">
        <v>149.70199579999999</v>
      </c>
      <c r="Q43" s="630">
        <v>149.70199579999999</v>
      </c>
      <c r="R43" s="634"/>
      <c r="S43" s="628">
        <v>38</v>
      </c>
      <c r="T43" s="631">
        <v>190.78400421900002</v>
      </c>
      <c r="U43" s="632">
        <v>282.07300377000001</v>
      </c>
      <c r="V43" s="633">
        <v>292.45899891799996</v>
      </c>
    </row>
    <row r="44" spans="1:22" ht="11.25" customHeight="1">
      <c r="A44" s="92"/>
      <c r="B44" s="91"/>
      <c r="C44" s="91"/>
      <c r="D44" s="91"/>
      <c r="E44" s="91"/>
      <c r="F44" s="91"/>
      <c r="G44" s="91"/>
      <c r="H44" s="91"/>
      <c r="I44" s="91"/>
      <c r="J44" s="5"/>
      <c r="K44" s="13"/>
      <c r="L44" s="20"/>
      <c r="N44" s="628">
        <v>39</v>
      </c>
      <c r="O44" s="629">
        <v>119.8639984</v>
      </c>
      <c r="P44" s="636">
        <v>138.02999879999999</v>
      </c>
      <c r="Q44" s="630">
        <v>117.6380005</v>
      </c>
      <c r="R44" s="634"/>
      <c r="S44" s="628">
        <v>39</v>
      </c>
      <c r="T44" s="631">
        <v>184.44099947499998</v>
      </c>
      <c r="U44" s="632">
        <v>275.53000069000001</v>
      </c>
      <c r="V44" s="633">
        <v>286.11999916000002</v>
      </c>
    </row>
    <row r="45" spans="1:22" ht="11.25" customHeight="1">
      <c r="A45" s="92"/>
      <c r="B45" s="91"/>
      <c r="C45" s="91"/>
      <c r="D45" s="91"/>
      <c r="E45" s="91"/>
      <c r="F45" s="91"/>
      <c r="G45" s="91"/>
      <c r="H45" s="91"/>
      <c r="I45" s="91"/>
      <c r="J45" s="15"/>
      <c r="K45" s="15"/>
      <c r="L45" s="15"/>
      <c r="N45" s="628">
        <v>40</v>
      </c>
      <c r="O45" s="629">
        <v>119.8639984</v>
      </c>
      <c r="P45" s="629">
        <v>131.14500430000001</v>
      </c>
      <c r="Q45" s="630">
        <v>91.680000309999997</v>
      </c>
      <c r="R45" s="634"/>
      <c r="S45" s="628">
        <v>40</v>
      </c>
      <c r="T45" s="631">
        <v>177.93399906500002</v>
      </c>
      <c r="U45" s="632">
        <v>268.25699615000002</v>
      </c>
      <c r="V45" s="633">
        <v>278.57999837699998</v>
      </c>
    </row>
    <row r="46" spans="1:22" ht="11.25" customHeight="1">
      <c r="A46" s="92"/>
      <c r="B46" s="91"/>
      <c r="C46" s="91"/>
      <c r="D46" s="91"/>
      <c r="E46" s="91"/>
      <c r="F46" s="91"/>
      <c r="G46" s="91"/>
      <c r="H46" s="91"/>
      <c r="I46" s="91"/>
      <c r="J46" s="14"/>
      <c r="K46" s="14"/>
      <c r="L46" s="14"/>
      <c r="N46" s="628">
        <v>41</v>
      </c>
      <c r="O46" s="629">
        <v>113.213996887207</v>
      </c>
      <c r="P46" s="629">
        <v>108.82900239999999</v>
      </c>
      <c r="Q46" s="630">
        <v>71.125</v>
      </c>
      <c r="R46" s="634"/>
      <c r="S46" s="628">
        <v>41</v>
      </c>
      <c r="T46" s="631">
        <v>171.68900227546672</v>
      </c>
      <c r="U46" s="632">
        <v>261.21399689000003</v>
      </c>
      <c r="V46" s="633">
        <v>271.23250496387476</v>
      </c>
    </row>
    <row r="47" spans="1:22" ht="11.25" customHeight="1">
      <c r="A47" s="92"/>
      <c r="B47" s="91"/>
      <c r="C47" s="91"/>
      <c r="D47" s="91"/>
      <c r="E47" s="91"/>
      <c r="F47" s="91"/>
      <c r="G47" s="91"/>
      <c r="H47" s="91"/>
      <c r="I47" s="91"/>
      <c r="J47" s="14"/>
      <c r="K47" s="14"/>
      <c r="L47" s="14"/>
      <c r="N47" s="628">
        <v>42</v>
      </c>
      <c r="O47" s="629">
        <v>100.1760025</v>
      </c>
      <c r="P47" s="629">
        <v>95.908996579999993</v>
      </c>
      <c r="Q47" s="630">
        <v>59.261001586913999</v>
      </c>
      <c r="R47" s="634"/>
      <c r="S47" s="628">
        <v>42</v>
      </c>
      <c r="T47" s="631">
        <v>165.69499874400003</v>
      </c>
      <c r="U47" s="632">
        <v>255.58900451</v>
      </c>
      <c r="V47" s="633">
        <v>256.27199935913058</v>
      </c>
    </row>
    <row r="48" spans="1:22" ht="11.25" customHeight="1">
      <c r="A48" s="92"/>
      <c r="B48" s="91"/>
      <c r="C48" s="91"/>
      <c r="D48" s="91"/>
      <c r="E48" s="91"/>
      <c r="F48" s="91"/>
      <c r="G48" s="91"/>
      <c r="H48" s="91"/>
      <c r="I48" s="91"/>
      <c r="J48" s="14"/>
      <c r="K48" s="14"/>
      <c r="L48" s="14"/>
      <c r="N48" s="628">
        <v>43</v>
      </c>
      <c r="O48" s="629">
        <v>89.581001279999995</v>
      </c>
      <c r="P48" s="629">
        <v>83.341003420000007</v>
      </c>
      <c r="Q48" s="630">
        <v>47.749000549316399</v>
      </c>
      <c r="R48" s="634"/>
      <c r="S48" s="628">
        <v>43</v>
      </c>
      <c r="T48" s="631">
        <v>160.397996525</v>
      </c>
      <c r="U48" s="632">
        <v>249.85500335</v>
      </c>
      <c r="V48" s="633">
        <v>249.67099761962871</v>
      </c>
    </row>
    <row r="49" spans="1:22" ht="11.25" customHeight="1">
      <c r="A49" s="92"/>
      <c r="B49" s="91"/>
      <c r="C49" s="91"/>
      <c r="D49" s="91"/>
      <c r="E49" s="91"/>
      <c r="F49" s="91"/>
      <c r="G49" s="91"/>
      <c r="H49" s="91"/>
      <c r="I49" s="91"/>
      <c r="J49" s="14"/>
      <c r="K49" s="14"/>
      <c r="L49" s="14"/>
      <c r="N49" s="628">
        <v>44</v>
      </c>
      <c r="O49" s="629">
        <v>75.156997680000003</v>
      </c>
      <c r="P49" s="629">
        <v>75.16</v>
      </c>
      <c r="Q49" s="630">
        <v>38.424999239999998</v>
      </c>
      <c r="R49" s="634"/>
      <c r="S49" s="628">
        <v>44</v>
      </c>
      <c r="T49" s="631">
        <v>154.79199918699999</v>
      </c>
      <c r="U49" s="632">
        <v>242.79000000000002</v>
      </c>
      <c r="V49" s="633">
        <v>249.67099761962871</v>
      </c>
    </row>
    <row r="50" spans="1:22" ht="12.75">
      <c r="A50" s="92"/>
      <c r="B50" s="91"/>
      <c r="C50" s="91"/>
      <c r="D50" s="91"/>
      <c r="E50" s="91"/>
      <c r="F50" s="91"/>
      <c r="G50" s="91"/>
      <c r="H50" s="91"/>
      <c r="I50" s="91"/>
      <c r="J50" s="14"/>
      <c r="K50" s="14"/>
      <c r="L50" s="14"/>
      <c r="N50" s="628">
        <v>45</v>
      </c>
      <c r="O50" s="629">
        <v>61.2140007</v>
      </c>
      <c r="P50" s="629">
        <v>65.149002080000002</v>
      </c>
      <c r="Q50" s="630">
        <v>31.142000199999998</v>
      </c>
      <c r="R50" s="634"/>
      <c r="S50" s="628">
        <v>45</v>
      </c>
      <c r="T50" s="631">
        <v>149.715000041</v>
      </c>
      <c r="U50" s="632">
        <v>235.60499572000001</v>
      </c>
      <c r="V50" s="633">
        <v>243.378839739</v>
      </c>
    </row>
    <row r="51" spans="1:22" ht="12.75">
      <c r="A51" s="92"/>
      <c r="B51" s="91"/>
      <c r="C51" s="91"/>
      <c r="D51" s="91"/>
      <c r="E51" s="91"/>
      <c r="F51" s="91"/>
      <c r="G51" s="91"/>
      <c r="H51" s="91"/>
      <c r="I51" s="91"/>
      <c r="J51" s="14"/>
      <c r="K51" s="14"/>
      <c r="L51" s="14"/>
      <c r="N51" s="628">
        <v>46</v>
      </c>
      <c r="O51" s="629">
        <v>43.990001679999999</v>
      </c>
      <c r="P51" s="629">
        <v>47.749000549999998</v>
      </c>
      <c r="Q51" s="630">
        <v>22.26</v>
      </c>
      <c r="R51" s="634"/>
      <c r="S51" s="628">
        <v>46</v>
      </c>
      <c r="T51" s="631">
        <v>144.11800040400001</v>
      </c>
      <c r="U51" s="632">
        <v>230.54900361099999</v>
      </c>
      <c r="V51" s="633">
        <v>236.34</v>
      </c>
    </row>
    <row r="52" spans="1:22" ht="12.75">
      <c r="A52" s="92"/>
      <c r="B52" s="91"/>
      <c r="C52" s="91"/>
      <c r="D52" s="91"/>
      <c r="E52" s="91"/>
      <c r="F52" s="91"/>
      <c r="G52" s="91"/>
      <c r="H52" s="91"/>
      <c r="I52" s="91"/>
      <c r="J52" s="14"/>
      <c r="K52" s="14"/>
      <c r="L52" s="14"/>
      <c r="N52" s="628">
        <v>47</v>
      </c>
      <c r="O52" s="629">
        <v>25.781999590000002</v>
      </c>
      <c r="P52" s="629">
        <v>34.763999939999998</v>
      </c>
      <c r="Q52" s="630">
        <v>17.044000629999999</v>
      </c>
      <c r="R52" s="634"/>
      <c r="S52" s="628">
        <v>47</v>
      </c>
      <c r="T52" s="631">
        <v>138.82499813000001</v>
      </c>
      <c r="U52" s="632">
        <v>223.60000467499998</v>
      </c>
      <c r="V52" s="633">
        <v>227.62000255999999</v>
      </c>
    </row>
    <row r="53" spans="1:22" ht="12.75">
      <c r="A53" s="92"/>
      <c r="B53" s="91"/>
      <c r="C53" s="91"/>
      <c r="D53" s="91"/>
      <c r="E53" s="91"/>
      <c r="F53" s="91"/>
      <c r="G53" s="91"/>
      <c r="H53" s="91"/>
      <c r="I53" s="91"/>
      <c r="J53" s="14"/>
      <c r="K53" s="14"/>
      <c r="L53" s="14"/>
      <c r="N53" s="628">
        <v>48</v>
      </c>
      <c r="O53" s="629">
        <v>29.344999309999999</v>
      </c>
      <c r="P53" s="629">
        <v>13.618000029999999</v>
      </c>
      <c r="Q53" s="630">
        <v>36.5890007</v>
      </c>
      <c r="R53" s="634"/>
      <c r="S53" s="628">
        <v>48</v>
      </c>
      <c r="T53" s="631">
        <v>133.112998957</v>
      </c>
      <c r="U53" s="632">
        <v>217.17600035300001</v>
      </c>
      <c r="V53" s="633">
        <v>220.01436420799999</v>
      </c>
    </row>
    <row r="54" spans="1:22" ht="13.5">
      <c r="A54" s="92"/>
      <c r="B54" s="91"/>
      <c r="C54" s="91"/>
      <c r="D54" s="91"/>
      <c r="E54" s="91"/>
      <c r="F54" s="91"/>
      <c r="G54" s="91"/>
      <c r="H54" s="91"/>
      <c r="I54" s="91"/>
      <c r="J54" s="14"/>
      <c r="K54" s="14"/>
      <c r="L54" s="14"/>
      <c r="N54" s="628">
        <v>49</v>
      </c>
      <c r="O54" s="637">
        <v>34.763999939999998</v>
      </c>
      <c r="P54" s="629">
        <v>8.5520000459999999</v>
      </c>
      <c r="Q54" s="630">
        <v>36.590000000000003</v>
      </c>
      <c r="R54" s="634"/>
      <c r="S54" s="628">
        <v>49</v>
      </c>
      <c r="T54" s="631">
        <v>128.370002666</v>
      </c>
      <c r="U54" s="632">
        <v>210.45100211699997</v>
      </c>
      <c r="V54" s="633">
        <v>212.37999999999997</v>
      </c>
    </row>
    <row r="55" spans="1:22" ht="12.75">
      <c r="A55" s="92"/>
      <c r="B55" s="91"/>
      <c r="C55" s="91"/>
      <c r="D55" s="91"/>
      <c r="E55" s="91"/>
      <c r="F55" s="91"/>
      <c r="G55" s="91"/>
      <c r="H55" s="91"/>
      <c r="I55" s="91"/>
      <c r="J55" s="14"/>
      <c r="K55" s="14"/>
      <c r="L55" s="14"/>
      <c r="N55" s="628">
        <v>50</v>
      </c>
      <c r="O55" s="629">
        <v>32.948001859999998</v>
      </c>
      <c r="P55" s="629">
        <v>13.618000029999999</v>
      </c>
      <c r="Q55" s="630">
        <v>34.763999939999998</v>
      </c>
      <c r="R55" s="634"/>
      <c r="S55" s="628">
        <v>50</v>
      </c>
      <c r="T55" s="631">
        <v>122.71499820000001</v>
      </c>
      <c r="U55" s="632">
        <v>203.37099885499998</v>
      </c>
      <c r="V55" s="633">
        <v>205.46782675599999</v>
      </c>
    </row>
    <row r="56" spans="1:22" ht="12.75">
      <c r="A56" s="92"/>
      <c r="B56" s="91"/>
      <c r="C56" s="91"/>
      <c r="D56" s="91"/>
      <c r="E56" s="91"/>
      <c r="F56" s="91"/>
      <c r="G56" s="91"/>
      <c r="H56" s="91"/>
      <c r="I56" s="91"/>
      <c r="J56" s="14"/>
      <c r="K56" s="14"/>
      <c r="L56" s="14"/>
      <c r="N56" s="628">
        <v>51</v>
      </c>
      <c r="O56" s="629">
        <v>25.781999590000002</v>
      </c>
      <c r="P56" s="629">
        <v>18.771999359999999</v>
      </c>
      <c r="Q56" s="630">
        <v>38.4</v>
      </c>
      <c r="R56" s="634"/>
      <c r="S56" s="628">
        <v>51</v>
      </c>
      <c r="T56" s="631">
        <v>120.15600296300001</v>
      </c>
      <c r="U56" s="632">
        <v>202.35899971500001</v>
      </c>
      <c r="V56" s="633">
        <v>199</v>
      </c>
    </row>
    <row r="57" spans="1:22" ht="12.75">
      <c r="A57" s="92"/>
      <c r="B57" s="91"/>
      <c r="C57" s="91"/>
      <c r="D57" s="91"/>
      <c r="E57" s="91"/>
      <c r="F57" s="91"/>
      <c r="G57" s="91"/>
      <c r="H57" s="91"/>
      <c r="I57" s="91"/>
      <c r="N57" s="628">
        <v>52</v>
      </c>
      <c r="O57" s="629">
        <v>22.256999969999999</v>
      </c>
      <c r="P57" s="629">
        <v>25.781999590000002</v>
      </c>
      <c r="Q57" s="630">
        <v>59.261001589999999</v>
      </c>
      <c r="R57" s="634"/>
      <c r="S57" s="628">
        <v>52</v>
      </c>
      <c r="T57" s="631">
        <v>116.12899696700001</v>
      </c>
      <c r="U57" s="632">
        <v>201.25199794899999</v>
      </c>
      <c r="V57" s="633">
        <v>192.88799664499999</v>
      </c>
    </row>
    <row r="58" spans="1:22" ht="12.75">
      <c r="A58" s="92"/>
      <c r="B58" s="91"/>
      <c r="C58" s="91"/>
      <c r="D58" s="91"/>
      <c r="E58" s="91"/>
      <c r="F58" s="91"/>
      <c r="G58" s="91"/>
      <c r="H58" s="91"/>
      <c r="I58" s="91"/>
      <c r="N58" s="628">
        <v>53</v>
      </c>
      <c r="O58" s="634"/>
      <c r="P58" s="634"/>
      <c r="Q58" s="634"/>
      <c r="R58" s="634"/>
      <c r="S58" s="628">
        <v>53</v>
      </c>
      <c r="T58" s="631"/>
      <c r="U58" s="632"/>
      <c r="V58" s="633"/>
    </row>
    <row r="59" spans="1:22" ht="12.75">
      <c r="B59" s="91"/>
      <c r="C59" s="91"/>
      <c r="D59" s="91"/>
      <c r="E59" s="91"/>
      <c r="F59" s="91"/>
      <c r="G59" s="91"/>
      <c r="H59" s="91"/>
      <c r="I59" s="91"/>
      <c r="N59" s="625"/>
      <c r="O59" s="625"/>
      <c r="P59" s="625"/>
      <c r="Q59" s="625"/>
      <c r="R59" s="625"/>
      <c r="S59" s="625"/>
      <c r="T59" s="625"/>
      <c r="U59" s="625"/>
      <c r="V59" s="625"/>
    </row>
    <row r="60" spans="1:22" ht="12.75">
      <c r="A60" s="92"/>
      <c r="B60" s="91"/>
      <c r="C60" s="91"/>
      <c r="D60" s="91"/>
      <c r="E60" s="91"/>
      <c r="F60" s="91"/>
      <c r="G60" s="91"/>
      <c r="H60" s="91"/>
      <c r="I60" s="91"/>
    </row>
    <row r="63" spans="1:22">
      <c r="A63" s="348" t="s">
        <v>524</v>
      </c>
    </row>
  </sheetData>
  <mergeCells count="2">
    <mergeCell ref="A5:I5"/>
    <mergeCell ref="B7:C7"/>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60"/>
  <sheetViews>
    <sheetView showGridLines="0" view="pageBreakPreview" zoomScale="130" zoomScaleNormal="100" zoomScaleSheetLayoutView="130" zoomScalePageLayoutView="130" workbookViewId="0">
      <selection activeCell="D4" sqref="D4"/>
    </sheetView>
  </sheetViews>
  <sheetFormatPr defaultColWidth="9.33203125"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396"/>
    <col min="11" max="11" width="9.33203125" style="619"/>
    <col min="12" max="12" width="3.1640625" style="620" bestFit="1" customWidth="1"/>
    <col min="13" max="21" width="9.33203125" style="619"/>
    <col min="22" max="16384" width="9.33203125" style="3"/>
  </cols>
  <sheetData>
    <row r="1" spans="1:15" ht="11.25" customHeight="1"/>
    <row r="2" spans="1:15" ht="11.25" customHeight="1">
      <c r="A2" s="25"/>
      <c r="B2" s="25"/>
      <c r="C2" s="25"/>
      <c r="D2" s="25"/>
      <c r="E2" s="91"/>
      <c r="F2" s="91"/>
      <c r="G2" s="91"/>
    </row>
    <row r="3" spans="1:15" ht="17.25" customHeight="1">
      <c r="A3" s="972" t="s">
        <v>474</v>
      </c>
      <c r="B3" s="972"/>
      <c r="C3" s="972"/>
      <c r="D3" s="972"/>
      <c r="E3" s="972"/>
      <c r="F3" s="972"/>
      <c r="G3" s="972"/>
      <c r="H3" s="45"/>
      <c r="I3" s="45"/>
      <c r="K3" s="619" t="s">
        <v>293</v>
      </c>
      <c r="M3" s="619" t="s">
        <v>294</v>
      </c>
      <c r="N3" s="619" t="s">
        <v>295</v>
      </c>
      <c r="O3" s="619" t="s">
        <v>296</v>
      </c>
    </row>
    <row r="4" spans="1:15" ht="11.25" customHeight="1">
      <c r="A4" s="92"/>
      <c r="B4" s="91"/>
      <c r="C4" s="91"/>
      <c r="D4" s="91"/>
      <c r="E4" s="91"/>
      <c r="F4" s="91"/>
      <c r="G4" s="91"/>
      <c r="H4" s="45"/>
      <c r="I4" s="45"/>
      <c r="J4" s="396">
        <v>2016</v>
      </c>
      <c r="K4" s="619">
        <v>1</v>
      </c>
      <c r="L4" s="620">
        <v>1</v>
      </c>
      <c r="M4" s="621">
        <v>40.61</v>
      </c>
      <c r="N4" s="621">
        <v>96.75</v>
      </c>
      <c r="O4" s="621">
        <v>16.37</v>
      </c>
    </row>
    <row r="5" spans="1:15" ht="11.25" customHeight="1">
      <c r="A5" s="92"/>
      <c r="B5" s="91"/>
      <c r="C5" s="91"/>
      <c r="D5" s="91"/>
      <c r="E5" s="91"/>
      <c r="F5" s="91"/>
      <c r="G5" s="91"/>
      <c r="H5" s="16"/>
      <c r="I5" s="16"/>
      <c r="L5" s="620">
        <v>2</v>
      </c>
      <c r="M5" s="621">
        <v>29.82</v>
      </c>
      <c r="N5" s="621">
        <v>76.510000000000005</v>
      </c>
      <c r="O5" s="621">
        <v>15.9</v>
      </c>
    </row>
    <row r="6" spans="1:15" ht="29.25" customHeight="1">
      <c r="A6" s="157"/>
      <c r="C6" s="741" t="s">
        <v>152</v>
      </c>
      <c r="D6" s="744" t="str">
        <f>UPPER('1. Resumen'!Q4)&amp;"
 "&amp;'1. Resumen'!Q5</f>
        <v>DICIEMBRE
 2018</v>
      </c>
      <c r="E6" s="745" t="str">
        <f>UPPER('1. Resumen'!Q4)&amp;"
 "&amp;'1. Resumen'!Q5-1</f>
        <v>DICIEMBRE
 2017</v>
      </c>
      <c r="F6" s="746" t="s">
        <v>131</v>
      </c>
      <c r="G6" s="159"/>
      <c r="H6" s="31"/>
      <c r="I6" s="16"/>
      <c r="L6" s="620">
        <v>3</v>
      </c>
      <c r="M6" s="621">
        <v>27.06</v>
      </c>
      <c r="N6" s="621">
        <v>80.096000000000004</v>
      </c>
      <c r="O6" s="621">
        <v>29.21</v>
      </c>
    </row>
    <row r="7" spans="1:15" ht="11.25" customHeight="1">
      <c r="A7" s="207"/>
      <c r="C7" s="884" t="s">
        <v>153</v>
      </c>
      <c r="D7" s="885">
        <v>65.251000000000005</v>
      </c>
      <c r="E7" s="885">
        <v>27.89</v>
      </c>
      <c r="F7" s="886">
        <f>IF(E7=0,"",(D7-E7)/E7)</f>
        <v>1.3395840803155254</v>
      </c>
      <c r="G7" s="159"/>
      <c r="H7" s="32"/>
      <c r="I7" s="5"/>
      <c r="K7" s="619">
        <v>4</v>
      </c>
      <c r="L7" s="620">
        <v>4</v>
      </c>
      <c r="M7" s="621">
        <v>27.93</v>
      </c>
      <c r="N7" s="621">
        <v>77.09</v>
      </c>
      <c r="O7" s="621">
        <v>20.7</v>
      </c>
    </row>
    <row r="8" spans="1:15" ht="11.25" customHeight="1">
      <c r="A8" s="207"/>
      <c r="C8" s="887" t="s">
        <v>159</v>
      </c>
      <c r="D8" s="888">
        <v>12.93</v>
      </c>
      <c r="E8" s="888">
        <v>13.33</v>
      </c>
      <c r="F8" s="889">
        <f t="shared" ref="F8:F30" si="0">IF(E8=0,"",(D8-E8)/E8)</f>
        <v>-3.0007501875468894E-2</v>
      </c>
      <c r="G8" s="159"/>
      <c r="H8" s="30"/>
      <c r="I8" s="5"/>
      <c r="L8" s="620">
        <v>5</v>
      </c>
      <c r="M8" s="621">
        <v>49.585999999999999</v>
      </c>
      <c r="N8" s="621">
        <v>140.12</v>
      </c>
      <c r="O8" s="621">
        <v>74.02</v>
      </c>
    </row>
    <row r="9" spans="1:15" ht="11.25" customHeight="1">
      <c r="A9" s="207"/>
      <c r="C9" s="890" t="s">
        <v>160</v>
      </c>
      <c r="D9" s="891">
        <v>84.88</v>
      </c>
      <c r="E9" s="891">
        <v>83.12</v>
      </c>
      <c r="F9" s="892">
        <f t="shared" si="0"/>
        <v>2.1174205967276115E-2</v>
      </c>
      <c r="G9" s="159"/>
      <c r="H9" s="32"/>
      <c r="I9" s="5"/>
      <c r="L9" s="620">
        <v>6</v>
      </c>
      <c r="M9" s="621">
        <v>57</v>
      </c>
      <c r="N9" s="621">
        <v>144.66999999999999</v>
      </c>
      <c r="O9" s="621">
        <v>78.08</v>
      </c>
    </row>
    <row r="10" spans="1:15" ht="11.25" customHeight="1">
      <c r="A10" s="207"/>
      <c r="C10" s="887" t="s">
        <v>167</v>
      </c>
      <c r="D10" s="888">
        <v>77.33</v>
      </c>
      <c r="E10" s="888">
        <v>75.22</v>
      </c>
      <c r="F10" s="889">
        <f t="shared" si="0"/>
        <v>2.8051050252592389E-2</v>
      </c>
      <c r="G10" s="159"/>
      <c r="H10" s="32"/>
      <c r="I10" s="5"/>
      <c r="L10" s="620">
        <v>7</v>
      </c>
      <c r="M10" s="621">
        <v>52.31</v>
      </c>
      <c r="N10" s="621">
        <v>117.32</v>
      </c>
      <c r="O10" s="621">
        <v>41.34</v>
      </c>
    </row>
    <row r="11" spans="1:15" ht="11.25" customHeight="1">
      <c r="A11" s="207"/>
      <c r="C11" s="890" t="s">
        <v>168</v>
      </c>
      <c r="D11" s="891">
        <v>22.77</v>
      </c>
      <c r="E11" s="891">
        <v>22.94</v>
      </c>
      <c r="F11" s="892">
        <f t="shared" si="0"/>
        <v>-7.4106364428945812E-3</v>
      </c>
      <c r="G11" s="159"/>
      <c r="H11" s="32"/>
      <c r="I11" s="5"/>
      <c r="K11" s="619">
        <v>8</v>
      </c>
      <c r="L11" s="620">
        <v>8</v>
      </c>
      <c r="M11" s="621">
        <v>57.96</v>
      </c>
      <c r="N11" s="621">
        <v>140.31</v>
      </c>
      <c r="O11" s="621">
        <v>96.52</v>
      </c>
    </row>
    <row r="12" spans="1:15" ht="11.25" customHeight="1">
      <c r="A12" s="207"/>
      <c r="C12" s="887" t="s">
        <v>170</v>
      </c>
      <c r="D12" s="888">
        <v>11.06</v>
      </c>
      <c r="E12" s="888">
        <v>18.34</v>
      </c>
      <c r="F12" s="889">
        <f t="shared" si="0"/>
        <v>-0.39694656488549618</v>
      </c>
      <c r="G12" s="159"/>
      <c r="H12" s="32"/>
      <c r="I12" s="5"/>
      <c r="L12" s="620">
        <v>9</v>
      </c>
      <c r="M12" s="621">
        <v>100.51885660000001</v>
      </c>
      <c r="N12" s="621">
        <v>268.94750210000001</v>
      </c>
      <c r="O12" s="621">
        <v>150.104332</v>
      </c>
    </row>
    <row r="13" spans="1:15" ht="11.25" customHeight="1">
      <c r="A13" s="207"/>
      <c r="C13" s="890" t="s">
        <v>158</v>
      </c>
      <c r="D13" s="891">
        <v>11.351478494623656</v>
      </c>
      <c r="E13" s="891">
        <v>14.14</v>
      </c>
      <c r="F13" s="892">
        <f t="shared" si="0"/>
        <v>-0.19720802725433836</v>
      </c>
      <c r="G13" s="159"/>
      <c r="H13" s="30"/>
      <c r="I13" s="5"/>
      <c r="L13" s="620">
        <v>10</v>
      </c>
      <c r="M13" s="621">
        <v>75.15657152448378</v>
      </c>
      <c r="N13" s="621">
        <v>243.71150207519463</v>
      </c>
      <c r="O13" s="621">
        <v>181.79733530680286</v>
      </c>
    </row>
    <row r="14" spans="1:15" ht="11.25" customHeight="1">
      <c r="A14" s="207"/>
      <c r="C14" s="887" t="s">
        <v>284</v>
      </c>
      <c r="D14" s="888">
        <v>34.630000000000003</v>
      </c>
      <c r="E14" s="888">
        <v>46.41</v>
      </c>
      <c r="F14" s="889">
        <f t="shared" si="0"/>
        <v>-0.25382460676578311</v>
      </c>
      <c r="G14" s="159"/>
      <c r="H14" s="32"/>
      <c r="I14" s="5"/>
      <c r="L14" s="620">
        <v>11</v>
      </c>
      <c r="M14" s="621">
        <v>52.24</v>
      </c>
      <c r="N14" s="621">
        <v>154.21</v>
      </c>
      <c r="O14" s="621">
        <v>79.12</v>
      </c>
    </row>
    <row r="15" spans="1:15" ht="11.25" customHeight="1">
      <c r="A15" s="207"/>
      <c r="C15" s="890" t="s">
        <v>285</v>
      </c>
      <c r="D15" s="891">
        <v>121.17</v>
      </c>
      <c r="E15" s="891">
        <v>75.209999999999994</v>
      </c>
      <c r="F15" s="892">
        <f t="shared" si="0"/>
        <v>0.61108895093737547</v>
      </c>
      <c r="G15" s="159"/>
      <c r="H15" s="32"/>
      <c r="I15" s="5"/>
      <c r="K15" s="619">
        <v>12</v>
      </c>
      <c r="L15" s="620">
        <v>12</v>
      </c>
      <c r="M15" s="621">
        <v>44.628571101597331</v>
      </c>
      <c r="N15" s="621">
        <v>116.62271445138057</v>
      </c>
      <c r="O15" s="621">
        <v>41.373285293579045</v>
      </c>
    </row>
    <row r="16" spans="1:15" ht="11.25" customHeight="1">
      <c r="A16" s="207"/>
      <c r="C16" s="887" t="s">
        <v>165</v>
      </c>
      <c r="D16" s="888">
        <v>28.3</v>
      </c>
      <c r="E16" s="888">
        <v>30.89</v>
      </c>
      <c r="F16" s="889">
        <f t="shared" si="0"/>
        <v>-8.3845904823567491E-2</v>
      </c>
      <c r="G16" s="159"/>
      <c r="H16" s="32"/>
      <c r="I16" s="5"/>
      <c r="L16" s="620">
        <v>13</v>
      </c>
      <c r="M16" s="621">
        <v>42.599998474121001</v>
      </c>
      <c r="N16" s="621">
        <v>120.78800201416</v>
      </c>
      <c r="O16" s="621">
        <v>93.665000915527301</v>
      </c>
    </row>
    <row r="17" spans="1:15" ht="11.25" customHeight="1">
      <c r="A17" s="207"/>
      <c r="C17" s="890" t="s">
        <v>169</v>
      </c>
      <c r="D17" s="891">
        <v>8.77</v>
      </c>
      <c r="E17" s="891">
        <v>9.3000000000000007</v>
      </c>
      <c r="F17" s="892">
        <f t="shared" si="0"/>
        <v>-5.6989247311828077E-2</v>
      </c>
      <c r="G17" s="159"/>
      <c r="H17" s="32"/>
      <c r="I17" s="5"/>
      <c r="L17" s="620">
        <v>14</v>
      </c>
      <c r="M17" s="621">
        <v>49.743000030517535</v>
      </c>
      <c r="N17" s="621">
        <v>125.66285814557708</v>
      </c>
      <c r="O17" s="621">
        <v>131.74585723876913</v>
      </c>
    </row>
    <row r="18" spans="1:15" ht="11.25" customHeight="1">
      <c r="A18" s="207"/>
      <c r="C18" s="887" t="s">
        <v>286</v>
      </c>
      <c r="D18" s="888">
        <v>12.41</v>
      </c>
      <c r="E18" s="888">
        <v>13.02</v>
      </c>
      <c r="F18" s="889">
        <f t="shared" si="0"/>
        <v>-4.6850998463901644E-2</v>
      </c>
      <c r="G18" s="159"/>
      <c r="H18" s="32"/>
      <c r="I18" s="5"/>
      <c r="L18" s="620">
        <v>15</v>
      </c>
      <c r="M18" s="621">
        <v>54.414285387311615</v>
      </c>
      <c r="N18" s="621">
        <v>127.68985639299636</v>
      </c>
      <c r="O18" s="621">
        <v>71.706143515450577</v>
      </c>
    </row>
    <row r="19" spans="1:15" ht="11.25" customHeight="1">
      <c r="A19" s="207"/>
      <c r="C19" s="890" t="s">
        <v>287</v>
      </c>
      <c r="D19" s="891">
        <v>13.618960591397862</v>
      </c>
      <c r="E19" s="891">
        <v>20.34</v>
      </c>
      <c r="F19" s="892">
        <f t="shared" si="0"/>
        <v>-0.33043458252714542</v>
      </c>
      <c r="G19" s="159"/>
      <c r="H19" s="32"/>
      <c r="I19" s="5"/>
      <c r="K19" s="619">
        <v>16</v>
      </c>
      <c r="L19" s="620">
        <v>16</v>
      </c>
      <c r="M19" s="621">
        <v>47.73</v>
      </c>
      <c r="N19" s="621">
        <v>97.4</v>
      </c>
      <c r="O19" s="621">
        <v>53.49</v>
      </c>
    </row>
    <row r="20" spans="1:15" ht="11.25" customHeight="1">
      <c r="A20" s="207"/>
      <c r="C20" s="887" t="s">
        <v>288</v>
      </c>
      <c r="D20" s="888">
        <v>1.3</v>
      </c>
      <c r="E20" s="888">
        <v>0.84</v>
      </c>
      <c r="F20" s="889">
        <f t="shared" si="0"/>
        <v>0.54761904761904778</v>
      </c>
      <c r="G20" s="159"/>
      <c r="H20" s="32"/>
      <c r="I20" s="5"/>
      <c r="L20" s="620">
        <v>17</v>
      </c>
      <c r="M20" s="621">
        <v>42.142857687813873</v>
      </c>
      <c r="N20" s="621">
        <v>85.487143380301248</v>
      </c>
      <c r="O20" s="621">
        <v>51.424428122384178</v>
      </c>
    </row>
    <row r="21" spans="1:15" ht="11.25" customHeight="1">
      <c r="A21" s="207"/>
      <c r="C21" s="890" t="s">
        <v>156</v>
      </c>
      <c r="D21" s="891">
        <v>70.17</v>
      </c>
      <c r="E21" s="891">
        <v>92.48</v>
      </c>
      <c r="F21" s="892">
        <f t="shared" si="0"/>
        <v>-0.24124134948096887</v>
      </c>
      <c r="G21" s="159"/>
      <c r="H21" s="32"/>
      <c r="I21" s="5"/>
      <c r="L21" s="620">
        <v>18</v>
      </c>
      <c r="M21" s="621">
        <v>27.452428545270582</v>
      </c>
      <c r="N21" s="621">
        <v>62.369998931884716</v>
      </c>
      <c r="O21" s="621">
        <v>34.353571755545424</v>
      </c>
    </row>
    <row r="22" spans="1:15" ht="11.25" customHeight="1">
      <c r="A22" s="207"/>
      <c r="C22" s="887" t="s">
        <v>154</v>
      </c>
      <c r="D22" s="888">
        <v>0</v>
      </c>
      <c r="E22" s="888">
        <v>0.89907895599999998</v>
      </c>
      <c r="F22" s="889">
        <f t="shared" si="0"/>
        <v>-1</v>
      </c>
      <c r="G22" s="159"/>
      <c r="H22" s="32"/>
      <c r="I22" s="5"/>
      <c r="L22" s="620">
        <v>19</v>
      </c>
      <c r="M22" s="621">
        <v>21.857142584664455</v>
      </c>
      <c r="N22" s="621">
        <v>58.684285300118525</v>
      </c>
      <c r="O22" s="621">
        <v>29.207143238612552</v>
      </c>
    </row>
    <row r="23" spans="1:15" ht="11.25" customHeight="1">
      <c r="A23" s="207"/>
      <c r="C23" s="890" t="s">
        <v>155</v>
      </c>
      <c r="D23" s="891">
        <v>7.2050000000000001</v>
      </c>
      <c r="E23" s="891">
        <v>0</v>
      </c>
      <c r="F23" s="892" t="str">
        <f t="shared" si="0"/>
        <v/>
      </c>
      <c r="G23" s="159"/>
      <c r="H23" s="32"/>
      <c r="I23" s="5"/>
      <c r="K23" s="619">
        <v>20</v>
      </c>
      <c r="L23" s="620">
        <v>20</v>
      </c>
      <c r="M23" s="621">
        <v>19.5</v>
      </c>
      <c r="N23" s="621">
        <v>54</v>
      </c>
      <c r="O23" s="621">
        <v>22.1</v>
      </c>
    </row>
    <row r="24" spans="1:15" ht="11.25" customHeight="1">
      <c r="A24" s="207"/>
      <c r="C24" s="887" t="s">
        <v>171</v>
      </c>
      <c r="D24" s="888">
        <v>32.81</v>
      </c>
      <c r="E24" s="888">
        <v>33.51</v>
      </c>
      <c r="F24" s="889">
        <f t="shared" si="0"/>
        <v>-2.0889286780065526E-2</v>
      </c>
      <c r="G24" s="159"/>
      <c r="H24" s="33"/>
      <c r="I24" s="5"/>
      <c r="L24" s="620">
        <v>21</v>
      </c>
      <c r="M24" s="621">
        <v>19.485713958740185</v>
      </c>
      <c r="N24" s="621">
        <v>50.756999969482365</v>
      </c>
      <c r="O24" s="621">
        <v>17.473428726196214</v>
      </c>
    </row>
    <row r="25" spans="1:15" ht="11.25" customHeight="1">
      <c r="A25" s="208"/>
      <c r="C25" s="890" t="s">
        <v>161</v>
      </c>
      <c r="D25" s="891">
        <v>0</v>
      </c>
      <c r="E25" s="891">
        <v>0</v>
      </c>
      <c r="F25" s="892" t="str">
        <f t="shared" si="0"/>
        <v/>
      </c>
      <c r="G25" s="187"/>
      <c r="H25" s="32"/>
      <c r="I25" s="5"/>
      <c r="L25" s="620">
        <v>22</v>
      </c>
      <c r="M25" s="621">
        <v>16.329999999999998</v>
      </c>
      <c r="N25" s="621">
        <v>46.59</v>
      </c>
      <c r="O25" s="621">
        <v>17.04</v>
      </c>
    </row>
    <row r="26" spans="1:15" ht="11.25" customHeight="1">
      <c r="A26" s="209"/>
      <c r="C26" s="887" t="s">
        <v>162</v>
      </c>
      <c r="D26" s="888">
        <v>5.3</v>
      </c>
      <c r="E26" s="888">
        <v>10.27</v>
      </c>
      <c r="F26" s="889">
        <f t="shared" si="0"/>
        <v>-0.48393378773125606</v>
      </c>
      <c r="G26" s="159"/>
      <c r="H26" s="30"/>
      <c r="I26" s="5"/>
      <c r="L26" s="620">
        <v>23</v>
      </c>
      <c r="M26" s="621">
        <v>15.18</v>
      </c>
      <c r="N26" s="621">
        <v>40.29</v>
      </c>
      <c r="O26" s="621">
        <v>22.12</v>
      </c>
    </row>
    <row r="27" spans="1:15" ht="11.25" customHeight="1">
      <c r="A27" s="159"/>
      <c r="C27" s="890" t="s">
        <v>163</v>
      </c>
      <c r="D27" s="891">
        <v>0.06</v>
      </c>
      <c r="E27" s="891">
        <v>1.84</v>
      </c>
      <c r="F27" s="892">
        <f t="shared" si="0"/>
        <v>-0.96739130434782605</v>
      </c>
      <c r="G27" s="159"/>
      <c r="H27" s="30"/>
      <c r="I27" s="5"/>
      <c r="K27" s="619">
        <v>24</v>
      </c>
      <c r="L27" s="620">
        <v>24</v>
      </c>
      <c r="M27" s="621">
        <v>15.1</v>
      </c>
      <c r="N27" s="621">
        <v>35.630000000000003</v>
      </c>
      <c r="O27" s="621">
        <v>13.87</v>
      </c>
    </row>
    <row r="28" spans="1:15" ht="11.25" customHeight="1">
      <c r="A28" s="159"/>
      <c r="C28" s="887" t="s">
        <v>164</v>
      </c>
      <c r="D28" s="888">
        <v>0</v>
      </c>
      <c r="E28" s="888">
        <v>0</v>
      </c>
      <c r="F28" s="889" t="str">
        <f t="shared" si="0"/>
        <v/>
      </c>
      <c r="G28" s="159"/>
      <c r="H28" s="30"/>
      <c r="I28" s="5"/>
      <c r="L28" s="620">
        <v>25</v>
      </c>
      <c r="M28" s="621">
        <v>18.016999930000001</v>
      </c>
      <c r="N28" s="621">
        <v>34.608428410000002</v>
      </c>
      <c r="O28" s="621">
        <v>10.78285721</v>
      </c>
    </row>
    <row r="29" spans="1:15" ht="11.25" customHeight="1">
      <c r="A29" s="187"/>
      <c r="C29" s="890" t="s">
        <v>166</v>
      </c>
      <c r="D29" s="891">
        <v>0.18099999999999999</v>
      </c>
      <c r="E29" s="891">
        <v>1.32</v>
      </c>
      <c r="F29" s="892">
        <f t="shared" si="0"/>
        <v>-0.8628787878787878</v>
      </c>
      <c r="G29" s="210"/>
      <c r="H29" s="30"/>
      <c r="I29" s="5"/>
      <c r="L29" s="620">
        <v>26</v>
      </c>
      <c r="M29" s="621">
        <v>16.489714209999999</v>
      </c>
      <c r="N29" s="621">
        <v>34.074285510000003</v>
      </c>
      <c r="O29" s="621">
        <v>9.5958572120000003</v>
      </c>
    </row>
    <row r="30" spans="1:15" ht="11.25" customHeight="1">
      <c r="A30" s="209"/>
      <c r="C30" s="893" t="s">
        <v>157</v>
      </c>
      <c r="D30" s="894">
        <v>4.225806451612903</v>
      </c>
      <c r="E30" s="894">
        <v>7.72</v>
      </c>
      <c r="F30" s="895">
        <f t="shared" si="0"/>
        <v>-0.45261574460972759</v>
      </c>
      <c r="G30" s="159"/>
      <c r="H30" s="32"/>
      <c r="I30" s="5"/>
      <c r="L30" s="620">
        <v>27</v>
      </c>
      <c r="M30" s="621">
        <v>16.199999810000001</v>
      </c>
      <c r="N30" s="621">
        <v>29.599571770000001</v>
      </c>
      <c r="O30" s="621">
        <v>7.8892858370000001</v>
      </c>
    </row>
    <row r="31" spans="1:15" ht="11.25" customHeight="1">
      <c r="A31" s="158"/>
      <c r="C31" s="349" t="str">
        <f>"Cuadro N°10: Promedio de caudales en "&amp;'1. Resumen'!Q4</f>
        <v>Cuadro N°10: Promedio de caudales en diciembre</v>
      </c>
      <c r="D31" s="158"/>
      <c r="E31" s="158"/>
      <c r="F31" s="158"/>
      <c r="G31" s="158"/>
      <c r="H31" s="32"/>
      <c r="I31" s="8"/>
      <c r="K31" s="619">
        <v>28</v>
      </c>
      <c r="L31" s="620">
        <v>28</v>
      </c>
      <c r="M31" s="621">
        <v>12.016285760000001</v>
      </c>
      <c r="N31" s="621">
        <v>29.3955713</v>
      </c>
      <c r="O31" s="621">
        <v>7.2334286140000001</v>
      </c>
    </row>
    <row r="32" spans="1:15" ht="11.25" customHeight="1">
      <c r="A32" s="158"/>
      <c r="B32" s="158"/>
      <c r="C32" s="158"/>
      <c r="D32" s="158"/>
      <c r="E32" s="158"/>
      <c r="F32" s="158"/>
      <c r="G32" s="158"/>
      <c r="H32" s="32"/>
      <c r="I32" s="8"/>
      <c r="L32" s="620">
        <v>29</v>
      </c>
      <c r="M32" s="621">
        <v>10.423571450000001</v>
      </c>
      <c r="N32" s="621">
        <v>32.468857079999999</v>
      </c>
      <c r="O32" s="621">
        <v>6.729428564</v>
      </c>
    </row>
    <row r="33" spans="1:15" ht="11.25" customHeight="1">
      <c r="A33" s="158"/>
      <c r="B33" s="158"/>
      <c r="C33" s="158"/>
      <c r="D33" s="158"/>
      <c r="E33" s="158"/>
      <c r="F33" s="158"/>
      <c r="G33" s="158"/>
      <c r="H33" s="32"/>
      <c r="I33" s="8"/>
      <c r="L33" s="620">
        <v>30</v>
      </c>
      <c r="M33" s="621">
        <v>10.043285640000001</v>
      </c>
      <c r="N33" s="621">
        <v>32.112285890000003</v>
      </c>
      <c r="O33" s="621">
        <v>5.6338571819999999</v>
      </c>
    </row>
    <row r="34" spans="1:15" ht="11.25" customHeight="1">
      <c r="A34" s="158"/>
      <c r="B34" s="158"/>
      <c r="C34" s="158"/>
      <c r="D34" s="158"/>
      <c r="E34" s="158"/>
      <c r="F34" s="158"/>
      <c r="G34" s="158"/>
      <c r="H34" s="32"/>
      <c r="I34" s="8"/>
      <c r="L34" s="620">
        <v>31</v>
      </c>
      <c r="M34" s="621">
        <v>10.086428642272944</v>
      </c>
      <c r="N34" s="621">
        <v>29.132714407784558</v>
      </c>
      <c r="O34" s="621">
        <v>5.181999887738904</v>
      </c>
    </row>
    <row r="35" spans="1:15" ht="11.25" customHeight="1">
      <c r="A35" s="972" t="s">
        <v>475</v>
      </c>
      <c r="B35" s="972"/>
      <c r="C35" s="972"/>
      <c r="D35" s="972"/>
      <c r="E35" s="972"/>
      <c r="F35" s="972"/>
      <c r="G35" s="972"/>
      <c r="H35" s="32"/>
      <c r="I35" s="8"/>
      <c r="K35" s="619">
        <v>32</v>
      </c>
      <c r="L35" s="620">
        <v>32</v>
      </c>
      <c r="M35" s="621">
        <v>12.08228561</v>
      </c>
      <c r="N35" s="621">
        <v>34.150143489999998</v>
      </c>
      <c r="O35" s="621">
        <v>4.8032856669999999</v>
      </c>
    </row>
    <row r="36" spans="1:15" ht="11.25" customHeight="1">
      <c r="A36" s="158"/>
      <c r="B36" s="158"/>
      <c r="C36" s="158"/>
      <c r="D36" s="158"/>
      <c r="E36" s="158"/>
      <c r="F36" s="158"/>
      <c r="G36" s="158"/>
      <c r="H36" s="32"/>
      <c r="I36" s="8"/>
      <c r="L36" s="620">
        <v>33</v>
      </c>
      <c r="M36" s="621">
        <v>11.874000004359614</v>
      </c>
      <c r="N36" s="621">
        <v>35.225571223667643</v>
      </c>
      <c r="O36" s="621">
        <v>4.3821428843906904</v>
      </c>
    </row>
    <row r="37" spans="1:15" ht="11.25" customHeight="1">
      <c r="A37" s="157"/>
      <c r="B37" s="159"/>
      <c r="C37" s="159"/>
      <c r="D37" s="159"/>
      <c r="E37" s="159"/>
      <c r="F37" s="159"/>
      <c r="G37" s="159"/>
      <c r="H37" s="33"/>
      <c r="I37" s="8"/>
      <c r="L37" s="620">
        <v>34</v>
      </c>
      <c r="M37" s="621">
        <v>10.842857090000001</v>
      </c>
      <c r="N37" s="621">
        <v>35.168570930000001</v>
      </c>
      <c r="O37" s="621">
        <v>13.837000059999999</v>
      </c>
    </row>
    <row r="38" spans="1:15" ht="11.25" customHeight="1">
      <c r="A38" s="92"/>
      <c r="B38" s="91"/>
      <c r="C38" s="91"/>
      <c r="D38" s="91"/>
      <c r="E38" s="91"/>
      <c r="F38" s="91"/>
      <c r="G38" s="91"/>
      <c r="H38" s="5"/>
      <c r="I38" s="8"/>
      <c r="L38" s="620">
        <v>35</v>
      </c>
      <c r="M38" s="621">
        <v>10.48142842</v>
      </c>
      <c r="N38" s="621">
        <v>37.824428560000001</v>
      </c>
      <c r="O38" s="621">
        <v>3.922857182</v>
      </c>
    </row>
    <row r="39" spans="1:15" ht="11.25" customHeight="1">
      <c r="A39" s="92"/>
      <c r="B39" s="91"/>
      <c r="C39" s="91"/>
      <c r="D39" s="91"/>
      <c r="E39" s="91"/>
      <c r="F39" s="91"/>
      <c r="G39" s="91"/>
      <c r="H39" s="5"/>
      <c r="I39" s="13"/>
      <c r="K39" s="619">
        <v>36</v>
      </c>
      <c r="L39" s="620">
        <v>36</v>
      </c>
      <c r="M39" s="621">
        <v>11.85</v>
      </c>
      <c r="N39" s="621">
        <v>39.78</v>
      </c>
      <c r="O39" s="621">
        <v>4.9800000000000004</v>
      </c>
    </row>
    <row r="40" spans="1:15" ht="11.25" customHeight="1">
      <c r="A40" s="92"/>
      <c r="B40" s="91"/>
      <c r="C40" s="91"/>
      <c r="D40" s="91"/>
      <c r="E40" s="91"/>
      <c r="F40" s="91"/>
      <c r="G40" s="91"/>
      <c r="H40" s="5"/>
      <c r="I40" s="13"/>
      <c r="L40" s="620">
        <v>37</v>
      </c>
      <c r="M40" s="621">
        <v>12.08</v>
      </c>
      <c r="N40" s="621">
        <v>44.25</v>
      </c>
      <c r="O40" s="621">
        <v>4.92</v>
      </c>
    </row>
    <row r="41" spans="1:15" ht="11.25" customHeight="1">
      <c r="A41" s="92"/>
      <c r="B41" s="91"/>
      <c r="C41" s="91"/>
      <c r="D41" s="91"/>
      <c r="E41" s="91"/>
      <c r="F41" s="91"/>
      <c r="G41" s="91"/>
      <c r="H41" s="5"/>
      <c r="I41" s="9"/>
      <c r="L41" s="620">
        <v>38</v>
      </c>
      <c r="M41" s="621">
        <v>11.88371427</v>
      </c>
      <c r="N41" s="621">
        <v>41.311858039999997</v>
      </c>
      <c r="O41" s="621">
        <v>4.6447142870000002</v>
      </c>
    </row>
    <row r="42" spans="1:15" ht="11.25" customHeight="1">
      <c r="A42" s="92"/>
      <c r="B42" s="91"/>
      <c r="C42" s="91"/>
      <c r="D42" s="91"/>
      <c r="E42" s="91"/>
      <c r="F42" s="91"/>
      <c r="G42" s="91"/>
      <c r="H42" s="5"/>
      <c r="I42" s="9"/>
      <c r="K42" s="619">
        <v>39</v>
      </c>
      <c r="L42" s="620">
        <v>39</v>
      </c>
      <c r="M42" s="621">
        <v>13.06</v>
      </c>
      <c r="N42" s="621">
        <v>41.13</v>
      </c>
      <c r="O42" s="621">
        <v>4.2699999999999996</v>
      </c>
    </row>
    <row r="43" spans="1:15" ht="11.25" customHeight="1">
      <c r="A43" s="92"/>
      <c r="B43" s="91"/>
      <c r="C43" s="91"/>
      <c r="D43" s="91"/>
      <c r="E43" s="91"/>
      <c r="F43" s="91"/>
      <c r="G43" s="91"/>
      <c r="H43" s="5"/>
      <c r="I43" s="9"/>
      <c r="L43" s="620">
        <v>40</v>
      </c>
      <c r="M43" s="621">
        <v>15.945571764285715</v>
      </c>
      <c r="N43" s="621">
        <v>46.466000694285704</v>
      </c>
      <c r="O43" s="621">
        <v>5.3634285927142864</v>
      </c>
    </row>
    <row r="44" spans="1:15" ht="11.25" customHeight="1">
      <c r="A44" s="92"/>
      <c r="B44" s="91"/>
      <c r="C44" s="91"/>
      <c r="D44" s="91"/>
      <c r="E44" s="91"/>
      <c r="F44" s="91"/>
      <c r="G44" s="91"/>
      <c r="H44" s="8"/>
      <c r="I44" s="13"/>
      <c r="L44" s="620">
        <v>41</v>
      </c>
      <c r="M44" s="621">
        <v>15.848856789725129</v>
      </c>
      <c r="N44" s="621">
        <v>37.273714882986837</v>
      </c>
      <c r="O44" s="621">
        <v>6.9682856968470812</v>
      </c>
    </row>
    <row r="45" spans="1:15" ht="11.25" customHeight="1">
      <c r="A45" s="92"/>
      <c r="B45" s="91"/>
      <c r="C45" s="91"/>
      <c r="D45" s="91"/>
      <c r="E45" s="91"/>
      <c r="F45" s="91"/>
      <c r="G45" s="91"/>
      <c r="H45" s="5"/>
      <c r="I45" s="13"/>
      <c r="L45" s="620">
        <v>42</v>
      </c>
      <c r="M45" s="621">
        <v>15.549142972857144</v>
      </c>
      <c r="N45" s="621">
        <v>48.572000228571433</v>
      </c>
      <c r="O45" s="621">
        <v>11.100428648285714</v>
      </c>
    </row>
    <row r="46" spans="1:15" ht="11.25" customHeight="1">
      <c r="A46" s="92"/>
      <c r="B46" s="91"/>
      <c r="C46" s="91"/>
      <c r="D46" s="91"/>
      <c r="E46" s="91"/>
      <c r="F46" s="91"/>
      <c r="G46" s="91"/>
      <c r="H46" s="5"/>
      <c r="I46" s="13"/>
      <c r="K46" s="619">
        <v>43</v>
      </c>
      <c r="L46" s="620">
        <v>43</v>
      </c>
      <c r="M46" s="621">
        <v>13.17</v>
      </c>
      <c r="N46" s="621">
        <v>35.32</v>
      </c>
      <c r="O46" s="621">
        <v>6.01</v>
      </c>
    </row>
    <row r="47" spans="1:15" ht="11.25" customHeight="1">
      <c r="A47" s="92"/>
      <c r="B47" s="91"/>
      <c r="C47" s="91"/>
      <c r="D47" s="91"/>
      <c r="E47" s="91"/>
      <c r="F47" s="91"/>
      <c r="G47" s="91"/>
      <c r="H47" s="15"/>
      <c r="I47" s="15"/>
      <c r="L47" s="620">
        <v>44</v>
      </c>
      <c r="M47" s="621">
        <v>13.18</v>
      </c>
      <c r="N47" s="621">
        <v>36.83</v>
      </c>
      <c r="O47" s="621">
        <v>4.57</v>
      </c>
    </row>
    <row r="48" spans="1:15" ht="11.25" customHeight="1">
      <c r="A48" s="92"/>
      <c r="B48" s="91"/>
      <c r="C48" s="91"/>
      <c r="D48" s="91"/>
      <c r="E48" s="91"/>
      <c r="F48" s="91"/>
      <c r="G48" s="91"/>
      <c r="H48" s="14"/>
      <c r="I48" s="14"/>
      <c r="L48" s="620">
        <v>45</v>
      </c>
      <c r="M48" s="621">
        <v>13.49</v>
      </c>
      <c r="N48" s="621">
        <v>39.520000000000003</v>
      </c>
      <c r="O48" s="621">
        <v>4.83</v>
      </c>
    </row>
    <row r="49" spans="1:15" ht="11.25" customHeight="1">
      <c r="A49" s="92"/>
      <c r="B49" s="91"/>
      <c r="C49" s="91"/>
      <c r="D49" s="91"/>
      <c r="E49" s="91"/>
      <c r="F49" s="91"/>
      <c r="G49" s="91"/>
      <c r="H49" s="14"/>
      <c r="I49" s="14"/>
      <c r="L49" s="620">
        <v>46</v>
      </c>
      <c r="M49" s="621">
        <v>15.4</v>
      </c>
      <c r="N49" s="621">
        <v>53.38</v>
      </c>
      <c r="O49" s="621">
        <v>3.73</v>
      </c>
    </row>
    <row r="50" spans="1:15" ht="11.25" customHeight="1">
      <c r="A50" s="92"/>
      <c r="B50" s="91"/>
      <c r="C50" s="91"/>
      <c r="D50" s="91"/>
      <c r="E50" s="91"/>
      <c r="F50" s="91"/>
      <c r="G50" s="91"/>
      <c r="H50" s="14"/>
      <c r="I50" s="14"/>
      <c r="L50" s="620">
        <v>47</v>
      </c>
      <c r="M50" s="621">
        <v>16.408999999999999</v>
      </c>
      <c r="N50" s="621">
        <v>61.853000000000002</v>
      </c>
      <c r="O50" s="621">
        <v>2.5211429999999999</v>
      </c>
    </row>
    <row r="51" spans="1:15" ht="11.25" customHeight="1">
      <c r="A51" s="92"/>
      <c r="B51" s="91"/>
      <c r="C51" s="91"/>
      <c r="D51" s="91"/>
      <c r="E51" s="91"/>
      <c r="F51" s="91"/>
      <c r="G51" s="91"/>
      <c r="H51" s="14"/>
      <c r="I51" s="14"/>
      <c r="K51" s="619">
        <v>48</v>
      </c>
      <c r="L51" s="620">
        <v>48</v>
      </c>
      <c r="M51" s="621">
        <v>16.328857422857144</v>
      </c>
      <c r="N51" s="621">
        <v>65.330427987142869</v>
      </c>
      <c r="O51" s="621">
        <v>3.571428503285714</v>
      </c>
    </row>
    <row r="52" spans="1:15" ht="11.25" customHeight="1">
      <c r="A52" s="92"/>
      <c r="B52" s="91"/>
      <c r="C52" s="91"/>
      <c r="D52" s="91"/>
      <c r="E52" s="91"/>
      <c r="F52" s="91"/>
      <c r="G52" s="91"/>
      <c r="H52" s="14"/>
      <c r="I52" s="14"/>
      <c r="L52" s="620">
        <v>49</v>
      </c>
      <c r="M52" s="621">
        <v>20.236285890000001</v>
      </c>
      <c r="N52" s="621">
        <v>66.680000000000007</v>
      </c>
      <c r="O52" s="621">
        <v>6.1</v>
      </c>
    </row>
    <row r="53" spans="1:15" ht="11.25" customHeight="1">
      <c r="A53" s="92"/>
      <c r="B53" s="91"/>
      <c r="C53" s="91"/>
      <c r="D53" s="91"/>
      <c r="E53" s="91"/>
      <c r="F53" s="91"/>
      <c r="G53" s="91"/>
      <c r="H53" s="14"/>
      <c r="I53" s="14"/>
      <c r="L53" s="620">
        <v>50</v>
      </c>
      <c r="M53" s="621">
        <v>19.809999999999999</v>
      </c>
      <c r="N53" s="621">
        <v>61.31</v>
      </c>
      <c r="O53" s="621">
        <v>6.69</v>
      </c>
    </row>
    <row r="54" spans="1:15" ht="11.25" customHeight="1">
      <c r="A54" s="92"/>
      <c r="B54" s="91"/>
      <c r="C54" s="91"/>
      <c r="D54" s="91"/>
      <c r="E54" s="91"/>
      <c r="F54" s="91"/>
      <c r="G54" s="91"/>
      <c r="H54" s="14"/>
      <c r="I54" s="14"/>
      <c r="L54" s="620">
        <v>51</v>
      </c>
      <c r="M54" s="621">
        <v>21.91</v>
      </c>
      <c r="N54" s="621">
        <v>70.790000000000006</v>
      </c>
      <c r="O54" s="621">
        <v>13.15</v>
      </c>
    </row>
    <row r="55" spans="1:15" ht="12.75">
      <c r="A55" s="92"/>
      <c r="B55" s="91"/>
      <c r="C55" s="91"/>
      <c r="D55" s="91"/>
      <c r="E55" s="91"/>
      <c r="F55" s="91"/>
      <c r="G55" s="91"/>
      <c r="H55" s="14"/>
      <c r="I55" s="14"/>
      <c r="K55" s="619">
        <v>52</v>
      </c>
      <c r="L55" s="620">
        <v>52</v>
      </c>
      <c r="M55" s="621">
        <v>22</v>
      </c>
      <c r="N55" s="621">
        <v>77.434859137142865</v>
      </c>
      <c r="O55" s="621">
        <v>17.75700037857143</v>
      </c>
    </row>
    <row r="56" spans="1:15" ht="12.75">
      <c r="A56" s="92"/>
      <c r="B56" s="91"/>
      <c r="C56" s="91"/>
      <c r="D56" s="91"/>
      <c r="E56" s="91"/>
      <c r="F56" s="91"/>
      <c r="G56" s="91"/>
      <c r="H56" s="14"/>
      <c r="I56" s="14"/>
      <c r="J56" s="396">
        <v>2017</v>
      </c>
      <c r="K56" s="619">
        <v>1</v>
      </c>
      <c r="L56" s="620">
        <v>1</v>
      </c>
      <c r="M56" s="621">
        <v>41.55</v>
      </c>
      <c r="N56" s="621">
        <v>103.58</v>
      </c>
      <c r="O56" s="621">
        <v>29.67</v>
      </c>
    </row>
    <row r="57" spans="1:15" ht="12.75">
      <c r="A57" s="92"/>
      <c r="B57" s="91"/>
      <c r="C57" s="91"/>
      <c r="D57" s="91"/>
      <c r="E57" s="91"/>
      <c r="F57" s="91"/>
      <c r="G57" s="91"/>
      <c r="H57" s="14"/>
      <c r="I57" s="14"/>
      <c r="L57" s="620">
        <v>2</v>
      </c>
      <c r="M57" s="621">
        <v>39.6</v>
      </c>
      <c r="N57" s="621">
        <v>105.01</v>
      </c>
      <c r="O57" s="621">
        <v>51.2</v>
      </c>
    </row>
    <row r="58" spans="1:15" ht="12.75">
      <c r="A58" s="92"/>
      <c r="B58" s="91"/>
      <c r="C58" s="91"/>
      <c r="D58" s="91"/>
      <c r="E58" s="91"/>
      <c r="F58" s="91"/>
      <c r="G58" s="91"/>
      <c r="H58" s="14"/>
      <c r="I58" s="14"/>
      <c r="L58" s="620">
        <v>3</v>
      </c>
      <c r="M58" s="621">
        <v>73.650000000000006</v>
      </c>
      <c r="N58" s="621">
        <v>137.41</v>
      </c>
      <c r="O58" s="621">
        <v>43.26</v>
      </c>
    </row>
    <row r="59" spans="1:15" ht="12.75">
      <c r="A59" s="92"/>
      <c r="B59" s="91"/>
      <c r="C59" s="91"/>
      <c r="D59" s="91"/>
      <c r="E59" s="91"/>
      <c r="F59" s="91"/>
      <c r="G59" s="91"/>
      <c r="H59" s="14"/>
      <c r="I59" s="14"/>
      <c r="K59" s="619">
        <v>4</v>
      </c>
      <c r="L59" s="620">
        <v>4</v>
      </c>
      <c r="M59" s="621">
        <v>65.03</v>
      </c>
      <c r="N59" s="621">
        <v>127.83</v>
      </c>
      <c r="O59" s="621">
        <v>32.72</v>
      </c>
    </row>
    <row r="60" spans="1:15" ht="12.75">
      <c r="A60" s="92"/>
      <c r="B60" s="91"/>
      <c r="C60" s="91"/>
      <c r="D60" s="91"/>
      <c r="E60" s="91"/>
      <c r="F60" s="91"/>
      <c r="G60" s="91"/>
      <c r="H60" s="14"/>
      <c r="I60" s="14"/>
      <c r="L60" s="620">
        <v>5</v>
      </c>
      <c r="M60" s="621">
        <v>56.95</v>
      </c>
      <c r="N60" s="621">
        <v>97.31</v>
      </c>
      <c r="O60" s="621">
        <v>48.46</v>
      </c>
    </row>
    <row r="61" spans="1:15" ht="12.75">
      <c r="A61" s="349" t="s">
        <v>545</v>
      </c>
      <c r="B61" s="91"/>
      <c r="C61" s="91"/>
      <c r="D61" s="91"/>
      <c r="E61" s="91"/>
      <c r="F61" s="91"/>
      <c r="G61" s="91"/>
      <c r="H61" s="14"/>
      <c r="I61" s="14"/>
      <c r="L61" s="620">
        <v>6</v>
      </c>
      <c r="M61" s="621">
        <v>61.87</v>
      </c>
      <c r="N61" s="621">
        <v>123.44</v>
      </c>
      <c r="O61" s="621">
        <v>72.52</v>
      </c>
    </row>
    <row r="62" spans="1:15">
      <c r="L62" s="620">
        <v>7</v>
      </c>
      <c r="M62" s="621">
        <v>77.569999999999993</v>
      </c>
      <c r="N62" s="621">
        <v>145.02000000000001</v>
      </c>
      <c r="O62" s="621">
        <v>59.16</v>
      </c>
    </row>
    <row r="63" spans="1:15">
      <c r="K63" s="619">
        <v>8</v>
      </c>
      <c r="L63" s="620">
        <v>8</v>
      </c>
      <c r="M63" s="621">
        <v>86.94</v>
      </c>
      <c r="N63" s="621">
        <v>175.03</v>
      </c>
      <c r="O63" s="621">
        <v>24.36</v>
      </c>
    </row>
    <row r="64" spans="1:15">
      <c r="L64" s="620">
        <v>9</v>
      </c>
      <c r="M64" s="621">
        <v>85.13</v>
      </c>
      <c r="N64" s="621">
        <v>206.14</v>
      </c>
      <c r="O64" s="621">
        <v>39.07</v>
      </c>
    </row>
    <row r="65" spans="11:15">
      <c r="L65" s="620">
        <v>10</v>
      </c>
      <c r="M65" s="621">
        <v>84.78</v>
      </c>
      <c r="N65" s="621">
        <v>270.17</v>
      </c>
      <c r="O65" s="621">
        <v>109.16</v>
      </c>
    </row>
    <row r="66" spans="11:15">
      <c r="L66" s="620">
        <v>11</v>
      </c>
      <c r="M66" s="621">
        <v>84.78</v>
      </c>
      <c r="N66" s="621">
        <v>376.42</v>
      </c>
      <c r="O66" s="621">
        <v>188.18</v>
      </c>
    </row>
    <row r="67" spans="11:15">
      <c r="K67" s="619">
        <v>12</v>
      </c>
      <c r="L67" s="620">
        <v>12</v>
      </c>
      <c r="M67" s="621">
        <v>106.16</v>
      </c>
      <c r="N67" s="621">
        <v>351.57</v>
      </c>
      <c r="O67" s="621">
        <v>159.6</v>
      </c>
    </row>
    <row r="68" spans="11:15">
      <c r="L68" s="620">
        <v>13</v>
      </c>
      <c r="M68" s="621">
        <v>101.71</v>
      </c>
      <c r="N68" s="621">
        <v>384.37</v>
      </c>
      <c r="O68" s="621">
        <v>161.77000000000001</v>
      </c>
    </row>
    <row r="69" spans="11:15">
      <c r="L69" s="620">
        <v>14</v>
      </c>
      <c r="M69" s="621">
        <v>83.1</v>
      </c>
      <c r="N69" s="621">
        <v>337.84</v>
      </c>
      <c r="O69" s="621">
        <v>115.43</v>
      </c>
    </row>
    <row r="70" spans="11:15">
      <c r="L70" s="620">
        <v>15</v>
      </c>
      <c r="M70" s="621">
        <v>61.23</v>
      </c>
      <c r="N70" s="621">
        <v>282.32</v>
      </c>
      <c r="O70" s="621">
        <v>98.92</v>
      </c>
    </row>
    <row r="71" spans="11:15">
      <c r="K71" s="619">
        <v>16</v>
      </c>
      <c r="L71" s="620">
        <v>16</v>
      </c>
      <c r="M71" s="621">
        <v>49.8</v>
      </c>
      <c r="N71" s="621">
        <v>191.65</v>
      </c>
      <c r="O71" s="621">
        <v>82.48</v>
      </c>
    </row>
    <row r="72" spans="11:15">
      <c r="L72" s="620">
        <v>17</v>
      </c>
      <c r="M72" s="621">
        <v>40.21</v>
      </c>
      <c r="N72" s="621">
        <v>160.35</v>
      </c>
      <c r="O72" s="621">
        <v>77.02</v>
      </c>
    </row>
    <row r="73" spans="11:15">
      <c r="L73" s="620">
        <v>18</v>
      </c>
      <c r="M73" s="621">
        <v>43.46</v>
      </c>
      <c r="N73" s="621">
        <v>136.65</v>
      </c>
      <c r="O73" s="621">
        <v>62.63</v>
      </c>
    </row>
    <row r="74" spans="11:15">
      <c r="L74" s="620">
        <v>19</v>
      </c>
      <c r="M74" s="621">
        <v>35.65</v>
      </c>
      <c r="N74" s="621">
        <v>135.97</v>
      </c>
      <c r="O74" s="621">
        <v>93.03</v>
      </c>
    </row>
    <row r="75" spans="11:15">
      <c r="K75" s="619">
        <v>20</v>
      </c>
      <c r="L75" s="620">
        <v>20</v>
      </c>
      <c r="M75" s="621">
        <v>26.22</v>
      </c>
      <c r="N75" s="621">
        <v>135.66</v>
      </c>
      <c r="O75" s="621">
        <v>72.349999999999994</v>
      </c>
    </row>
    <row r="76" spans="11:15">
      <c r="L76" s="620">
        <v>21</v>
      </c>
      <c r="M76" s="621">
        <v>27.95</v>
      </c>
      <c r="N76" s="621">
        <v>113.82</v>
      </c>
      <c r="O76" s="621">
        <v>90.75</v>
      </c>
    </row>
    <row r="77" spans="11:15">
      <c r="L77" s="620">
        <v>22</v>
      </c>
      <c r="M77" s="621">
        <v>32.409999999999997</v>
      </c>
      <c r="N77" s="621">
        <v>64.03</v>
      </c>
      <c r="O77" s="621">
        <v>53.02</v>
      </c>
    </row>
    <row r="78" spans="11:15">
      <c r="L78" s="620">
        <v>23</v>
      </c>
      <c r="M78" s="621">
        <v>28.93</v>
      </c>
      <c r="N78" s="621">
        <v>53.15</v>
      </c>
      <c r="O78" s="621">
        <v>32.43</v>
      </c>
    </row>
    <row r="79" spans="11:15">
      <c r="K79" s="619">
        <v>24</v>
      </c>
      <c r="L79" s="620">
        <v>24</v>
      </c>
      <c r="M79" s="621">
        <v>26.59</v>
      </c>
      <c r="N79" s="621">
        <v>45.98</v>
      </c>
      <c r="O79" s="621">
        <v>27.75</v>
      </c>
    </row>
    <row r="80" spans="11:15">
      <c r="L80" s="620">
        <v>25</v>
      </c>
      <c r="M80" s="621">
        <v>23.61</v>
      </c>
      <c r="N80" s="621">
        <v>38.68</v>
      </c>
      <c r="O80" s="621">
        <v>24.81</v>
      </c>
    </row>
    <row r="81" spans="11:15">
      <c r="L81" s="620">
        <v>26</v>
      </c>
      <c r="M81" s="621">
        <v>24.94</v>
      </c>
      <c r="N81" s="621">
        <v>34.68</v>
      </c>
      <c r="O81" s="621">
        <v>21.81</v>
      </c>
    </row>
    <row r="82" spans="11:15">
      <c r="L82" s="620">
        <v>27</v>
      </c>
      <c r="M82" s="621">
        <v>25.54</v>
      </c>
      <c r="N82" s="621">
        <v>31.72</v>
      </c>
      <c r="O82" s="621">
        <v>18.649999999999999</v>
      </c>
    </row>
    <row r="83" spans="11:15">
      <c r="K83" s="619">
        <v>28</v>
      </c>
      <c r="L83" s="620">
        <v>28</v>
      </c>
      <c r="M83" s="621">
        <v>23.56</v>
      </c>
      <c r="N83" s="621">
        <v>29.25</v>
      </c>
      <c r="O83" s="621">
        <v>14.27</v>
      </c>
    </row>
    <row r="84" spans="11:15">
      <c r="L84" s="620">
        <v>29</v>
      </c>
      <c r="M84" s="621">
        <v>22.4</v>
      </c>
      <c r="N84" s="621">
        <v>29.53</v>
      </c>
      <c r="O84" s="621">
        <v>11.51</v>
      </c>
    </row>
    <row r="85" spans="11:15">
      <c r="L85" s="620">
        <v>30</v>
      </c>
      <c r="M85" s="621">
        <v>21.29</v>
      </c>
      <c r="N85" s="621">
        <v>27.62</v>
      </c>
      <c r="O85" s="621">
        <v>9.7200000000000006</v>
      </c>
    </row>
    <row r="86" spans="11:15">
      <c r="L86" s="620">
        <v>31</v>
      </c>
      <c r="M86" s="621">
        <v>19.34</v>
      </c>
      <c r="N86" s="621">
        <v>27.99</v>
      </c>
      <c r="O86" s="621">
        <v>8.09</v>
      </c>
    </row>
    <row r="87" spans="11:15">
      <c r="K87" s="619">
        <v>32</v>
      </c>
      <c r="L87" s="620">
        <v>32</v>
      </c>
      <c r="M87" s="621">
        <v>19.649999999999999</v>
      </c>
      <c r="N87" s="621">
        <v>31.42</v>
      </c>
      <c r="O87" s="621">
        <v>7.62</v>
      </c>
    </row>
    <row r="88" spans="11:15">
      <c r="L88" s="620">
        <v>33</v>
      </c>
      <c r="M88" s="621">
        <v>18.420000000000002</v>
      </c>
      <c r="N88" s="621">
        <v>29.71</v>
      </c>
      <c r="O88" s="621">
        <v>9.5500000000000007</v>
      </c>
    </row>
    <row r="89" spans="11:15">
      <c r="L89" s="620">
        <v>34</v>
      </c>
      <c r="M89" s="621">
        <v>17.170000000000002</v>
      </c>
      <c r="N89" s="621">
        <v>30.51</v>
      </c>
      <c r="O89" s="621">
        <v>10.75</v>
      </c>
    </row>
    <row r="90" spans="11:15">
      <c r="L90" s="620">
        <v>35</v>
      </c>
      <c r="M90" s="621">
        <v>17.47</v>
      </c>
      <c r="N90" s="621">
        <v>27.5</v>
      </c>
      <c r="O90" s="621">
        <v>8.31</v>
      </c>
    </row>
    <row r="91" spans="11:15">
      <c r="K91" s="619">
        <v>36</v>
      </c>
      <c r="L91" s="620">
        <v>36</v>
      </c>
      <c r="M91" s="621">
        <v>13.42</v>
      </c>
      <c r="N91" s="621">
        <v>26.21</v>
      </c>
      <c r="O91" s="621">
        <v>6.53</v>
      </c>
    </row>
    <row r="92" spans="11:15">
      <c r="L92" s="620">
        <v>37</v>
      </c>
      <c r="M92" s="621">
        <v>11.2</v>
      </c>
      <c r="N92" s="621">
        <v>29.98</v>
      </c>
      <c r="O92" s="621">
        <v>9.7799999999999994</v>
      </c>
    </row>
    <row r="93" spans="11:15">
      <c r="L93" s="620">
        <v>38</v>
      </c>
      <c r="M93" s="621">
        <v>11</v>
      </c>
      <c r="N93" s="621">
        <v>34.369999999999997</v>
      </c>
      <c r="O93" s="621">
        <v>7.47</v>
      </c>
    </row>
    <row r="94" spans="11:15">
      <c r="K94" s="619">
        <v>39</v>
      </c>
      <c r="L94" s="620">
        <v>39</v>
      </c>
      <c r="M94" s="621">
        <v>11.14</v>
      </c>
      <c r="N94" s="621">
        <v>42.17</v>
      </c>
      <c r="O94" s="621">
        <v>7.49</v>
      </c>
    </row>
    <row r="95" spans="11:15">
      <c r="L95" s="620">
        <v>40</v>
      </c>
      <c r="M95" s="621">
        <v>12.8</v>
      </c>
      <c r="N95" s="621">
        <v>37.270000000000003</v>
      </c>
      <c r="O95" s="621">
        <v>15.47</v>
      </c>
    </row>
    <row r="96" spans="11:15">
      <c r="L96" s="620">
        <v>41</v>
      </c>
      <c r="M96" s="621">
        <v>14.41</v>
      </c>
      <c r="N96" s="621">
        <v>40.04</v>
      </c>
      <c r="O96" s="621">
        <v>18</v>
      </c>
    </row>
    <row r="97" spans="10:15">
      <c r="L97" s="620">
        <v>42</v>
      </c>
      <c r="M97" s="621">
        <v>15.87</v>
      </c>
      <c r="N97" s="621">
        <v>35.79</v>
      </c>
      <c r="O97" s="621">
        <v>12.74</v>
      </c>
    </row>
    <row r="98" spans="10:15">
      <c r="K98" s="619">
        <v>43</v>
      </c>
      <c r="L98" s="620">
        <v>43</v>
      </c>
      <c r="M98" s="621">
        <v>19.61</v>
      </c>
      <c r="N98" s="621">
        <v>50.36</v>
      </c>
      <c r="O98" s="621">
        <v>30.75</v>
      </c>
    </row>
    <row r="99" spans="10:15">
      <c r="L99" s="620">
        <v>44</v>
      </c>
      <c r="M99" s="621">
        <v>21.85</v>
      </c>
      <c r="N99" s="621">
        <v>54.94</v>
      </c>
      <c r="O99" s="621">
        <v>23.58</v>
      </c>
    </row>
    <row r="100" spans="10:15">
      <c r="L100" s="620">
        <v>45</v>
      </c>
      <c r="M100" s="621">
        <v>16.79</v>
      </c>
      <c r="N100" s="621">
        <v>41.16</v>
      </c>
      <c r="O100" s="621">
        <v>11.77</v>
      </c>
    </row>
    <row r="101" spans="10:15">
      <c r="L101" s="620">
        <v>46</v>
      </c>
      <c r="M101" s="621">
        <v>16.010000000000002</v>
      </c>
      <c r="N101" s="621">
        <v>42.65</v>
      </c>
      <c r="O101" s="621">
        <v>9.33</v>
      </c>
    </row>
    <row r="102" spans="10:15">
      <c r="L102" s="620">
        <v>47</v>
      </c>
      <c r="M102" s="621">
        <v>14.72</v>
      </c>
      <c r="N102" s="621">
        <v>39.76</v>
      </c>
      <c r="O102" s="621">
        <v>8.19</v>
      </c>
    </row>
    <row r="103" spans="10:15">
      <c r="K103" s="619">
        <v>48</v>
      </c>
      <c r="L103" s="620">
        <v>48</v>
      </c>
      <c r="M103" s="621">
        <v>18.932000297142856</v>
      </c>
      <c r="N103" s="621">
        <v>47.388000487142854</v>
      </c>
      <c r="O103" s="621">
        <v>19.661285946</v>
      </c>
    </row>
    <row r="104" spans="10:15">
      <c r="L104" s="620">
        <v>49</v>
      </c>
      <c r="M104" s="621">
        <v>28.48371397</v>
      </c>
      <c r="N104" s="621">
        <v>78.087428497142852</v>
      </c>
      <c r="O104" s="621">
        <v>19.181428364285715</v>
      </c>
    </row>
    <row r="105" spans="10:15">
      <c r="L105" s="620">
        <v>50</v>
      </c>
      <c r="M105" s="621">
        <v>32.583286012857144</v>
      </c>
      <c r="N105" s="621">
        <v>69.764142717142846</v>
      </c>
      <c r="O105" s="621">
        <v>23.7245715</v>
      </c>
    </row>
    <row r="106" spans="10:15">
      <c r="L106" s="620">
        <v>51</v>
      </c>
      <c r="M106" s="621">
        <v>34.501856668571428</v>
      </c>
      <c r="N106" s="621">
        <v>71.14499991142857</v>
      </c>
      <c r="O106" s="621">
        <v>26.158142907142857</v>
      </c>
    </row>
    <row r="107" spans="10:15">
      <c r="K107" s="619">
        <v>52</v>
      </c>
      <c r="L107" s="620">
        <v>52</v>
      </c>
      <c r="M107" s="621">
        <v>27.781857355714287</v>
      </c>
      <c r="N107" s="621">
        <v>83.196000228571435</v>
      </c>
      <c r="O107" s="621">
        <v>21.776999882857144</v>
      </c>
    </row>
    <row r="108" spans="10:15">
      <c r="J108" s="396">
        <v>2018</v>
      </c>
      <c r="K108" s="619">
        <v>1</v>
      </c>
      <c r="L108" s="620">
        <v>1</v>
      </c>
      <c r="M108" s="621">
        <v>29.44</v>
      </c>
      <c r="N108" s="621">
        <v>69.087142857142865</v>
      </c>
      <c r="O108" s="621">
        <v>15.747142857142856</v>
      </c>
    </row>
    <row r="109" spans="10:15">
      <c r="L109" s="620">
        <v>2</v>
      </c>
      <c r="M109" s="621">
        <v>42.880857194285717</v>
      </c>
      <c r="N109" s="621">
        <v>96.785858138571413</v>
      </c>
      <c r="O109" s="621">
        <v>37.6</v>
      </c>
    </row>
    <row r="110" spans="10:15">
      <c r="L110" s="620">
        <v>3</v>
      </c>
      <c r="M110" s="621">
        <v>74.002572194285705</v>
      </c>
      <c r="N110" s="621">
        <v>158.17728531428571</v>
      </c>
      <c r="O110" s="621">
        <v>101.26128550142856</v>
      </c>
    </row>
    <row r="111" spans="10:15">
      <c r="K111" s="619">
        <v>4</v>
      </c>
      <c r="L111" s="620">
        <v>4</v>
      </c>
      <c r="M111" s="621">
        <v>77.812570845714291</v>
      </c>
      <c r="N111" s="621">
        <v>167.02357267142858</v>
      </c>
      <c r="O111" s="621">
        <v>77.354000085714276</v>
      </c>
    </row>
    <row r="112" spans="10:15">
      <c r="L112" s="620">
        <v>5</v>
      </c>
      <c r="M112" s="621">
        <v>61.531714848571433</v>
      </c>
      <c r="N112" s="621">
        <v>113.19585745142855</v>
      </c>
      <c r="O112" s="621">
        <v>30.667142595714285</v>
      </c>
    </row>
    <row r="113" spans="11:15">
      <c r="L113" s="620">
        <v>6</v>
      </c>
      <c r="M113" s="621">
        <v>54.024142672857138</v>
      </c>
      <c r="N113" s="621">
        <v>88.535714287142852</v>
      </c>
      <c r="O113" s="621">
        <v>32.444142750000005</v>
      </c>
    </row>
    <row r="114" spans="11:15">
      <c r="L114" s="620">
        <v>7</v>
      </c>
      <c r="M114" s="621">
        <v>59.271427155714285</v>
      </c>
      <c r="N114" s="621">
        <v>99.37822619047617</v>
      </c>
      <c r="O114" s="621">
        <v>30.338148809523812</v>
      </c>
    </row>
    <row r="115" spans="11:15">
      <c r="K115" s="619">
        <v>8</v>
      </c>
      <c r="L115" s="620">
        <v>8</v>
      </c>
      <c r="M115" s="621">
        <v>78.025571005714284</v>
      </c>
      <c r="N115" s="621">
        <v>140.28</v>
      </c>
      <c r="O115" s="621">
        <v>62.97</v>
      </c>
    </row>
    <row r="116" spans="11:15">
      <c r="L116" s="620">
        <v>9</v>
      </c>
      <c r="M116" s="621">
        <v>61.11871501571428</v>
      </c>
      <c r="N116" s="621">
        <v>102.99642836285715</v>
      </c>
      <c r="O116" s="621">
        <v>31.244571685714288</v>
      </c>
    </row>
    <row r="117" spans="11:15">
      <c r="L117" s="620">
        <v>10</v>
      </c>
      <c r="M117" s="621">
        <v>84.500714981428573</v>
      </c>
      <c r="N117" s="621">
        <v>175.90485927142853</v>
      </c>
      <c r="O117" s="621">
        <v>36.038285662857142</v>
      </c>
    </row>
    <row r="118" spans="11:15">
      <c r="L118" s="620">
        <v>11</v>
      </c>
      <c r="M118" s="621">
        <v>83.643855504285725</v>
      </c>
      <c r="N118" s="621">
        <v>169.64671761428571</v>
      </c>
      <c r="O118" s="621">
        <v>25.076428275714282</v>
      </c>
    </row>
    <row r="119" spans="11:15">
      <c r="K119" s="619">
        <v>12</v>
      </c>
      <c r="L119" s="620">
        <v>12</v>
      </c>
      <c r="M119" s="621">
        <v>98.99</v>
      </c>
      <c r="N119" s="621">
        <v>198.22</v>
      </c>
      <c r="O119" s="621">
        <v>24.63</v>
      </c>
    </row>
    <row r="120" spans="11:15">
      <c r="L120" s="620">
        <v>13</v>
      </c>
      <c r="M120" s="621">
        <v>106.64928652857144</v>
      </c>
      <c r="N120" s="621">
        <v>312.6314304857143</v>
      </c>
      <c r="O120" s="621">
        <v>38.701428550000003</v>
      </c>
    </row>
    <row r="121" spans="11:15">
      <c r="L121" s="620">
        <v>14</v>
      </c>
      <c r="M121" s="621">
        <v>86.488428389999996</v>
      </c>
      <c r="N121" s="621">
        <v>235.31328691428573</v>
      </c>
      <c r="O121" s="621">
        <v>94.596427907142839</v>
      </c>
    </row>
    <row r="122" spans="11:15">
      <c r="L122" s="620">
        <v>15</v>
      </c>
      <c r="M122" s="621">
        <v>88.217001778571429</v>
      </c>
      <c r="N122" s="621">
        <v>294.1721409428572</v>
      </c>
      <c r="O122" s="621">
        <v>92.07</v>
      </c>
    </row>
    <row r="123" spans="11:15">
      <c r="K123" s="619">
        <v>16</v>
      </c>
      <c r="L123" s="620">
        <v>16</v>
      </c>
      <c r="M123" s="621">
        <v>65.84</v>
      </c>
      <c r="N123" s="621">
        <v>149.18</v>
      </c>
      <c r="O123" s="621">
        <v>45.4</v>
      </c>
    </row>
    <row r="124" spans="11:15">
      <c r="L124" s="620">
        <v>17</v>
      </c>
      <c r="M124" s="621">
        <v>51.88</v>
      </c>
      <c r="N124" s="621">
        <v>104.35</v>
      </c>
      <c r="O124" s="621">
        <v>41.47</v>
      </c>
    </row>
    <row r="125" spans="11:15">
      <c r="L125" s="620">
        <v>18</v>
      </c>
      <c r="M125" s="621">
        <v>49.672285897142856</v>
      </c>
      <c r="N125" s="621">
        <v>78.038143701428567</v>
      </c>
      <c r="O125" s="621">
        <v>65.800999782857133</v>
      </c>
    </row>
    <row r="126" spans="11:15">
      <c r="L126" s="620">
        <v>19</v>
      </c>
      <c r="M126" s="621">
        <v>45.203000204285708</v>
      </c>
      <c r="N126" s="621">
        <v>78.313856942857129</v>
      </c>
      <c r="O126" s="621">
        <v>75.104713441428572</v>
      </c>
    </row>
    <row r="127" spans="11:15">
      <c r="K127" s="619">
        <v>20</v>
      </c>
      <c r="L127" s="620">
        <v>20</v>
      </c>
      <c r="M127" s="621">
        <v>37.385857718571437</v>
      </c>
      <c r="N127" s="621">
        <v>130.92628696285712</v>
      </c>
      <c r="O127" s="621">
        <v>97.861000055714285</v>
      </c>
    </row>
    <row r="128" spans="11:15">
      <c r="L128" s="620">
        <v>21</v>
      </c>
      <c r="M128" s="621">
        <v>31.609713962857143</v>
      </c>
      <c r="N128" s="621">
        <v>64.449287412857146</v>
      </c>
      <c r="O128" s="621">
        <v>107.7964292242857</v>
      </c>
    </row>
    <row r="129" spans="11:15">
      <c r="L129" s="620">
        <v>22</v>
      </c>
      <c r="M129" s="621">
        <v>23.360142844285715</v>
      </c>
      <c r="N129" s="621">
        <v>64.449287412857146</v>
      </c>
      <c r="O129" s="621">
        <v>107.7964292242857</v>
      </c>
    </row>
    <row r="130" spans="11:15">
      <c r="L130" s="620">
        <v>23</v>
      </c>
      <c r="M130" s="621">
        <v>22.118571418571431</v>
      </c>
      <c r="N130" s="621">
        <v>39.50100054</v>
      </c>
      <c r="O130" s="621">
        <v>35.176713670000005</v>
      </c>
    </row>
    <row r="131" spans="11:15">
      <c r="K131" s="619">
        <v>24</v>
      </c>
      <c r="L131" s="620">
        <v>24</v>
      </c>
      <c r="M131" s="621">
        <v>18.655142918571432</v>
      </c>
      <c r="N131" s="621">
        <v>33.690285274285714</v>
      </c>
      <c r="O131" s="621">
        <v>23.41942841571429</v>
      </c>
    </row>
    <row r="132" spans="11:15">
      <c r="L132" s="620">
        <v>25</v>
      </c>
      <c r="M132" s="621">
        <v>15.664428437142856</v>
      </c>
      <c r="N132" s="621">
        <v>30.228428704285715</v>
      </c>
      <c r="O132" s="621">
        <v>15.98614284142857</v>
      </c>
    </row>
    <row r="133" spans="11:15">
      <c r="L133" s="620">
        <v>26</v>
      </c>
      <c r="M133" s="621">
        <v>13.848143032857147</v>
      </c>
      <c r="N133" s="621">
        <v>27.872285568571431</v>
      </c>
      <c r="O133" s="621">
        <v>14.09042848857143</v>
      </c>
    </row>
    <row r="134" spans="11:15">
      <c r="L134" s="620">
        <v>27</v>
      </c>
      <c r="M134" s="621">
        <v>12.865857259999999</v>
      </c>
      <c r="N134" s="621">
        <v>27.257571358571429</v>
      </c>
      <c r="O134" s="621">
        <v>11.838857105714284</v>
      </c>
    </row>
    <row r="135" spans="11:15">
      <c r="K135" s="619">
        <v>28</v>
      </c>
      <c r="L135" s="620">
        <v>28</v>
      </c>
      <c r="M135" s="621">
        <v>12.915285789999999</v>
      </c>
      <c r="N135" s="676">
        <v>27.217285974285712</v>
      </c>
      <c r="O135" s="621">
        <v>9.7789998731428565</v>
      </c>
    </row>
    <row r="136" spans="11:15">
      <c r="L136" s="620">
        <v>29</v>
      </c>
      <c r="M136" s="621">
        <v>15.908571428571426</v>
      </c>
      <c r="N136" s="676">
        <v>24.955714285714286</v>
      </c>
      <c r="O136" s="621">
        <v>8.4957142857142856</v>
      </c>
    </row>
    <row r="137" spans="11:15">
      <c r="L137" s="620">
        <v>30</v>
      </c>
      <c r="M137" s="621">
        <v>16.584000042857145</v>
      </c>
      <c r="N137" s="676">
        <v>24.80942862142857</v>
      </c>
      <c r="O137" s="621">
        <v>7.807428428142857</v>
      </c>
    </row>
    <row r="138" spans="11:15">
      <c r="L138" s="620">
        <v>31</v>
      </c>
      <c r="M138" s="621">
        <v>18.553000000000001</v>
      </c>
      <c r="N138" s="676">
        <v>25.690999999999999</v>
      </c>
      <c r="O138" s="621">
        <v>7.53</v>
      </c>
    </row>
    <row r="139" spans="11:15">
      <c r="K139" s="619">
        <v>32</v>
      </c>
      <c r="L139" s="620">
        <v>32</v>
      </c>
      <c r="M139" s="621">
        <v>17.769714355714285</v>
      </c>
      <c r="N139" s="676">
        <v>27.630000251428573</v>
      </c>
      <c r="O139" s="621">
        <v>6.4074286734285701</v>
      </c>
    </row>
    <row r="140" spans="11:15">
      <c r="L140" s="620">
        <v>33</v>
      </c>
      <c r="M140" s="621">
        <v>14.782857348571428</v>
      </c>
      <c r="N140" s="676">
        <v>23.78</v>
      </c>
      <c r="O140" s="621">
        <v>4.9400000000000004</v>
      </c>
    </row>
    <row r="141" spans="11:15">
      <c r="L141" s="620">
        <v>34</v>
      </c>
      <c r="M141" s="621">
        <v>15.984000069999999</v>
      </c>
      <c r="N141" s="676">
        <v>23.527999878571428</v>
      </c>
      <c r="O141" s="621">
        <v>4.6688571658571432</v>
      </c>
    </row>
    <row r="142" spans="11:15">
      <c r="L142" s="620">
        <v>35</v>
      </c>
      <c r="M142" s="621">
        <v>15.55</v>
      </c>
      <c r="N142" s="676">
        <v>23.29</v>
      </c>
      <c r="O142" s="621">
        <v>4.5999999999999996</v>
      </c>
    </row>
    <row r="143" spans="11:15">
      <c r="K143" s="619">
        <v>36</v>
      </c>
      <c r="L143" s="620">
        <v>36</v>
      </c>
      <c r="M143" s="621">
        <v>15.042857142857143</v>
      </c>
      <c r="N143" s="621">
        <v>23.007142857142856</v>
      </c>
      <c r="O143" s="621">
        <v>3.9657142857142857</v>
      </c>
    </row>
    <row r="144" spans="11:15">
      <c r="L144" s="620">
        <v>37</v>
      </c>
      <c r="M144" s="621">
        <v>13.386857033</v>
      </c>
      <c r="N144" s="621">
        <v>23.173571724285711</v>
      </c>
      <c r="O144" s="621">
        <v>3.5334285327142858</v>
      </c>
    </row>
    <row r="145" spans="11:15">
      <c r="L145" s="620">
        <v>38</v>
      </c>
      <c r="M145" s="621">
        <v>12.963714189999999</v>
      </c>
      <c r="N145" s="621">
        <v>26.454000201428567</v>
      </c>
      <c r="O145" s="621">
        <v>6.4914285118571433</v>
      </c>
    </row>
    <row r="146" spans="11:15">
      <c r="L146" s="620">
        <v>39</v>
      </c>
      <c r="M146" s="621">
        <v>9.4700000000000006</v>
      </c>
      <c r="N146" s="621">
        <v>23.7</v>
      </c>
      <c r="O146" s="621">
        <v>4.9000000000000004</v>
      </c>
    </row>
    <row r="147" spans="11:15">
      <c r="K147" s="619">
        <v>40</v>
      </c>
      <c r="L147" s="620">
        <v>40</v>
      </c>
      <c r="M147" s="621">
        <v>9.6714286802857146</v>
      </c>
      <c r="N147" s="804">
        <v>23.695143017142858</v>
      </c>
      <c r="O147" s="621">
        <v>4.898285797571428</v>
      </c>
    </row>
    <row r="148" spans="11:15">
      <c r="L148" s="620">
        <v>41</v>
      </c>
      <c r="M148" s="621">
        <v>13.23900018419533</v>
      </c>
      <c r="N148" s="804">
        <v>28.113285882132363</v>
      </c>
      <c r="O148" s="621">
        <v>8.3430000032697169</v>
      </c>
    </row>
    <row r="149" spans="11:15">
      <c r="L149" s="620">
        <v>42</v>
      </c>
      <c r="M149" s="621">
        <v>13.085142816816015</v>
      </c>
      <c r="N149" s="804">
        <v>37.073285511561743</v>
      </c>
      <c r="O149" s="621">
        <v>7.2735712868826683</v>
      </c>
    </row>
    <row r="150" spans="11:15">
      <c r="L150" s="620">
        <v>43</v>
      </c>
      <c r="M150" s="621">
        <v>24.981571742466489</v>
      </c>
      <c r="N150" s="804">
        <v>70.535571507045162</v>
      </c>
      <c r="O150" s="621">
        <v>7.4324284962245324</v>
      </c>
    </row>
    <row r="151" spans="11:15">
      <c r="K151" s="619">
        <v>44</v>
      </c>
      <c r="L151" s="620">
        <v>44</v>
      </c>
      <c r="M151" s="621">
        <v>20.55814279714286</v>
      </c>
      <c r="N151" s="804">
        <v>55.183714184285712</v>
      </c>
      <c r="O151" s="621">
        <v>15.801856994857145</v>
      </c>
    </row>
    <row r="152" spans="11:15">
      <c r="L152" s="620">
        <v>45</v>
      </c>
      <c r="M152" s="621">
        <v>26.170000077142856</v>
      </c>
      <c r="N152" s="621">
        <v>60.445714132857141</v>
      </c>
      <c r="O152" s="621">
        <v>26.432857787142858</v>
      </c>
    </row>
    <row r="153" spans="11:15">
      <c r="L153" s="620">
        <v>46</v>
      </c>
      <c r="M153" s="621">
        <v>19.728571428571428</v>
      </c>
      <c r="N153" s="621">
        <v>57.005714285714291</v>
      </c>
      <c r="O153" s="621">
        <v>53.502857142857145</v>
      </c>
    </row>
    <row r="154" spans="11:15">
      <c r="L154" s="620">
        <v>47</v>
      </c>
      <c r="M154" s="621">
        <v>39.656714302857139</v>
      </c>
      <c r="N154" s="621">
        <v>103.00771440714287</v>
      </c>
      <c r="O154" s="621">
        <v>53.459142955714292</v>
      </c>
    </row>
    <row r="155" spans="11:15">
      <c r="K155" s="619">
        <v>48</v>
      </c>
      <c r="L155" s="620">
        <v>48</v>
      </c>
      <c r="M155" s="621">
        <v>39.656714302857139</v>
      </c>
      <c r="N155" s="621">
        <v>99.828000734285709</v>
      </c>
      <c r="O155" s="621">
        <v>45.539571760000008</v>
      </c>
    </row>
    <row r="156" spans="11:15">
      <c r="L156" s="620">
        <v>49</v>
      </c>
      <c r="M156" s="619">
        <v>22.62857142857143</v>
      </c>
      <c r="N156" s="619">
        <v>60.27571428571428</v>
      </c>
      <c r="O156" s="619">
        <v>17.955714285714286</v>
      </c>
    </row>
    <row r="157" spans="11:15">
      <c r="L157" s="620">
        <v>50</v>
      </c>
      <c r="M157" s="619">
        <v>17.776714461428572</v>
      </c>
      <c r="N157" s="619">
        <v>46.701999664285715</v>
      </c>
      <c r="O157" s="619">
        <v>13.432571411428571</v>
      </c>
    </row>
    <row r="158" spans="11:15">
      <c r="L158" s="620">
        <v>51</v>
      </c>
      <c r="M158" s="619">
        <v>34.085714285714282</v>
      </c>
      <c r="N158" s="619">
        <v>68.7</v>
      </c>
      <c r="O158" s="619">
        <v>39.414285714285711</v>
      </c>
    </row>
    <row r="159" spans="11:15">
      <c r="K159" s="619">
        <v>52</v>
      </c>
      <c r="L159" s="620">
        <v>52</v>
      </c>
      <c r="M159" s="619">
        <v>52.094142914285719</v>
      </c>
      <c r="N159" s="619">
        <v>97.347143448571416</v>
      </c>
      <c r="O159" s="619">
        <v>65.679429182857149</v>
      </c>
    </row>
    <row r="160" spans="11:15">
      <c r="M160" s="619" t="s">
        <v>294</v>
      </c>
      <c r="N160" s="619" t="s">
        <v>295</v>
      </c>
      <c r="O160" s="619" t="s">
        <v>296</v>
      </c>
    </row>
  </sheetData>
  <mergeCells count="2">
    <mergeCell ref="A3:G3"/>
    <mergeCell ref="A35:G35"/>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65"/>
  <sheetViews>
    <sheetView showGridLines="0" view="pageBreakPreview" topLeftCell="A37" zoomScale="130" zoomScaleNormal="100" zoomScaleSheetLayoutView="130" zoomScalePageLayoutView="130" workbookViewId="0">
      <selection activeCell="D4" sqref="D4"/>
    </sheetView>
  </sheetViews>
  <sheetFormatPr defaultColWidth="9.33203125" defaultRowHeight="11.25"/>
  <cols>
    <col min="1" max="9" width="9.33203125" style="3"/>
    <col min="10" max="11" width="9.33203125" style="3" customWidth="1"/>
    <col min="12" max="12" width="9.33203125" style="3"/>
    <col min="13" max="16" width="9.33203125" style="619"/>
    <col min="17" max="18" width="9.5" style="619" bestFit="1" customWidth="1"/>
    <col min="19" max="20" width="9.6640625" style="619" bestFit="1" customWidth="1"/>
    <col min="21" max="23" width="9.5" style="619" bestFit="1" customWidth="1"/>
    <col min="24" max="24" width="9.6640625" style="619" bestFit="1" customWidth="1"/>
    <col min="25" max="25" width="9.5" style="619" bestFit="1" customWidth="1"/>
    <col min="26" max="26" width="9.33203125" style="595"/>
    <col min="27" max="30" width="9.33203125" style="424"/>
    <col min="31" max="32" width="9.33203125" style="396"/>
    <col min="33" max="16384" width="9.33203125" style="3"/>
  </cols>
  <sheetData>
    <row r="1" spans="1:25" ht="11.25" customHeight="1">
      <c r="A1" s="160"/>
      <c r="B1" s="160"/>
      <c r="C1" s="160"/>
      <c r="D1" s="160"/>
      <c r="E1" s="160"/>
      <c r="F1" s="160"/>
      <c r="G1" s="160"/>
      <c r="H1" s="160"/>
      <c r="I1" s="160"/>
      <c r="J1" s="160"/>
      <c r="K1" s="160"/>
      <c r="L1" s="160"/>
    </row>
    <row r="2" spans="1:25" ht="11.25" customHeight="1">
      <c r="A2" s="425"/>
      <c r="B2" s="426"/>
      <c r="C2" s="426"/>
      <c r="D2" s="426"/>
      <c r="E2" s="426"/>
      <c r="F2" s="426"/>
      <c r="G2" s="207"/>
      <c r="H2" s="207"/>
      <c r="I2" s="186"/>
      <c r="J2" s="160"/>
      <c r="K2" s="160"/>
      <c r="L2" s="160"/>
    </row>
    <row r="3" spans="1:25" ht="11.25" customHeight="1">
      <c r="A3" s="186"/>
      <c r="B3" s="186"/>
      <c r="C3" s="186"/>
      <c r="D3" s="186"/>
      <c r="E3" s="186"/>
      <c r="F3" s="186"/>
      <c r="G3" s="159"/>
      <c r="H3" s="159"/>
      <c r="I3" s="159"/>
      <c r="J3" s="170"/>
      <c r="K3" s="170"/>
      <c r="L3" s="170"/>
      <c r="O3" s="619" t="s">
        <v>293</v>
      </c>
      <c r="P3" s="620"/>
      <c r="Q3" s="619" t="s">
        <v>297</v>
      </c>
      <c r="R3" s="619" t="s">
        <v>298</v>
      </c>
      <c r="S3" s="619" t="s">
        <v>299</v>
      </c>
      <c r="T3" s="619" t="s">
        <v>300</v>
      </c>
      <c r="U3" s="619" t="s">
        <v>301</v>
      </c>
      <c r="V3" s="619" t="s">
        <v>302</v>
      </c>
      <c r="W3" s="619" t="s">
        <v>303</v>
      </c>
      <c r="X3" s="619" t="s">
        <v>304</v>
      </c>
      <c r="Y3" s="619" t="s">
        <v>305</v>
      </c>
    </row>
    <row r="4" spans="1:25" ht="11.25" customHeight="1">
      <c r="A4" s="186"/>
      <c r="B4" s="186"/>
      <c r="C4" s="186"/>
      <c r="D4" s="186"/>
      <c r="E4" s="186"/>
      <c r="F4" s="186"/>
      <c r="G4" s="159"/>
      <c r="H4" s="159"/>
      <c r="I4" s="159"/>
      <c r="J4" s="170"/>
      <c r="K4" s="170"/>
      <c r="L4" s="170"/>
      <c r="N4" s="619">
        <v>2016</v>
      </c>
      <c r="O4" s="619">
        <v>1</v>
      </c>
      <c r="P4" s="620">
        <v>1</v>
      </c>
      <c r="Q4" s="621">
        <v>12.12</v>
      </c>
      <c r="R4" s="621">
        <v>8.33</v>
      </c>
      <c r="S4" s="621">
        <v>165.03200000000001</v>
      </c>
      <c r="T4" s="621">
        <v>95.83</v>
      </c>
      <c r="U4" s="621">
        <v>18.5</v>
      </c>
      <c r="V4" s="621">
        <v>10.01</v>
      </c>
      <c r="W4" s="621">
        <v>1.23</v>
      </c>
      <c r="X4" s="621">
        <v>109.19</v>
      </c>
      <c r="Y4" s="621">
        <v>37.270000000000003</v>
      </c>
    </row>
    <row r="5" spans="1:25" ht="11.25" customHeight="1">
      <c r="A5" s="427"/>
      <c r="B5" s="427"/>
      <c r="C5" s="427"/>
      <c r="D5" s="427"/>
      <c r="E5" s="427"/>
      <c r="F5" s="427"/>
      <c r="G5" s="427"/>
      <c r="H5" s="427"/>
      <c r="I5" s="427"/>
      <c r="J5" s="31"/>
      <c r="K5" s="31"/>
      <c r="L5" s="152"/>
      <c r="P5" s="620">
        <v>2</v>
      </c>
      <c r="Q5" s="621">
        <v>10.45</v>
      </c>
      <c r="R5" s="621">
        <v>5.38</v>
      </c>
      <c r="S5" s="621">
        <v>137.04</v>
      </c>
      <c r="T5" s="621">
        <v>78.260000000000005</v>
      </c>
      <c r="U5" s="621">
        <v>13.1</v>
      </c>
      <c r="V5" s="621">
        <v>10</v>
      </c>
      <c r="W5" s="621">
        <v>1.18</v>
      </c>
      <c r="X5" s="621">
        <v>177.91</v>
      </c>
      <c r="Y5" s="621">
        <v>53.34</v>
      </c>
    </row>
    <row r="6" spans="1:25" ht="11.25" customHeight="1">
      <c r="A6" s="186"/>
      <c r="B6" s="428"/>
      <c r="C6" s="429"/>
      <c r="D6" s="430"/>
      <c r="E6" s="430"/>
      <c r="F6" s="431"/>
      <c r="G6" s="432"/>
      <c r="H6" s="432"/>
      <c r="I6" s="213"/>
      <c r="J6" s="31"/>
      <c r="K6" s="31"/>
      <c r="L6" s="26"/>
      <c r="P6" s="620">
        <v>3</v>
      </c>
      <c r="Q6" s="621">
        <v>10.396000000000001</v>
      </c>
      <c r="R6" s="621">
        <v>5.29</v>
      </c>
      <c r="S6" s="621">
        <v>102.45</v>
      </c>
      <c r="T6" s="621">
        <v>101.264</v>
      </c>
      <c r="U6" s="621">
        <v>15.26</v>
      </c>
      <c r="V6" s="621">
        <v>10.01</v>
      </c>
      <c r="W6" s="621">
        <v>1.2529999999999999</v>
      </c>
      <c r="X6" s="621">
        <v>248.28</v>
      </c>
      <c r="Y6" s="621">
        <v>76.69</v>
      </c>
    </row>
    <row r="7" spans="1:25" ht="11.25" customHeight="1">
      <c r="A7" s="186"/>
      <c r="B7" s="214"/>
      <c r="C7" s="214"/>
      <c r="D7" s="215"/>
      <c r="E7" s="215"/>
      <c r="F7" s="431"/>
      <c r="G7" s="432"/>
      <c r="H7" s="432"/>
      <c r="I7" s="213"/>
      <c r="J7" s="32"/>
      <c r="K7" s="32"/>
      <c r="L7" s="29"/>
      <c r="O7" s="619">
        <v>4</v>
      </c>
      <c r="P7" s="620">
        <v>4</v>
      </c>
      <c r="Q7" s="621">
        <v>10.32</v>
      </c>
      <c r="R7" s="621">
        <v>6.0640000000000001</v>
      </c>
      <c r="S7" s="621">
        <v>93.71</v>
      </c>
      <c r="T7" s="621">
        <v>79.73</v>
      </c>
      <c r="U7" s="621">
        <v>12.66</v>
      </c>
      <c r="V7" s="621">
        <v>10.01</v>
      </c>
      <c r="W7" s="621">
        <v>1.22</v>
      </c>
      <c r="X7" s="621">
        <v>142.55000000000001</v>
      </c>
      <c r="Y7" s="621">
        <v>40.92</v>
      </c>
    </row>
    <row r="8" spans="1:25" ht="11.25" customHeight="1">
      <c r="A8" s="186"/>
      <c r="B8" s="216"/>
      <c r="C8" s="172"/>
      <c r="D8" s="180"/>
      <c r="E8" s="180"/>
      <c r="F8" s="431"/>
      <c r="G8" s="432"/>
      <c r="H8" s="432"/>
      <c r="I8" s="213"/>
      <c r="J8" s="30"/>
      <c r="K8" s="30"/>
      <c r="L8" s="31"/>
      <c r="P8" s="620">
        <v>5</v>
      </c>
      <c r="Q8" s="621">
        <v>14.34</v>
      </c>
      <c r="R8" s="621">
        <v>9.59</v>
      </c>
      <c r="S8" s="621">
        <v>142.55000000000001</v>
      </c>
      <c r="T8" s="621">
        <v>128.66</v>
      </c>
      <c r="U8" s="621">
        <v>24.24</v>
      </c>
      <c r="V8" s="621">
        <v>10.01</v>
      </c>
      <c r="W8" s="621">
        <v>1.17</v>
      </c>
      <c r="X8" s="621">
        <v>251.59399999999999</v>
      </c>
      <c r="Y8" s="621">
        <v>58.97</v>
      </c>
    </row>
    <row r="9" spans="1:25" ht="11.25" customHeight="1">
      <c r="A9" s="186"/>
      <c r="B9" s="216"/>
      <c r="C9" s="172"/>
      <c r="D9" s="180"/>
      <c r="E9" s="180"/>
      <c r="F9" s="431"/>
      <c r="G9" s="432"/>
      <c r="H9" s="432"/>
      <c r="I9" s="213"/>
      <c r="J9" s="32"/>
      <c r="K9" s="33"/>
      <c r="L9" s="34"/>
      <c r="P9" s="620">
        <v>6</v>
      </c>
      <c r="Q9" s="621">
        <v>14.98</v>
      </c>
      <c r="R9" s="621">
        <v>12.82</v>
      </c>
      <c r="S9" s="621">
        <v>223.15</v>
      </c>
      <c r="T9" s="621">
        <v>174.87</v>
      </c>
      <c r="U9" s="621">
        <v>35.18</v>
      </c>
      <c r="V9" s="621">
        <v>9.01</v>
      </c>
      <c r="W9" s="621">
        <v>0.82</v>
      </c>
      <c r="X9" s="621">
        <v>388.05428210000002</v>
      </c>
      <c r="Y9" s="621">
        <v>80.41</v>
      </c>
    </row>
    <row r="10" spans="1:25" ht="11.25" customHeight="1">
      <c r="A10" s="186"/>
      <c r="B10" s="216"/>
      <c r="C10" s="172"/>
      <c r="D10" s="180"/>
      <c r="E10" s="180"/>
      <c r="F10" s="431"/>
      <c r="G10" s="432"/>
      <c r="H10" s="432"/>
      <c r="I10" s="213"/>
      <c r="J10" s="32"/>
      <c r="K10" s="32"/>
      <c r="L10" s="29"/>
      <c r="P10" s="620">
        <v>7</v>
      </c>
      <c r="Q10" s="621">
        <v>15.86</v>
      </c>
      <c r="R10" s="621">
        <v>12.43</v>
      </c>
      <c r="S10" s="621">
        <v>223.86</v>
      </c>
      <c r="T10" s="621">
        <v>126.56</v>
      </c>
      <c r="U10" s="621">
        <v>25.04</v>
      </c>
      <c r="V10" s="621">
        <v>9.01</v>
      </c>
      <c r="W10" s="621">
        <v>1.59</v>
      </c>
      <c r="X10" s="621">
        <v>283.21000240000001</v>
      </c>
      <c r="Y10" s="621">
        <v>53.36</v>
      </c>
    </row>
    <row r="11" spans="1:25" ht="11.25" customHeight="1">
      <c r="A11" s="186"/>
      <c r="B11" s="180"/>
      <c r="C11" s="172"/>
      <c r="D11" s="180"/>
      <c r="E11" s="180"/>
      <c r="F11" s="431"/>
      <c r="G11" s="432"/>
      <c r="H11" s="432"/>
      <c r="I11" s="213"/>
      <c r="J11" s="32"/>
      <c r="K11" s="32"/>
      <c r="L11" s="29"/>
      <c r="O11" s="619">
        <v>8</v>
      </c>
      <c r="P11" s="620">
        <v>8</v>
      </c>
      <c r="Q11" s="621">
        <v>22.12</v>
      </c>
      <c r="R11" s="621">
        <v>19.3</v>
      </c>
      <c r="S11" s="621">
        <v>297.45999999999998</v>
      </c>
      <c r="T11" s="621">
        <v>188.83</v>
      </c>
      <c r="U11" s="621">
        <v>26.72</v>
      </c>
      <c r="V11" s="621">
        <v>18.309999999999999</v>
      </c>
      <c r="W11" s="621">
        <v>14.62</v>
      </c>
      <c r="X11" s="621">
        <v>414.29357470000002</v>
      </c>
      <c r="Y11" s="621">
        <v>65.55</v>
      </c>
    </row>
    <row r="12" spans="1:25" ht="11.25" customHeight="1">
      <c r="A12" s="186"/>
      <c r="B12" s="180"/>
      <c r="C12" s="172"/>
      <c r="D12" s="180"/>
      <c r="E12" s="180"/>
      <c r="F12" s="431"/>
      <c r="G12" s="432"/>
      <c r="H12" s="432"/>
      <c r="I12" s="213"/>
      <c r="J12" s="32"/>
      <c r="K12" s="32"/>
      <c r="L12" s="29"/>
      <c r="P12" s="620">
        <v>9</v>
      </c>
      <c r="Q12" s="621">
        <v>31.986428669999999</v>
      </c>
      <c r="R12" s="621">
        <v>19.514333090000001</v>
      </c>
      <c r="S12" s="621">
        <v>326.48699649999998</v>
      </c>
      <c r="T12" s="621">
        <v>170.33500290000001</v>
      </c>
      <c r="U12" s="621">
        <v>30.940000529999999</v>
      </c>
      <c r="V12" s="621">
        <v>16.54985727582655</v>
      </c>
      <c r="W12" s="621">
        <v>7.4597144130000004</v>
      </c>
      <c r="X12" s="621">
        <v>382.60643219999997</v>
      </c>
      <c r="Y12" s="621">
        <v>72.96314185</v>
      </c>
    </row>
    <row r="13" spans="1:25" ht="11.25" customHeight="1">
      <c r="A13" s="186"/>
      <c r="B13" s="180"/>
      <c r="C13" s="172"/>
      <c r="D13" s="180"/>
      <c r="E13" s="180"/>
      <c r="F13" s="431"/>
      <c r="G13" s="432"/>
      <c r="H13" s="432"/>
      <c r="I13" s="213"/>
      <c r="J13" s="30"/>
      <c r="K13" s="30"/>
      <c r="L13" s="31"/>
      <c r="P13" s="620">
        <v>10</v>
      </c>
      <c r="Q13" s="621">
        <v>21.817856924874398</v>
      </c>
      <c r="R13" s="621">
        <v>20.1870002746582</v>
      </c>
      <c r="S13" s="621">
        <v>281.91442869999997</v>
      </c>
      <c r="T13" s="621">
        <v>164.05856977190246</v>
      </c>
      <c r="U13" s="621">
        <v>30.751428604125927</v>
      </c>
      <c r="V13" s="621">
        <v>9.5257144655499921</v>
      </c>
      <c r="W13" s="621">
        <v>2.1815714495522598</v>
      </c>
      <c r="X13" s="621">
        <v>245.78571646554084</v>
      </c>
      <c r="Y13" s="621">
        <v>47.002858298165428</v>
      </c>
    </row>
    <row r="14" spans="1:25" ht="11.25" customHeight="1">
      <c r="A14" s="186"/>
      <c r="B14" s="180"/>
      <c r="C14" s="172"/>
      <c r="D14" s="180"/>
      <c r="E14" s="180"/>
      <c r="F14" s="431"/>
      <c r="G14" s="432"/>
      <c r="H14" s="432"/>
      <c r="I14" s="213"/>
      <c r="J14" s="32"/>
      <c r="K14" s="33"/>
      <c r="L14" s="34"/>
      <c r="P14" s="620">
        <v>11</v>
      </c>
      <c r="Q14" s="621">
        <v>21.645000185285259</v>
      </c>
      <c r="R14" s="621">
        <v>18.452999932425314</v>
      </c>
      <c r="S14" s="621">
        <v>302.97000000000003</v>
      </c>
      <c r="T14" s="621">
        <v>146.11571393694155</v>
      </c>
      <c r="U14" s="621">
        <v>26.230000359671411</v>
      </c>
      <c r="V14" s="621">
        <v>10.001428604125973</v>
      </c>
      <c r="W14" s="621">
        <v>1.7041428429739771</v>
      </c>
      <c r="X14" s="621">
        <v>239.62</v>
      </c>
      <c r="Y14" s="621">
        <v>42.29</v>
      </c>
    </row>
    <row r="15" spans="1:25" ht="11.25" customHeight="1">
      <c r="A15" s="186"/>
      <c r="B15" s="180"/>
      <c r="C15" s="172"/>
      <c r="D15" s="180"/>
      <c r="E15" s="180"/>
      <c r="F15" s="431"/>
      <c r="G15" s="432"/>
      <c r="H15" s="432"/>
      <c r="I15" s="213"/>
      <c r="J15" s="32"/>
      <c r="K15" s="33"/>
      <c r="L15" s="29"/>
      <c r="O15" s="619">
        <v>12</v>
      </c>
      <c r="P15" s="620">
        <v>12</v>
      </c>
      <c r="Q15" s="621">
        <v>15.247000013078916</v>
      </c>
      <c r="R15" s="621">
        <v>12.7100000381469</v>
      </c>
      <c r="S15" s="621">
        <v>179.33771623883899</v>
      </c>
      <c r="T15" s="621">
        <v>114.18428584507485</v>
      </c>
      <c r="U15" s="621">
        <v>18.61999988555905</v>
      </c>
      <c r="V15" s="621">
        <v>9.9999999999999964</v>
      </c>
      <c r="W15" s="621">
        <v>1.2444285835538544</v>
      </c>
      <c r="X15" s="621">
        <v>150.27357046944684</v>
      </c>
      <c r="Y15" s="621">
        <v>24.915714263915959</v>
      </c>
    </row>
    <row r="16" spans="1:25" ht="11.25" customHeight="1">
      <c r="A16" s="186"/>
      <c r="B16" s="180"/>
      <c r="C16" s="172"/>
      <c r="D16" s="180"/>
      <c r="E16" s="180"/>
      <c r="F16" s="431"/>
      <c r="G16" s="432"/>
      <c r="H16" s="432"/>
      <c r="I16" s="213"/>
      <c r="J16" s="32"/>
      <c r="K16" s="33"/>
      <c r="L16" s="29"/>
      <c r="P16" s="620">
        <v>13</v>
      </c>
      <c r="Q16" s="621">
        <v>17.322999954223601</v>
      </c>
      <c r="R16" s="621">
        <v>15.171999931335399</v>
      </c>
      <c r="S16" s="621">
        <v>130.67500305175699</v>
      </c>
      <c r="T16" s="621">
        <v>89.040000915527301</v>
      </c>
      <c r="U16" s="621">
        <v>15.310000419616699</v>
      </c>
      <c r="V16" s="621">
        <v>10</v>
      </c>
      <c r="W16" s="621">
        <v>1.0199999809265099</v>
      </c>
      <c r="X16" s="621">
        <v>116.33999633789</v>
      </c>
      <c r="Y16" s="621">
        <v>24.159999847412099</v>
      </c>
    </row>
    <row r="17" spans="1:25" ht="11.25" customHeight="1">
      <c r="A17" s="186"/>
      <c r="B17" s="180"/>
      <c r="C17" s="172"/>
      <c r="D17" s="180"/>
      <c r="E17" s="180"/>
      <c r="F17" s="431"/>
      <c r="G17" s="432"/>
      <c r="H17" s="432"/>
      <c r="I17" s="213"/>
      <c r="J17" s="32"/>
      <c r="K17" s="33"/>
      <c r="L17" s="29"/>
      <c r="P17" s="620">
        <v>14</v>
      </c>
      <c r="Q17" s="621">
        <v>14.828142711094401</v>
      </c>
      <c r="R17" s="621">
        <v>13.217000007629398</v>
      </c>
      <c r="S17" s="621">
        <v>121.81457192557171</v>
      </c>
      <c r="T17" s="621">
        <v>78.037142072405103</v>
      </c>
      <c r="U17" s="621">
        <v>14.082857131957956</v>
      </c>
      <c r="V17" s="621">
        <v>10.001428604125973</v>
      </c>
      <c r="W17" s="621">
        <v>1.3691428899764975</v>
      </c>
      <c r="X17" s="621">
        <v>126.18428475516127</v>
      </c>
      <c r="Y17" s="621">
        <v>22.646999904087572</v>
      </c>
    </row>
    <row r="18" spans="1:25" ht="11.25" customHeight="1">
      <c r="A18" s="974" t="s">
        <v>544</v>
      </c>
      <c r="B18" s="974"/>
      <c r="C18" s="974"/>
      <c r="D18" s="974"/>
      <c r="E18" s="974"/>
      <c r="F18" s="974"/>
      <c r="G18" s="974"/>
      <c r="H18" s="974"/>
      <c r="I18" s="974"/>
      <c r="J18" s="974"/>
      <c r="K18" s="974"/>
      <c r="L18" s="974"/>
      <c r="P18" s="620">
        <v>15</v>
      </c>
      <c r="Q18" s="621">
        <v>15.017142977033298</v>
      </c>
      <c r="R18" s="621">
        <v>11.291000366210898</v>
      </c>
      <c r="S18" s="621">
        <v>184.69442967006074</v>
      </c>
      <c r="T18" s="621">
        <v>74.048570905412902</v>
      </c>
      <c r="U18" s="621">
        <v>17.312857082911869</v>
      </c>
      <c r="V18" s="621">
        <v>10.005714416503881</v>
      </c>
      <c r="W18" s="621">
        <v>1.6558571543012313</v>
      </c>
      <c r="X18" s="621">
        <v>140.54571315220355</v>
      </c>
      <c r="Y18" s="621">
        <v>22.742571422031897</v>
      </c>
    </row>
    <row r="19" spans="1:25" ht="11.25" customHeight="1">
      <c r="A19" s="217"/>
      <c r="B19" s="180"/>
      <c r="C19" s="172"/>
      <c r="D19" s="180"/>
      <c r="E19" s="180"/>
      <c r="F19" s="211"/>
      <c r="G19" s="212"/>
      <c r="H19" s="212"/>
      <c r="I19" s="213"/>
      <c r="J19" s="32"/>
      <c r="K19" s="33"/>
      <c r="L19" s="29"/>
      <c r="O19" s="619">
        <v>16</v>
      </c>
      <c r="P19" s="620">
        <v>16</v>
      </c>
      <c r="Q19" s="621">
        <v>13.98</v>
      </c>
      <c r="R19" s="621">
        <v>11.63</v>
      </c>
      <c r="S19" s="621">
        <v>164.52</v>
      </c>
      <c r="T19" s="621">
        <v>81.069999999999993</v>
      </c>
      <c r="U19" s="621">
        <v>21.07</v>
      </c>
      <c r="V19" s="621">
        <v>10.01</v>
      </c>
      <c r="W19" s="621">
        <v>1.27</v>
      </c>
      <c r="X19" s="621">
        <v>141.29</v>
      </c>
      <c r="Y19" s="621">
        <v>23.21</v>
      </c>
    </row>
    <row r="20" spans="1:25" ht="11.25" customHeight="1">
      <c r="A20" s="153"/>
      <c r="B20" s="180"/>
      <c r="C20" s="172"/>
      <c r="D20" s="180"/>
      <c r="E20" s="180"/>
      <c r="F20" s="211"/>
      <c r="G20" s="212"/>
      <c r="H20" s="212"/>
      <c r="I20" s="213"/>
      <c r="J20" s="32"/>
      <c r="K20" s="33"/>
      <c r="L20" s="29"/>
      <c r="P20" s="620">
        <v>17</v>
      </c>
      <c r="Q20" s="621">
        <v>12.944285669999999</v>
      </c>
      <c r="R20" s="621">
        <v>10.010000228881799</v>
      </c>
      <c r="S20" s="621">
        <v>152.88357325962556</v>
      </c>
      <c r="T20" s="621">
        <v>64.311428070000005</v>
      </c>
      <c r="U20" s="621">
        <v>16.638571469999999</v>
      </c>
      <c r="V20" s="621">
        <v>10.004285812377887</v>
      </c>
      <c r="W20" s="621">
        <v>1.7342857122421229</v>
      </c>
      <c r="X20" s="621">
        <v>105.73500061035119</v>
      </c>
      <c r="Y20" s="621">
        <v>19.724285806928286</v>
      </c>
    </row>
    <row r="21" spans="1:25" ht="11.25" customHeight="1">
      <c r="A21" s="153"/>
      <c r="B21" s="180"/>
      <c r="C21" s="172"/>
      <c r="D21" s="180"/>
      <c r="E21" s="180"/>
      <c r="F21" s="211"/>
      <c r="G21" s="212"/>
      <c r="H21" s="212"/>
      <c r="I21" s="213"/>
      <c r="J21" s="32"/>
      <c r="K21" s="38"/>
      <c r="L21" s="39"/>
      <c r="P21" s="620">
        <v>18</v>
      </c>
      <c r="Q21" s="621">
        <v>10.727142742701899</v>
      </c>
      <c r="R21" s="621">
        <v>6.3112858363560251</v>
      </c>
      <c r="S21" s="621">
        <v>98.225285121372636</v>
      </c>
      <c r="T21" s="621">
        <v>46.242857796805197</v>
      </c>
      <c r="U21" s="621">
        <v>10.637142998831566</v>
      </c>
      <c r="V21" s="621">
        <v>10.007143020629858</v>
      </c>
      <c r="W21" s="621">
        <v>1.4345714194433998</v>
      </c>
      <c r="X21" s="621">
        <v>72.620000566754968</v>
      </c>
      <c r="Y21" s="621">
        <v>14.075714383806471</v>
      </c>
    </row>
    <row r="22" spans="1:25" ht="11.25" customHeight="1">
      <c r="A22" s="158"/>
      <c r="B22" s="180"/>
      <c r="C22" s="172"/>
      <c r="D22" s="180"/>
      <c r="E22" s="180"/>
      <c r="F22" s="211"/>
      <c r="G22" s="212"/>
      <c r="H22" s="212"/>
      <c r="I22" s="213"/>
      <c r="J22" s="32"/>
      <c r="K22" s="33"/>
      <c r="L22" s="29"/>
      <c r="P22" s="620">
        <v>19</v>
      </c>
      <c r="Q22" s="621">
        <v>9.4342857088361427</v>
      </c>
      <c r="R22" s="621">
        <v>7.4910001754760689</v>
      </c>
      <c r="S22" s="621">
        <v>86.615142822265582</v>
      </c>
      <c r="T22" s="621">
        <v>41.954286302838973</v>
      </c>
      <c r="U22" s="621">
        <v>9.4342857088361427</v>
      </c>
      <c r="V22" s="621">
        <v>10.004285812377914</v>
      </c>
      <c r="W22" s="621">
        <v>1.3051428794860784</v>
      </c>
      <c r="X22" s="621">
        <v>60.497857775006928</v>
      </c>
      <c r="Y22" s="621">
        <v>12.797142846243686</v>
      </c>
    </row>
    <row r="23" spans="1:25" ht="11.25" customHeight="1">
      <c r="A23" s="158"/>
      <c r="B23" s="180"/>
      <c r="C23" s="172"/>
      <c r="D23" s="180"/>
      <c r="E23" s="180"/>
      <c r="F23" s="211"/>
      <c r="G23" s="212"/>
      <c r="H23" s="212"/>
      <c r="I23" s="213"/>
      <c r="J23" s="32"/>
      <c r="K23" s="33"/>
      <c r="L23" s="29"/>
      <c r="O23" s="619">
        <v>20</v>
      </c>
      <c r="P23" s="620">
        <v>20</v>
      </c>
      <c r="Q23" s="621">
        <v>9.1999999999999993</v>
      </c>
      <c r="R23" s="621">
        <v>6.8</v>
      </c>
      <c r="S23" s="621">
        <v>78.2</v>
      </c>
      <c r="T23" s="621">
        <v>39.6</v>
      </c>
      <c r="U23" s="621">
        <v>8.6</v>
      </c>
      <c r="V23" s="621">
        <v>10</v>
      </c>
      <c r="W23" s="621">
        <v>1.6</v>
      </c>
      <c r="X23" s="621">
        <v>56.6</v>
      </c>
      <c r="Y23" s="621">
        <v>12.9</v>
      </c>
    </row>
    <row r="24" spans="1:25" ht="11.25" customHeight="1">
      <c r="A24" s="158"/>
      <c r="B24" s="180"/>
      <c r="C24" s="172"/>
      <c r="D24" s="180"/>
      <c r="E24" s="180"/>
      <c r="F24" s="211"/>
      <c r="G24" s="212"/>
      <c r="H24" s="212"/>
      <c r="I24" s="213"/>
      <c r="J24" s="33"/>
      <c r="K24" s="33"/>
      <c r="L24" s="29"/>
      <c r="P24" s="620">
        <v>21</v>
      </c>
      <c r="Q24" s="621">
        <v>9.0128573008945967</v>
      </c>
      <c r="R24" s="621">
        <v>5.4099998474121005</v>
      </c>
      <c r="S24" s="621">
        <v>73.744141714913454</v>
      </c>
      <c r="T24" s="621">
        <v>44.79285812377924</v>
      </c>
      <c r="U24" s="621">
        <v>10.11999988555907</v>
      </c>
      <c r="V24" s="621">
        <v>10.011428560529414</v>
      </c>
      <c r="W24" s="621">
        <v>1.2349999972752113</v>
      </c>
      <c r="X24" s="621">
        <v>52.17071369716097</v>
      </c>
      <c r="Y24" s="621">
        <v>11.968571390424414</v>
      </c>
    </row>
    <row r="25" spans="1:25" ht="11.25" customHeight="1">
      <c r="A25" s="158"/>
      <c r="B25" s="180"/>
      <c r="C25" s="172"/>
      <c r="D25" s="180"/>
      <c r="E25" s="180"/>
      <c r="F25" s="211"/>
      <c r="G25" s="212"/>
      <c r="H25" s="212"/>
      <c r="I25" s="213"/>
      <c r="J25" s="32"/>
      <c r="K25" s="38"/>
      <c r="L25" s="39"/>
      <c r="P25" s="620">
        <v>22</v>
      </c>
      <c r="Q25" s="621">
        <v>7.95</v>
      </c>
      <c r="R25" s="621">
        <v>3.82</v>
      </c>
      <c r="S25" s="621">
        <v>66.739999999999995</v>
      </c>
      <c r="T25" s="621">
        <v>34.01</v>
      </c>
      <c r="U25" s="621">
        <v>8.15</v>
      </c>
      <c r="V25" s="621">
        <v>10.02</v>
      </c>
      <c r="W25" s="621">
        <v>1.52</v>
      </c>
      <c r="X25" s="621">
        <v>46.88</v>
      </c>
      <c r="Y25" s="621">
        <v>9.89</v>
      </c>
    </row>
    <row r="26" spans="1:25" ht="11.25" customHeight="1">
      <c r="A26" s="158"/>
      <c r="B26" s="180"/>
      <c r="C26" s="172"/>
      <c r="D26" s="180"/>
      <c r="E26" s="180"/>
      <c r="F26" s="159"/>
      <c r="G26" s="159"/>
      <c r="H26" s="159"/>
      <c r="I26" s="159"/>
      <c r="J26" s="30"/>
      <c r="K26" s="33"/>
      <c r="L26" s="29"/>
      <c r="P26" s="620">
        <v>23</v>
      </c>
      <c r="Q26" s="621">
        <v>7.6</v>
      </c>
      <c r="R26" s="621">
        <v>3.22</v>
      </c>
      <c r="S26" s="621">
        <v>59.4</v>
      </c>
      <c r="T26" s="621">
        <v>28.71</v>
      </c>
      <c r="U26" s="621">
        <v>7.74</v>
      </c>
      <c r="V26" s="621">
        <v>10</v>
      </c>
      <c r="W26" s="621">
        <v>1.55</v>
      </c>
      <c r="X26" s="621">
        <v>43.39</v>
      </c>
      <c r="Y26" s="621">
        <v>8.57</v>
      </c>
    </row>
    <row r="27" spans="1:25" ht="11.25" customHeight="1">
      <c r="A27" s="158"/>
      <c r="B27" s="180"/>
      <c r="C27" s="172"/>
      <c r="D27" s="180"/>
      <c r="E27" s="180"/>
      <c r="F27" s="159"/>
      <c r="G27" s="159"/>
      <c r="H27" s="159"/>
      <c r="I27" s="159"/>
      <c r="J27" s="30"/>
      <c r="K27" s="33"/>
      <c r="L27" s="29"/>
      <c r="O27" s="619">
        <v>24</v>
      </c>
      <c r="P27" s="620">
        <v>24</v>
      </c>
      <c r="Q27" s="621">
        <v>9.57</v>
      </c>
      <c r="R27" s="621">
        <v>3.42</v>
      </c>
      <c r="S27" s="621">
        <v>54.3</v>
      </c>
      <c r="T27" s="621">
        <v>30.83</v>
      </c>
      <c r="U27" s="621">
        <v>7.53</v>
      </c>
      <c r="V27" s="621">
        <v>10</v>
      </c>
      <c r="W27" s="621">
        <v>1.6</v>
      </c>
      <c r="X27" s="621">
        <v>40.28</v>
      </c>
      <c r="Y27" s="621">
        <v>9.6</v>
      </c>
    </row>
    <row r="28" spans="1:25" ht="11.25" customHeight="1">
      <c r="A28" s="157"/>
      <c r="B28" s="159"/>
      <c r="C28" s="159"/>
      <c r="D28" s="159"/>
      <c r="E28" s="159"/>
      <c r="F28" s="159"/>
      <c r="G28" s="159"/>
      <c r="H28" s="159"/>
      <c r="I28" s="159"/>
      <c r="J28" s="32"/>
      <c r="K28" s="33"/>
      <c r="L28" s="29"/>
      <c r="P28" s="620">
        <v>25</v>
      </c>
      <c r="Q28" s="621">
        <v>9.0548571179999993</v>
      </c>
      <c r="R28" s="621">
        <v>3.2130000590000001</v>
      </c>
      <c r="S28" s="621">
        <v>56.674428669999998</v>
      </c>
      <c r="T28" s="621">
        <v>25.690000260000001</v>
      </c>
      <c r="U28" s="621">
        <v>6.9342856409999998</v>
      </c>
      <c r="V28" s="621">
        <v>10.00571442</v>
      </c>
      <c r="W28" s="621">
        <v>1.254714302</v>
      </c>
      <c r="X28" s="621">
        <v>37.560714179999998</v>
      </c>
      <c r="Y28" s="621">
        <v>7.91285726</v>
      </c>
    </row>
    <row r="29" spans="1:25" ht="11.25" customHeight="1">
      <c r="A29" s="157"/>
      <c r="B29" s="159"/>
      <c r="C29" s="159"/>
      <c r="D29" s="159"/>
      <c r="E29" s="159"/>
      <c r="F29" s="159"/>
      <c r="G29" s="159"/>
      <c r="H29" s="159"/>
      <c r="I29" s="159"/>
      <c r="J29" s="32"/>
      <c r="K29" s="33"/>
      <c r="L29" s="29"/>
      <c r="P29" s="620">
        <v>26</v>
      </c>
      <c r="Q29" s="621">
        <v>8.8612857550000008</v>
      </c>
      <c r="R29" s="621">
        <v>3.5</v>
      </c>
      <c r="S29" s="621">
        <v>68.087428501674069</v>
      </c>
      <c r="T29" s="621">
        <v>30.317143300000001</v>
      </c>
      <c r="U29" s="621">
        <v>8.8971428190000008</v>
      </c>
      <c r="V29" s="621">
        <v>10</v>
      </c>
      <c r="W29" s="621">
        <v>1.4324285809999999</v>
      </c>
      <c r="X29" s="621">
        <v>37.759999409999999</v>
      </c>
      <c r="Y29" s="621">
        <v>8.911428656</v>
      </c>
    </row>
    <row r="30" spans="1:25" ht="11.25" customHeight="1">
      <c r="A30" s="157"/>
      <c r="B30" s="159"/>
      <c r="C30" s="159"/>
      <c r="D30" s="159"/>
      <c r="E30" s="159"/>
      <c r="F30" s="159"/>
      <c r="G30" s="159"/>
      <c r="H30" s="159"/>
      <c r="I30" s="159"/>
      <c r="J30" s="32"/>
      <c r="K30" s="33"/>
      <c r="L30" s="29"/>
      <c r="P30" s="620">
        <v>27</v>
      </c>
      <c r="Q30" s="621">
        <v>8.3185714990000008</v>
      </c>
      <c r="R30" s="621">
        <v>4.0900001530000001</v>
      </c>
      <c r="S30" s="621">
        <v>60.110428400000004</v>
      </c>
      <c r="T30" s="621">
        <v>28.581429350000001</v>
      </c>
      <c r="U30" s="621">
        <v>7.9442856649999998</v>
      </c>
      <c r="V30" s="621">
        <v>10.001428600000001</v>
      </c>
      <c r="W30" s="621">
        <v>1.455999987</v>
      </c>
      <c r="X30" s="621">
        <v>35.967143470000003</v>
      </c>
      <c r="Y30" s="621">
        <v>7.2057142259999996</v>
      </c>
    </row>
    <row r="31" spans="1:25" ht="11.25" customHeight="1">
      <c r="A31" s="157"/>
      <c r="B31" s="159"/>
      <c r="C31" s="159"/>
      <c r="D31" s="159"/>
      <c r="E31" s="159"/>
      <c r="F31" s="159"/>
      <c r="G31" s="159"/>
      <c r="H31" s="159"/>
      <c r="I31" s="159"/>
      <c r="J31" s="32"/>
      <c r="K31" s="33"/>
      <c r="L31" s="29"/>
      <c r="O31" s="619">
        <v>28</v>
      </c>
      <c r="P31" s="620">
        <v>28</v>
      </c>
      <c r="Q31" s="621">
        <v>7.789714268</v>
      </c>
      <c r="R31" s="621">
        <v>3.119999886</v>
      </c>
      <c r="S31" s="621">
        <v>60.986856189999997</v>
      </c>
      <c r="T31" s="621">
        <v>27.099999836512943</v>
      </c>
      <c r="U31" s="621">
        <v>7.4514284819999999</v>
      </c>
      <c r="V31" s="621">
        <v>10.0128573</v>
      </c>
      <c r="W31" s="621">
        <v>1.5508571609999999</v>
      </c>
      <c r="X31" s="621">
        <v>47.66357095</v>
      </c>
      <c r="Y31" s="621">
        <v>9.9999998639999994</v>
      </c>
    </row>
    <row r="32" spans="1:25" ht="11.25" customHeight="1">
      <c r="A32" s="157"/>
      <c r="B32" s="159"/>
      <c r="C32" s="159"/>
      <c r="D32" s="159"/>
      <c r="E32" s="159"/>
      <c r="F32" s="159"/>
      <c r="G32" s="159"/>
      <c r="H32" s="159"/>
      <c r="I32" s="159"/>
      <c r="J32" s="33"/>
      <c r="K32" s="33"/>
      <c r="L32" s="29"/>
      <c r="P32" s="620">
        <v>29</v>
      </c>
      <c r="Q32" s="621">
        <v>7.1615714349999999</v>
      </c>
      <c r="R32" s="621">
        <v>3.4249999519999998</v>
      </c>
      <c r="S32" s="621">
        <v>56.540714260000001</v>
      </c>
      <c r="T32" s="621">
        <v>23.477142610000001</v>
      </c>
      <c r="U32" s="621">
        <v>6.2828570089999998</v>
      </c>
      <c r="V32" s="621">
        <v>10.001428600000001</v>
      </c>
      <c r="W32" s="621">
        <v>2.1035714489999999</v>
      </c>
      <c r="X32" s="621">
        <v>44.25</v>
      </c>
      <c r="Y32" s="621">
        <v>6.7128572460000004</v>
      </c>
    </row>
    <row r="33" spans="1:25" ht="11.25" customHeight="1">
      <c r="A33" s="157"/>
      <c r="B33" s="159"/>
      <c r="C33" s="159"/>
      <c r="D33" s="159"/>
      <c r="E33" s="159"/>
      <c r="F33" s="159"/>
      <c r="G33" s="159"/>
      <c r="H33" s="159"/>
      <c r="I33" s="159"/>
      <c r="J33" s="32"/>
      <c r="K33" s="33"/>
      <c r="L33" s="29"/>
      <c r="P33" s="620">
        <v>30</v>
      </c>
      <c r="Q33" s="621">
        <v>6.6714285440000003</v>
      </c>
      <c r="R33" s="621">
        <v>2.8789999489999998</v>
      </c>
      <c r="S33" s="621">
        <v>65.491856709999993</v>
      </c>
      <c r="T33" s="621">
        <v>21.095714300000001</v>
      </c>
      <c r="U33" s="621">
        <v>5.8057142669999999</v>
      </c>
      <c r="V33" s="621">
        <v>10.01142883</v>
      </c>
      <c r="W33" s="621">
        <v>1.8491428750000001</v>
      </c>
      <c r="X33" s="621">
        <v>42.498571668352326</v>
      </c>
      <c r="Y33" s="621">
        <v>6.0797142300000004</v>
      </c>
    </row>
    <row r="34" spans="1:25" ht="11.25" customHeight="1">
      <c r="A34" s="157"/>
      <c r="B34" s="159"/>
      <c r="C34" s="159"/>
      <c r="D34" s="159"/>
      <c r="E34" s="159"/>
      <c r="F34" s="159"/>
      <c r="G34" s="159"/>
      <c r="H34" s="159"/>
      <c r="I34" s="159"/>
      <c r="J34" s="32"/>
      <c r="K34" s="43"/>
      <c r="L34" s="29"/>
      <c r="P34" s="620">
        <v>31</v>
      </c>
      <c r="Q34" s="621">
        <v>6.2387143543788328</v>
      </c>
      <c r="R34" s="621">
        <v>2.9382856232779297</v>
      </c>
      <c r="S34" s="621">
        <v>65.491856711251344</v>
      </c>
      <c r="T34" s="621">
        <v>20.037142889840243</v>
      </c>
      <c r="U34" s="621">
        <v>5.4814286231994549</v>
      </c>
      <c r="V34" s="621">
        <v>10.011428833007772</v>
      </c>
      <c r="W34" s="621">
        <v>1.8019999946866672</v>
      </c>
      <c r="X34" s="621">
        <v>39.98428617204933</v>
      </c>
      <c r="Y34" s="621">
        <v>4.9059999329703157</v>
      </c>
    </row>
    <row r="35" spans="1:25" ht="11.25" customHeight="1">
      <c r="A35" s="157"/>
      <c r="B35" s="159"/>
      <c r="C35" s="159"/>
      <c r="D35" s="159"/>
      <c r="E35" s="159"/>
      <c r="F35" s="159"/>
      <c r="G35" s="159"/>
      <c r="H35" s="159"/>
      <c r="I35" s="159"/>
      <c r="J35" s="32"/>
      <c r="K35" s="43"/>
      <c r="L35" s="48"/>
      <c r="O35" s="619">
        <v>32</v>
      </c>
      <c r="P35" s="620">
        <v>32</v>
      </c>
      <c r="Q35" s="621">
        <v>6.1697142459999998</v>
      </c>
      <c r="R35" s="621">
        <v>3.2030000689999998</v>
      </c>
      <c r="S35" s="621">
        <v>49.942714418571427</v>
      </c>
      <c r="T35" s="621">
        <v>23.275714059999999</v>
      </c>
      <c r="U35" s="621">
        <v>5.8257142479999997</v>
      </c>
      <c r="V35" s="621">
        <v>10.004285810000001</v>
      </c>
      <c r="W35" s="621">
        <v>1.2214285650000001</v>
      </c>
      <c r="X35" s="621">
        <v>36.654999320000002</v>
      </c>
      <c r="Y35" s="621">
        <v>4.0242800000000001</v>
      </c>
    </row>
    <row r="36" spans="1:25" ht="11.25" customHeight="1">
      <c r="A36" s="157"/>
      <c r="B36" s="159"/>
      <c r="C36" s="159"/>
      <c r="D36" s="159"/>
      <c r="E36" s="159"/>
      <c r="F36" s="159"/>
      <c r="G36" s="159"/>
      <c r="H36" s="159"/>
      <c r="I36" s="159"/>
      <c r="J36" s="32"/>
      <c r="K36" s="38"/>
      <c r="L36" s="29"/>
      <c r="P36" s="620">
        <v>33</v>
      </c>
      <c r="Q36" s="621">
        <v>6.3728570940000004</v>
      </c>
      <c r="R36" s="621">
        <v>2.841857144</v>
      </c>
      <c r="S36" s="621">
        <v>57.183571406773112</v>
      </c>
      <c r="T36" s="621">
        <v>22.619999750000002</v>
      </c>
      <c r="U36" s="621">
        <v>5.5228571210000004</v>
      </c>
      <c r="V36" s="621">
        <v>10</v>
      </c>
      <c r="W36" s="621">
        <v>1.3032857349940685</v>
      </c>
      <c r="X36" s="621">
        <v>35.152857099999999</v>
      </c>
      <c r="Y36" s="621">
        <v>4.354285752</v>
      </c>
    </row>
    <row r="37" spans="1:25" ht="11.25" customHeight="1">
      <c r="A37" s="157"/>
      <c r="B37" s="159"/>
      <c r="C37" s="159"/>
      <c r="D37" s="159"/>
      <c r="E37" s="159"/>
      <c r="F37" s="159"/>
      <c r="G37" s="159"/>
      <c r="H37" s="159"/>
      <c r="I37" s="159"/>
      <c r="J37" s="32"/>
      <c r="K37" s="38"/>
      <c r="L37" s="29"/>
      <c r="P37" s="620">
        <v>34</v>
      </c>
      <c r="Q37" s="621">
        <v>6.1195714130000001</v>
      </c>
      <c r="R37" s="621">
        <v>3.058000088</v>
      </c>
      <c r="S37" s="621">
        <v>49.366142269999997</v>
      </c>
      <c r="T37" s="621">
        <v>25.04757145</v>
      </c>
      <c r="U37" s="621">
        <v>5.8727143149999996</v>
      </c>
      <c r="V37" s="621">
        <v>10.00857162</v>
      </c>
      <c r="W37" s="621">
        <v>1.2842857160000001</v>
      </c>
      <c r="X37" s="621">
        <v>34.115715029999997</v>
      </c>
      <c r="Y37" s="621">
        <v>4.3511429509999999</v>
      </c>
    </row>
    <row r="38" spans="1:25" ht="11.25" customHeight="1">
      <c r="A38" s="157"/>
      <c r="B38" s="159"/>
      <c r="C38" s="159"/>
      <c r="D38" s="159"/>
      <c r="E38" s="159"/>
      <c r="F38" s="159"/>
      <c r="G38" s="159"/>
      <c r="H38" s="159"/>
      <c r="I38" s="159"/>
      <c r="J38" s="32"/>
      <c r="K38" s="38"/>
      <c r="L38" s="29"/>
      <c r="P38" s="620">
        <v>35</v>
      </c>
      <c r="Q38" s="621">
        <v>5.9814286230000002</v>
      </c>
      <c r="R38" s="621">
        <v>1.506999969</v>
      </c>
      <c r="S38" s="621">
        <v>56.934856959999998</v>
      </c>
      <c r="T38" s="621">
        <v>21.374285830000002</v>
      </c>
      <c r="U38" s="621">
        <v>4.9342857090000001</v>
      </c>
      <c r="V38" s="621">
        <v>10.28714289</v>
      </c>
      <c r="W38" s="621">
        <v>1.5979999810000001</v>
      </c>
      <c r="X38" s="621">
        <v>30.92</v>
      </c>
      <c r="Y38" s="621">
        <v>5.3042856629999999</v>
      </c>
    </row>
    <row r="39" spans="1:25" ht="11.25" customHeight="1">
      <c r="O39" s="619">
        <v>36</v>
      </c>
      <c r="P39" s="620">
        <v>36</v>
      </c>
      <c r="Q39" s="621">
        <v>6.03</v>
      </c>
      <c r="R39" s="621">
        <v>2.8</v>
      </c>
      <c r="S39" s="621">
        <v>48.51</v>
      </c>
      <c r="T39" s="621">
        <v>22.661428449999999</v>
      </c>
      <c r="U39" s="621">
        <v>4.9800000000000004</v>
      </c>
      <c r="V39" s="621">
        <v>11.01</v>
      </c>
      <c r="W39" s="621">
        <v>1.63</v>
      </c>
      <c r="X39" s="621">
        <v>30.922143120000001</v>
      </c>
      <c r="Y39" s="621">
        <v>7.46</v>
      </c>
    </row>
    <row r="40" spans="1:25" ht="11.25" customHeight="1">
      <c r="A40" s="974" t="s">
        <v>543</v>
      </c>
      <c r="B40" s="974"/>
      <c r="C40" s="974"/>
      <c r="D40" s="974"/>
      <c r="E40" s="974"/>
      <c r="F40" s="974"/>
      <c r="G40" s="974"/>
      <c r="H40" s="974"/>
      <c r="I40" s="974"/>
      <c r="J40" s="974"/>
      <c r="K40" s="974"/>
      <c r="L40" s="974"/>
      <c r="P40" s="620">
        <v>37</v>
      </c>
      <c r="Q40" s="621">
        <v>6.03</v>
      </c>
      <c r="R40" s="621">
        <v>2.37</v>
      </c>
      <c r="S40" s="621">
        <v>43.99</v>
      </c>
      <c r="T40" s="621">
        <v>19.149999999999999</v>
      </c>
      <c r="U40" s="621">
        <v>5.31</v>
      </c>
      <c r="V40" s="621">
        <v>11</v>
      </c>
      <c r="W40" s="621">
        <v>1.59</v>
      </c>
      <c r="X40" s="621">
        <v>29.33</v>
      </c>
      <c r="Y40" s="621">
        <v>7.79</v>
      </c>
    </row>
    <row r="41" spans="1:25" ht="11.25" customHeight="1">
      <c r="P41" s="620">
        <v>38</v>
      </c>
      <c r="Q41" s="621">
        <v>6.5951428410000004</v>
      </c>
      <c r="R41" s="621">
        <v>3.0060000420000001</v>
      </c>
      <c r="S41" s="621">
        <v>47.220570700000003</v>
      </c>
      <c r="T41" s="621">
        <v>22.304285589999999</v>
      </c>
      <c r="U41" s="621">
        <v>5.581428528</v>
      </c>
      <c r="V41" s="621">
        <v>10.85142858</v>
      </c>
      <c r="W41" s="621">
        <v>1.5402856890000001</v>
      </c>
      <c r="X41" s="621">
        <v>34.179286410000003</v>
      </c>
      <c r="Y41" s="621">
        <v>8.5442856379999998</v>
      </c>
    </row>
    <row r="42" spans="1:25" ht="11.25" customHeight="1">
      <c r="A42" s="157"/>
      <c r="B42" s="159"/>
      <c r="C42" s="159"/>
      <c r="D42" s="159"/>
      <c r="E42" s="159"/>
      <c r="F42" s="159"/>
      <c r="G42" s="159"/>
      <c r="H42" s="159"/>
      <c r="I42" s="159"/>
      <c r="J42" s="160"/>
      <c r="K42" s="160"/>
      <c r="L42" s="160"/>
      <c r="O42" s="619">
        <v>39</v>
      </c>
      <c r="P42" s="620">
        <v>39</v>
      </c>
      <c r="Q42" s="621">
        <v>6.84</v>
      </c>
      <c r="R42" s="621">
        <v>3.32</v>
      </c>
      <c r="S42" s="621">
        <v>63.05</v>
      </c>
      <c r="T42" s="621">
        <v>48.7</v>
      </c>
      <c r="U42" s="621">
        <v>7.81</v>
      </c>
      <c r="V42" s="621">
        <v>11.15</v>
      </c>
      <c r="W42" s="621">
        <v>1.32</v>
      </c>
      <c r="X42" s="621">
        <v>38.82</v>
      </c>
      <c r="Y42" s="621">
        <v>6.81</v>
      </c>
    </row>
    <row r="43" spans="1:25" ht="11.25" customHeight="1">
      <c r="A43" s="157"/>
      <c r="B43" s="159"/>
      <c r="C43" s="159"/>
      <c r="D43" s="159"/>
      <c r="E43" s="159"/>
      <c r="F43" s="159"/>
      <c r="G43" s="159"/>
      <c r="H43" s="159"/>
      <c r="I43" s="159"/>
      <c r="J43" s="160"/>
      <c r="K43" s="160"/>
      <c r="L43" s="160"/>
      <c r="P43" s="620">
        <v>40</v>
      </c>
      <c r="Q43" s="621">
        <v>7.6862857681428576</v>
      </c>
      <c r="R43" s="621">
        <v>3.1560000009999998</v>
      </c>
      <c r="S43" s="621">
        <v>61.54114314571428</v>
      </c>
      <c r="T43" s="621">
        <v>37.928571428999994</v>
      </c>
      <c r="U43" s="621">
        <v>7.9165713450000004</v>
      </c>
      <c r="V43" s="621">
        <v>11.005714417142856</v>
      </c>
      <c r="W43" s="621">
        <v>1.3828571522857145</v>
      </c>
      <c r="X43" s="621">
        <v>43.879284992857151</v>
      </c>
      <c r="Y43" s="621">
        <v>6.2752857208571422</v>
      </c>
    </row>
    <row r="44" spans="1:25" ht="11.25" customHeight="1">
      <c r="A44" s="157"/>
      <c r="B44" s="159"/>
      <c r="C44" s="159"/>
      <c r="D44" s="159"/>
      <c r="E44" s="159"/>
      <c r="F44" s="159"/>
      <c r="G44" s="159"/>
      <c r="H44" s="159"/>
      <c r="I44" s="159"/>
      <c r="P44" s="620">
        <v>41</v>
      </c>
      <c r="Q44" s="621">
        <v>7.1000001089913463</v>
      </c>
      <c r="R44" s="621">
        <v>2.9028571673801928</v>
      </c>
      <c r="S44" s="621">
        <v>58.117285592215353</v>
      </c>
      <c r="T44" s="621">
        <v>48.921429225376635</v>
      </c>
      <c r="U44" s="621">
        <v>8.5942858287266173</v>
      </c>
      <c r="V44" s="621">
        <v>11.002857208251914</v>
      </c>
      <c r="W44" s="621">
        <v>1.3182857036590543</v>
      </c>
      <c r="X44" s="621">
        <v>45.627857753208637</v>
      </c>
      <c r="Y44" s="621">
        <v>9.9285714966910028</v>
      </c>
    </row>
    <row r="45" spans="1:25" ht="11.25" customHeight="1">
      <c r="A45" s="157"/>
      <c r="B45" s="159"/>
      <c r="C45" s="159"/>
      <c r="D45" s="159"/>
      <c r="E45" s="159"/>
      <c r="F45" s="159"/>
      <c r="G45" s="159"/>
      <c r="H45" s="159"/>
      <c r="I45" s="159"/>
      <c r="P45" s="620">
        <v>42</v>
      </c>
      <c r="Q45" s="621">
        <v>6.7610000201428573</v>
      </c>
      <c r="R45" s="621">
        <v>2.8671428815714286</v>
      </c>
      <c r="S45" s="621">
        <v>58.888142721428572</v>
      </c>
      <c r="T45" s="621">
        <v>55.619142805714283</v>
      </c>
      <c r="U45" s="621">
        <v>9.5089999614285716</v>
      </c>
      <c r="V45" s="621">
        <v>11.007142884285715</v>
      </c>
      <c r="W45" s="621">
        <v>1.2221428497142859</v>
      </c>
      <c r="X45" s="621">
        <v>52.615000045714282</v>
      </c>
      <c r="Y45" s="621">
        <v>9.6800000322857152</v>
      </c>
    </row>
    <row r="46" spans="1:25" ht="11.25" customHeight="1">
      <c r="A46" s="157"/>
      <c r="B46" s="159"/>
      <c r="C46" s="159"/>
      <c r="D46" s="159"/>
      <c r="E46" s="159"/>
      <c r="F46" s="159"/>
      <c r="G46" s="159"/>
      <c r="H46" s="159"/>
      <c r="I46" s="159"/>
      <c r="O46" s="619">
        <v>43</v>
      </c>
      <c r="P46" s="620">
        <v>43</v>
      </c>
      <c r="Q46" s="621">
        <v>6.53</v>
      </c>
      <c r="R46" s="621">
        <v>2.37</v>
      </c>
      <c r="S46" s="621">
        <v>69.2</v>
      </c>
      <c r="T46" s="621">
        <v>54.58</v>
      </c>
      <c r="U46" s="621">
        <v>8.23</v>
      </c>
      <c r="V46" s="621">
        <v>11.01</v>
      </c>
      <c r="W46" s="621">
        <v>1.35</v>
      </c>
      <c r="X46" s="621">
        <v>50.71</v>
      </c>
      <c r="Y46" s="621">
        <v>10.33</v>
      </c>
    </row>
    <row r="47" spans="1:25" ht="11.25" customHeight="1">
      <c r="A47" s="157"/>
      <c r="B47" s="159"/>
      <c r="C47" s="159"/>
      <c r="D47" s="159"/>
      <c r="E47" s="159"/>
      <c r="F47" s="159"/>
      <c r="G47" s="159"/>
      <c r="H47" s="159"/>
      <c r="I47" s="159"/>
      <c r="P47" s="620">
        <v>44</v>
      </c>
      <c r="Q47" s="621">
        <v>7.58</v>
      </c>
      <c r="R47" s="621">
        <v>4.8899999999999997</v>
      </c>
      <c r="S47" s="621">
        <v>51.59</v>
      </c>
      <c r="T47" s="621">
        <v>57.65</v>
      </c>
      <c r="U47" s="621">
        <v>7.72</v>
      </c>
      <c r="V47" s="621">
        <v>11.01</v>
      </c>
      <c r="W47" s="621">
        <v>1.47</v>
      </c>
      <c r="X47" s="621">
        <v>48.41</v>
      </c>
      <c r="Y47" s="621">
        <v>11.29</v>
      </c>
    </row>
    <row r="48" spans="1:25">
      <c r="A48" s="157"/>
      <c r="B48" s="159"/>
      <c r="C48" s="159"/>
      <c r="D48" s="159"/>
      <c r="E48" s="159"/>
      <c r="F48" s="159"/>
      <c r="G48" s="159"/>
      <c r="H48" s="159"/>
      <c r="I48" s="159"/>
      <c r="P48" s="620">
        <v>45</v>
      </c>
      <c r="Q48" s="621">
        <v>6.95</v>
      </c>
      <c r="R48" s="621">
        <v>1.61</v>
      </c>
      <c r="S48" s="621">
        <v>72.92</v>
      </c>
      <c r="T48" s="621">
        <v>67.069999999999993</v>
      </c>
      <c r="U48" s="621">
        <v>6.9</v>
      </c>
      <c r="V48" s="621">
        <v>11</v>
      </c>
      <c r="W48" s="621">
        <v>1.42</v>
      </c>
      <c r="X48" s="621">
        <v>47.24</v>
      </c>
      <c r="Y48" s="621">
        <v>9</v>
      </c>
    </row>
    <row r="49" spans="1:25">
      <c r="A49" s="157"/>
      <c r="B49" s="159"/>
      <c r="C49" s="159"/>
      <c r="D49" s="159"/>
      <c r="E49" s="159"/>
      <c r="F49" s="159"/>
      <c r="G49" s="159"/>
      <c r="H49" s="159"/>
      <c r="I49" s="159"/>
      <c r="P49" s="620">
        <v>46</v>
      </c>
      <c r="Q49" s="621">
        <v>6.8571429249999998</v>
      </c>
      <c r="R49" s="621">
        <v>1.6428571599999999</v>
      </c>
      <c r="S49" s="621">
        <v>58.4</v>
      </c>
      <c r="T49" s="621">
        <v>34.982142860000003</v>
      </c>
      <c r="U49" s="621">
        <v>5.0667143550000002</v>
      </c>
      <c r="V49" s="621">
        <v>11.01</v>
      </c>
      <c r="W49" s="621">
        <v>1.38</v>
      </c>
      <c r="X49" s="621">
        <v>40.61</v>
      </c>
      <c r="Y49" s="621">
        <v>8.81</v>
      </c>
    </row>
    <row r="50" spans="1:25">
      <c r="A50" s="157"/>
      <c r="B50" s="159"/>
      <c r="C50" s="159"/>
      <c r="D50" s="159"/>
      <c r="E50" s="159"/>
      <c r="F50" s="159"/>
      <c r="G50" s="159"/>
      <c r="H50" s="159"/>
      <c r="I50" s="159"/>
      <c r="P50" s="620">
        <v>47</v>
      </c>
      <c r="Q50" s="621">
        <v>6.9940000260000001</v>
      </c>
      <c r="R50" s="621">
        <v>1.5142857009999999</v>
      </c>
      <c r="S50" s="621">
        <v>52.554856440000002</v>
      </c>
      <c r="T50" s="621">
        <v>29.07742855</v>
      </c>
      <c r="U50" s="621">
        <v>4.2727143420000004</v>
      </c>
      <c r="V50" s="621">
        <v>11.00286</v>
      </c>
      <c r="W50" s="621">
        <v>1.63</v>
      </c>
      <c r="X50" s="621">
        <v>41.625</v>
      </c>
      <c r="Y50" s="621">
        <v>9.3542860000000001</v>
      </c>
    </row>
    <row r="51" spans="1:25">
      <c r="A51" s="157"/>
      <c r="B51" s="159"/>
      <c r="C51" s="159"/>
      <c r="D51" s="159"/>
      <c r="E51" s="159"/>
      <c r="F51" s="159"/>
      <c r="G51" s="159"/>
      <c r="H51" s="159"/>
      <c r="I51" s="159"/>
      <c r="O51" s="619">
        <v>48</v>
      </c>
      <c r="P51" s="620">
        <v>48</v>
      </c>
      <c r="Q51" s="621">
        <v>7.1124285970000001</v>
      </c>
      <c r="R51" s="621">
        <v>1.4714285645714287</v>
      </c>
      <c r="S51" s="621">
        <v>53.429429191428575</v>
      </c>
      <c r="T51" s="621">
        <v>88.059571399999996</v>
      </c>
      <c r="U51" s="621">
        <v>7.879285812428571</v>
      </c>
      <c r="V51" s="621">
        <v>10.862857274285714</v>
      </c>
      <c r="W51" s="621">
        <v>1.6007142748571428</v>
      </c>
      <c r="X51" s="621">
        <v>41.014285495714283</v>
      </c>
      <c r="Y51" s="621">
        <v>14.194285802</v>
      </c>
    </row>
    <row r="52" spans="1:25">
      <c r="A52" s="157"/>
      <c r="B52" s="159"/>
      <c r="C52" s="159"/>
      <c r="D52" s="159"/>
      <c r="E52" s="159"/>
      <c r="F52" s="159"/>
      <c r="G52" s="159"/>
      <c r="H52" s="159"/>
      <c r="I52" s="159"/>
      <c r="P52" s="620">
        <v>49</v>
      </c>
      <c r="Q52" s="621">
        <v>8.43</v>
      </c>
      <c r="R52" s="621">
        <v>2.2400000000000002</v>
      </c>
      <c r="S52" s="621">
        <v>61.07</v>
      </c>
      <c r="T52" s="621">
        <v>106.59</v>
      </c>
      <c r="U52" s="621">
        <v>16.09</v>
      </c>
      <c r="V52" s="621">
        <v>10.5</v>
      </c>
      <c r="W52" s="621">
        <v>1.1200000000000001</v>
      </c>
      <c r="X52" s="621">
        <v>83.6</v>
      </c>
      <c r="Y52" s="621">
        <v>22.62</v>
      </c>
    </row>
    <row r="53" spans="1:25">
      <c r="A53" s="157"/>
      <c r="B53" s="159"/>
      <c r="C53" s="159"/>
      <c r="D53" s="159"/>
      <c r="E53" s="159"/>
      <c r="F53" s="159"/>
      <c r="G53" s="159"/>
      <c r="H53" s="159"/>
      <c r="I53" s="159"/>
      <c r="P53" s="620">
        <v>50</v>
      </c>
      <c r="Q53" s="621">
        <v>8.32</v>
      </c>
      <c r="R53" s="621">
        <v>2.19</v>
      </c>
      <c r="S53" s="621">
        <v>78.02</v>
      </c>
      <c r="T53" s="621">
        <v>104.79</v>
      </c>
      <c r="U53" s="621">
        <v>18.649999999999999</v>
      </c>
      <c r="V53" s="621">
        <v>10.51</v>
      </c>
      <c r="W53" s="621">
        <v>1.1399999999999999</v>
      </c>
      <c r="X53" s="621">
        <v>66.8</v>
      </c>
      <c r="Y53" s="621">
        <v>22.62</v>
      </c>
    </row>
    <row r="54" spans="1:25">
      <c r="A54" s="157"/>
      <c r="B54" s="159"/>
      <c r="C54" s="159"/>
      <c r="D54" s="159"/>
      <c r="E54" s="159"/>
      <c r="F54" s="159"/>
      <c r="G54" s="159"/>
      <c r="H54" s="159"/>
      <c r="I54" s="159"/>
      <c r="P54" s="620">
        <v>51</v>
      </c>
      <c r="Q54" s="621">
        <v>9.08</v>
      </c>
      <c r="R54" s="621">
        <v>3.71</v>
      </c>
      <c r="S54" s="621">
        <v>67.64</v>
      </c>
      <c r="T54" s="621">
        <v>69.61</v>
      </c>
      <c r="U54" s="621">
        <v>11.22</v>
      </c>
      <c r="V54" s="621">
        <v>10.5</v>
      </c>
      <c r="W54" s="621">
        <v>1.37</v>
      </c>
      <c r="X54" s="621">
        <v>55.42</v>
      </c>
      <c r="Y54" s="621">
        <v>17.489999999999998</v>
      </c>
    </row>
    <row r="55" spans="1:25">
      <c r="A55" s="157"/>
      <c r="B55" s="159"/>
      <c r="C55" s="159"/>
      <c r="D55" s="159"/>
      <c r="E55" s="159"/>
      <c r="F55" s="159"/>
      <c r="G55" s="159"/>
      <c r="H55" s="159"/>
      <c r="I55" s="159"/>
      <c r="O55" s="619">
        <v>52</v>
      </c>
      <c r="P55" s="620">
        <v>52</v>
      </c>
      <c r="Q55" s="621">
        <v>8.42</v>
      </c>
      <c r="R55" s="621">
        <v>3.57</v>
      </c>
      <c r="S55" s="621">
        <v>56.187571937142856</v>
      </c>
      <c r="T55" s="621">
        <v>58.452428545714284</v>
      </c>
      <c r="U55" s="621">
        <v>8.01</v>
      </c>
      <c r="V55" s="621">
        <v>10.507142884285715</v>
      </c>
      <c r="W55" s="621">
        <v>1.53</v>
      </c>
      <c r="X55" s="621">
        <v>59.550713675714292</v>
      </c>
      <c r="Y55" s="621">
        <v>18.608285904285712</v>
      </c>
    </row>
    <row r="56" spans="1:25">
      <c r="A56" s="157"/>
      <c r="B56" s="159"/>
      <c r="C56" s="159"/>
      <c r="D56" s="159"/>
      <c r="E56" s="159"/>
      <c r="F56" s="159"/>
      <c r="G56" s="159"/>
      <c r="H56" s="159"/>
      <c r="I56" s="159"/>
      <c r="N56" s="619">
        <v>2017</v>
      </c>
      <c r="O56" s="619">
        <v>1</v>
      </c>
      <c r="P56" s="620">
        <v>1</v>
      </c>
      <c r="Q56" s="621">
        <v>13.85</v>
      </c>
      <c r="R56" s="621">
        <v>11.3</v>
      </c>
      <c r="S56" s="621">
        <v>104.02</v>
      </c>
      <c r="T56" s="621">
        <v>148.43</v>
      </c>
      <c r="U56" s="621">
        <v>24.1</v>
      </c>
      <c r="V56" s="621">
        <v>10.220000000000001</v>
      </c>
      <c r="W56" s="621">
        <v>3.28</v>
      </c>
      <c r="X56" s="621">
        <v>89.46</v>
      </c>
      <c r="Y56" s="621">
        <v>25.43</v>
      </c>
    </row>
    <row r="57" spans="1:25">
      <c r="A57" s="157"/>
      <c r="B57" s="159"/>
      <c r="C57" s="159"/>
      <c r="D57" s="159"/>
      <c r="E57" s="159"/>
      <c r="F57" s="159"/>
      <c r="G57" s="159"/>
      <c r="H57" s="159"/>
      <c r="I57" s="159"/>
      <c r="P57" s="620">
        <v>2</v>
      </c>
      <c r="Q57" s="621">
        <v>14.96</v>
      </c>
      <c r="R57" s="621">
        <v>15.4</v>
      </c>
      <c r="S57" s="621">
        <v>143.97</v>
      </c>
      <c r="T57" s="621">
        <v>175.88</v>
      </c>
      <c r="U57" s="621">
        <v>33.74</v>
      </c>
      <c r="V57" s="621">
        <v>10.17</v>
      </c>
      <c r="W57" s="621">
        <v>6.45</v>
      </c>
      <c r="X57" s="621">
        <v>178.14</v>
      </c>
      <c r="Y57" s="621">
        <v>55.67</v>
      </c>
    </row>
    <row r="58" spans="1:25">
      <c r="A58" s="157"/>
      <c r="B58" s="159"/>
      <c r="C58" s="159"/>
      <c r="D58" s="159"/>
      <c r="E58" s="159"/>
      <c r="F58" s="159"/>
      <c r="G58" s="159"/>
      <c r="H58" s="159"/>
      <c r="I58" s="159"/>
      <c r="P58" s="620">
        <v>3</v>
      </c>
      <c r="Q58" s="621">
        <v>28.98</v>
      </c>
      <c r="R58" s="621">
        <v>21.94</v>
      </c>
      <c r="S58" s="621">
        <v>355.12</v>
      </c>
      <c r="T58" s="621">
        <v>177.57</v>
      </c>
      <c r="U58" s="621">
        <v>35.49</v>
      </c>
      <c r="V58" s="621">
        <v>10</v>
      </c>
      <c r="W58" s="621">
        <v>9.0500000000000007</v>
      </c>
      <c r="X58" s="621">
        <v>174.94</v>
      </c>
      <c r="Y58" s="621">
        <v>58.31</v>
      </c>
    </row>
    <row r="59" spans="1:25">
      <c r="A59" s="157"/>
      <c r="B59" s="159"/>
      <c r="C59" s="159"/>
      <c r="D59" s="159"/>
      <c r="E59" s="159"/>
      <c r="F59" s="159"/>
      <c r="G59" s="159"/>
      <c r="H59" s="159"/>
      <c r="I59" s="159"/>
      <c r="O59" s="619">
        <v>4</v>
      </c>
      <c r="P59" s="620">
        <v>4</v>
      </c>
      <c r="Q59" s="621">
        <v>30.46</v>
      </c>
      <c r="R59" s="621">
        <v>23.91</v>
      </c>
      <c r="S59" s="621">
        <v>519.4</v>
      </c>
      <c r="T59" s="621">
        <v>205.76</v>
      </c>
      <c r="U59" s="621">
        <v>48.48</v>
      </c>
      <c r="V59" s="621">
        <v>10</v>
      </c>
      <c r="W59" s="621">
        <v>2.4300000000000002</v>
      </c>
      <c r="X59" s="621">
        <v>141.31</v>
      </c>
      <c r="Y59" s="621">
        <v>47.49</v>
      </c>
    </row>
    <row r="60" spans="1:25">
      <c r="A60" s="157"/>
      <c r="B60" s="159"/>
      <c r="C60" s="159"/>
      <c r="D60" s="159"/>
      <c r="E60" s="159"/>
      <c r="F60" s="159"/>
      <c r="G60" s="159"/>
      <c r="H60" s="159"/>
      <c r="I60" s="159"/>
      <c r="P60" s="620">
        <v>5</v>
      </c>
      <c r="Q60" s="621">
        <v>21.36</v>
      </c>
      <c r="R60" s="621">
        <v>18.07</v>
      </c>
      <c r="S60" s="621">
        <v>330.78</v>
      </c>
      <c r="T60" s="621">
        <v>123.41</v>
      </c>
      <c r="U60" s="621">
        <v>25.33</v>
      </c>
      <c r="V60" s="621">
        <v>11.41</v>
      </c>
      <c r="W60" s="621">
        <v>2.87</v>
      </c>
      <c r="X60" s="621">
        <v>123.59</v>
      </c>
      <c r="Y60" s="621">
        <v>45.46</v>
      </c>
    </row>
    <row r="61" spans="1:25">
      <c r="A61" s="157"/>
      <c r="B61" s="159"/>
      <c r="C61" s="159"/>
      <c r="D61" s="159"/>
      <c r="E61" s="159"/>
      <c r="F61" s="159"/>
      <c r="G61" s="159"/>
      <c r="H61" s="159"/>
      <c r="I61" s="159"/>
      <c r="P61" s="620">
        <v>6</v>
      </c>
      <c r="Q61" s="621">
        <v>25.42</v>
      </c>
      <c r="R61" s="621">
        <v>21.42</v>
      </c>
      <c r="S61" s="621">
        <v>200.58</v>
      </c>
      <c r="T61" s="621">
        <v>108.48</v>
      </c>
      <c r="U61" s="621">
        <v>22.99</v>
      </c>
      <c r="V61" s="621">
        <v>10.57</v>
      </c>
      <c r="W61" s="621">
        <v>3.01</v>
      </c>
      <c r="X61" s="621">
        <v>85.48</v>
      </c>
      <c r="Y61" s="621">
        <v>28.56</v>
      </c>
    </row>
    <row r="62" spans="1:25">
      <c r="A62" s="157"/>
      <c r="B62" s="159"/>
      <c r="C62" s="159"/>
      <c r="D62" s="159"/>
      <c r="E62" s="159"/>
      <c r="F62" s="159"/>
      <c r="G62" s="159"/>
      <c r="H62" s="159"/>
      <c r="I62" s="159"/>
      <c r="P62" s="620">
        <v>7</v>
      </c>
      <c r="Q62" s="621">
        <v>35.43</v>
      </c>
      <c r="R62" s="621">
        <v>25.12</v>
      </c>
      <c r="S62" s="621">
        <v>393.69</v>
      </c>
      <c r="T62" s="621">
        <v>144.62</v>
      </c>
      <c r="U62" s="621">
        <v>39.44</v>
      </c>
      <c r="V62" s="621">
        <v>10</v>
      </c>
      <c r="W62" s="621">
        <v>2.88</v>
      </c>
      <c r="X62" s="621">
        <v>100.57</v>
      </c>
      <c r="Y62" s="621">
        <v>25.04</v>
      </c>
    </row>
    <row r="63" spans="1:25">
      <c r="A63" s="157"/>
      <c r="B63" s="159"/>
      <c r="C63" s="159"/>
      <c r="D63" s="159"/>
      <c r="E63" s="159"/>
      <c r="F63" s="159"/>
      <c r="G63" s="159"/>
      <c r="H63" s="159"/>
      <c r="I63" s="159"/>
      <c r="O63" s="619">
        <v>8</v>
      </c>
      <c r="P63" s="620">
        <v>8</v>
      </c>
      <c r="Q63" s="621">
        <v>30.45</v>
      </c>
      <c r="R63" s="621">
        <v>23.33</v>
      </c>
      <c r="S63" s="621">
        <v>345.37</v>
      </c>
      <c r="T63" s="621">
        <v>140.63</v>
      </c>
      <c r="U63" s="621">
        <v>30.47</v>
      </c>
      <c r="V63" s="621">
        <v>9.58</v>
      </c>
      <c r="W63" s="621">
        <v>2.0699999999999998</v>
      </c>
      <c r="X63" s="621">
        <v>163.72999999999999</v>
      </c>
      <c r="Y63" s="621">
        <v>58.84</v>
      </c>
    </row>
    <row r="64" spans="1:25" ht="6" customHeight="1">
      <c r="A64" s="157"/>
      <c r="B64" s="159"/>
      <c r="C64" s="159"/>
      <c r="D64" s="159"/>
      <c r="E64" s="159"/>
      <c r="F64" s="159"/>
      <c r="G64" s="159"/>
      <c r="H64" s="159"/>
      <c r="I64" s="159"/>
      <c r="P64" s="620">
        <v>9</v>
      </c>
      <c r="Q64" s="621">
        <v>37.72</v>
      </c>
      <c r="R64" s="621">
        <v>24.83</v>
      </c>
      <c r="S64" s="621">
        <v>567.22</v>
      </c>
      <c r="T64" s="621">
        <v>245.85</v>
      </c>
      <c r="U64" s="621">
        <v>67.56</v>
      </c>
      <c r="V64" s="621">
        <v>9.01</v>
      </c>
      <c r="W64" s="621">
        <v>7.33</v>
      </c>
      <c r="X64" s="621">
        <v>285.31</v>
      </c>
      <c r="Y64" s="621">
        <v>102.26</v>
      </c>
    </row>
    <row r="65" spans="1:25" ht="24.75" customHeight="1">
      <c r="A65" s="973" t="s">
        <v>542</v>
      </c>
      <c r="B65" s="973"/>
      <c r="C65" s="973"/>
      <c r="D65" s="973"/>
      <c r="E65" s="973"/>
      <c r="F65" s="973"/>
      <c r="G65" s="973"/>
      <c r="H65" s="973"/>
      <c r="I65" s="973"/>
      <c r="J65" s="973"/>
      <c r="K65" s="973"/>
      <c r="L65" s="973"/>
      <c r="P65" s="620">
        <v>10</v>
      </c>
      <c r="Q65" s="621">
        <v>36.46</v>
      </c>
      <c r="R65" s="621">
        <v>24.95</v>
      </c>
      <c r="S65" s="621">
        <v>467.04</v>
      </c>
      <c r="T65" s="621">
        <v>188.01</v>
      </c>
      <c r="U65" s="621">
        <v>50.5</v>
      </c>
      <c r="V65" s="621">
        <v>10.06</v>
      </c>
      <c r="W65" s="621">
        <v>3.71</v>
      </c>
      <c r="X65" s="621">
        <v>374.33</v>
      </c>
      <c r="Y65" s="621">
        <v>83.74</v>
      </c>
    </row>
    <row r="66" spans="1:25" ht="20.25" customHeight="1">
      <c r="P66" s="620">
        <v>11</v>
      </c>
      <c r="Q66" s="621">
        <v>35.590000000000003</v>
      </c>
      <c r="R66" s="621">
        <v>26.89</v>
      </c>
      <c r="S66" s="621">
        <v>448.3</v>
      </c>
      <c r="T66" s="621">
        <v>169.95</v>
      </c>
      <c r="U66" s="621">
        <v>51.21</v>
      </c>
      <c r="V66" s="621">
        <v>26.15</v>
      </c>
      <c r="W66" s="621">
        <v>8.66</v>
      </c>
      <c r="X66" s="621">
        <v>219.86</v>
      </c>
      <c r="Y66" s="621">
        <v>62.42</v>
      </c>
    </row>
    <row r="67" spans="1:25">
      <c r="O67" s="619">
        <v>12</v>
      </c>
      <c r="P67" s="620">
        <v>12</v>
      </c>
      <c r="Q67" s="621">
        <v>37.82</v>
      </c>
      <c r="R67" s="621">
        <v>20.6</v>
      </c>
      <c r="S67" s="621">
        <v>350.87</v>
      </c>
      <c r="T67" s="621">
        <v>146.01</v>
      </c>
      <c r="U67" s="621">
        <v>38.08</v>
      </c>
      <c r="V67" s="621">
        <v>12.43</v>
      </c>
      <c r="W67" s="621">
        <v>5.63</v>
      </c>
      <c r="X67" s="621">
        <v>190.11</v>
      </c>
      <c r="Y67" s="621">
        <v>52.01</v>
      </c>
    </row>
    <row r="68" spans="1:25">
      <c r="P68" s="620">
        <v>13</v>
      </c>
      <c r="Q68" s="621">
        <v>35.93</v>
      </c>
      <c r="R68" s="621">
        <v>24.02</v>
      </c>
      <c r="S68" s="621">
        <v>380.48</v>
      </c>
      <c r="T68" s="621">
        <v>173.02</v>
      </c>
      <c r="U68" s="621">
        <v>38.869999999999997</v>
      </c>
      <c r="V68" s="621">
        <v>11.98</v>
      </c>
      <c r="W68" s="621">
        <v>5.83</v>
      </c>
      <c r="X68" s="621">
        <v>272.08999999999997</v>
      </c>
      <c r="Y68" s="621">
        <v>65.430000000000007</v>
      </c>
    </row>
    <row r="69" spans="1:25">
      <c r="P69" s="620">
        <v>14</v>
      </c>
      <c r="Q69" s="621">
        <v>42.9</v>
      </c>
      <c r="R69" s="621">
        <v>17.87</v>
      </c>
      <c r="S69" s="621">
        <v>427.28</v>
      </c>
      <c r="T69" s="621">
        <v>137.65</v>
      </c>
      <c r="U69" s="621">
        <v>35.950000000000003</v>
      </c>
      <c r="V69" s="621">
        <v>28.72</v>
      </c>
      <c r="W69" s="621">
        <v>4.95</v>
      </c>
      <c r="X69" s="621">
        <v>301.82</v>
      </c>
      <c r="Y69" s="621">
        <v>71.06</v>
      </c>
    </row>
    <row r="70" spans="1:25">
      <c r="P70" s="620">
        <v>15</v>
      </c>
      <c r="Q70" s="621">
        <v>31.19</v>
      </c>
      <c r="R70" s="621">
        <v>17.87</v>
      </c>
      <c r="S70" s="621">
        <v>334.14</v>
      </c>
      <c r="T70" s="621">
        <v>129.9</v>
      </c>
      <c r="U70" s="621">
        <v>29.93</v>
      </c>
      <c r="V70" s="621">
        <v>16.28</v>
      </c>
      <c r="W70" s="621">
        <v>1.82</v>
      </c>
      <c r="X70" s="621">
        <v>203.49</v>
      </c>
      <c r="Y70" s="621">
        <v>77.099999999999994</v>
      </c>
    </row>
    <row r="71" spans="1:25">
      <c r="O71" s="619">
        <v>16</v>
      </c>
      <c r="P71" s="620">
        <v>16</v>
      </c>
      <c r="Q71" s="621">
        <v>22.8</v>
      </c>
      <c r="R71" s="621">
        <v>11.46</v>
      </c>
      <c r="S71" s="621">
        <v>218.96</v>
      </c>
      <c r="T71" s="621">
        <v>100.66</v>
      </c>
      <c r="U71" s="621">
        <v>21.85</v>
      </c>
      <c r="V71" s="621">
        <v>15.43</v>
      </c>
      <c r="W71" s="621">
        <v>2.33</v>
      </c>
      <c r="X71" s="621">
        <v>155.33000000000001</v>
      </c>
      <c r="Y71" s="621">
        <v>48.77</v>
      </c>
    </row>
    <row r="72" spans="1:25">
      <c r="P72" s="620">
        <v>17</v>
      </c>
      <c r="Q72" s="621">
        <v>20.18</v>
      </c>
      <c r="R72" s="621">
        <v>11.46</v>
      </c>
      <c r="S72" s="621">
        <v>180.47</v>
      </c>
      <c r="T72" s="621">
        <v>91.24</v>
      </c>
      <c r="U72" s="621">
        <v>18.89</v>
      </c>
      <c r="V72" s="621">
        <v>12.29</v>
      </c>
      <c r="W72" s="621">
        <v>1.9</v>
      </c>
      <c r="X72" s="621">
        <v>111.37</v>
      </c>
      <c r="Y72" s="621">
        <v>34.409999999999997</v>
      </c>
    </row>
    <row r="73" spans="1:25">
      <c r="P73" s="620">
        <v>18</v>
      </c>
      <c r="Q73" s="621">
        <v>19.84</v>
      </c>
      <c r="R73" s="621">
        <v>10.36</v>
      </c>
      <c r="S73" s="621">
        <v>212.89</v>
      </c>
      <c r="T73" s="621">
        <v>98.95</v>
      </c>
      <c r="U73" s="621">
        <v>19.899999999999999</v>
      </c>
      <c r="V73" s="621">
        <v>11.64</v>
      </c>
      <c r="W73" s="621">
        <v>1.46</v>
      </c>
      <c r="X73" s="621">
        <v>117.05</v>
      </c>
      <c r="Y73" s="621">
        <v>28.8</v>
      </c>
    </row>
    <row r="74" spans="1:25">
      <c r="P74" s="620">
        <v>19</v>
      </c>
      <c r="Q74" s="621">
        <v>21.4</v>
      </c>
      <c r="R74" s="621">
        <v>9.25</v>
      </c>
      <c r="S74" s="621">
        <v>199.54</v>
      </c>
      <c r="T74" s="621">
        <v>89.02</v>
      </c>
      <c r="U74" s="621">
        <v>15.9</v>
      </c>
      <c r="V74" s="621">
        <v>11</v>
      </c>
      <c r="W74" s="621">
        <v>1.36</v>
      </c>
      <c r="X74" s="621">
        <v>79.2</v>
      </c>
      <c r="Y74" s="621">
        <v>22.78</v>
      </c>
    </row>
    <row r="75" spans="1:25">
      <c r="O75" s="619">
        <v>20</v>
      </c>
      <c r="P75" s="620">
        <v>20</v>
      </c>
      <c r="Q75" s="621">
        <v>17.23</v>
      </c>
      <c r="R75" s="621">
        <v>6.32</v>
      </c>
      <c r="S75" s="621">
        <v>136.84</v>
      </c>
      <c r="T75" s="621">
        <v>72.95</v>
      </c>
      <c r="U75" s="621">
        <v>15.03</v>
      </c>
      <c r="V75" s="621">
        <v>11</v>
      </c>
      <c r="W75" s="621">
        <v>1.98</v>
      </c>
      <c r="X75" s="621">
        <v>69.37</v>
      </c>
      <c r="Y75" s="621">
        <v>17.8</v>
      </c>
    </row>
    <row r="76" spans="1:25">
      <c r="P76" s="620">
        <v>21</v>
      </c>
      <c r="Q76" s="621">
        <v>16.09</v>
      </c>
      <c r="R76" s="621">
        <v>6.32</v>
      </c>
      <c r="S76" s="621">
        <v>116.86</v>
      </c>
      <c r="T76" s="621">
        <v>99.42</v>
      </c>
      <c r="U76" s="621">
        <v>20.059999999999999</v>
      </c>
      <c r="V76" s="621">
        <v>11.01</v>
      </c>
      <c r="W76" s="621">
        <v>1.6</v>
      </c>
      <c r="X76" s="621">
        <v>68.8</v>
      </c>
      <c r="Y76" s="621">
        <v>17.84</v>
      </c>
    </row>
    <row r="77" spans="1:25">
      <c r="P77" s="620">
        <v>22</v>
      </c>
      <c r="Q77" s="621">
        <v>15.1</v>
      </c>
      <c r="R77" s="621">
        <v>5.59</v>
      </c>
      <c r="S77" s="621">
        <v>118.58</v>
      </c>
      <c r="T77" s="621">
        <v>79.099999999999994</v>
      </c>
      <c r="U77" s="621">
        <v>16</v>
      </c>
      <c r="V77" s="621">
        <v>11</v>
      </c>
      <c r="W77" s="621">
        <v>1.01</v>
      </c>
      <c r="X77" s="621">
        <v>69.05</v>
      </c>
      <c r="Y77" s="621">
        <v>16.37</v>
      </c>
    </row>
    <row r="78" spans="1:25">
      <c r="P78" s="620">
        <v>23</v>
      </c>
      <c r="Q78" s="621">
        <v>14.28</v>
      </c>
      <c r="R78" s="621">
        <v>4.8499999999999996</v>
      </c>
      <c r="S78" s="621">
        <v>112.05</v>
      </c>
      <c r="T78" s="621">
        <v>63.27</v>
      </c>
      <c r="U78" s="621">
        <v>13.78</v>
      </c>
      <c r="V78" s="621">
        <v>11</v>
      </c>
      <c r="W78" s="621">
        <v>1.82</v>
      </c>
      <c r="X78" s="621">
        <v>54.09</v>
      </c>
      <c r="Y78" s="621">
        <v>13.15</v>
      </c>
    </row>
    <row r="79" spans="1:25">
      <c r="O79" s="619">
        <v>24</v>
      </c>
      <c r="P79" s="620">
        <v>24</v>
      </c>
      <c r="Q79" s="621">
        <v>13.3</v>
      </c>
      <c r="R79" s="621">
        <v>4.8499999999999996</v>
      </c>
      <c r="S79" s="621">
        <v>91.62</v>
      </c>
      <c r="T79" s="621">
        <v>49.79</v>
      </c>
      <c r="U79" s="621">
        <v>11.29</v>
      </c>
      <c r="V79" s="621">
        <v>11</v>
      </c>
      <c r="W79" s="621">
        <v>1.89</v>
      </c>
      <c r="X79" s="621">
        <v>45.31</v>
      </c>
      <c r="Y79" s="621">
        <v>10.85</v>
      </c>
    </row>
    <row r="80" spans="1:25">
      <c r="P80" s="620">
        <v>25</v>
      </c>
      <c r="Q80" s="621">
        <v>12.63</v>
      </c>
      <c r="R80" s="621">
        <v>3.77</v>
      </c>
      <c r="S80" s="621">
        <v>81.33</v>
      </c>
      <c r="T80" s="621">
        <v>46.74</v>
      </c>
      <c r="U80" s="621">
        <v>10.02</v>
      </c>
      <c r="V80" s="621">
        <v>11</v>
      </c>
      <c r="W80" s="621">
        <v>1.77</v>
      </c>
      <c r="X80" s="621">
        <v>40.42</v>
      </c>
      <c r="Y80" s="621">
        <v>8.98</v>
      </c>
    </row>
    <row r="81" spans="15:25">
      <c r="P81" s="620">
        <v>26</v>
      </c>
      <c r="Q81" s="621">
        <v>11.92</v>
      </c>
      <c r="R81" s="621">
        <v>3.77</v>
      </c>
      <c r="S81" s="621">
        <v>80.900000000000006</v>
      </c>
      <c r="T81" s="621">
        <v>41.45</v>
      </c>
      <c r="U81" s="621">
        <v>9.24</v>
      </c>
      <c r="V81" s="621">
        <v>12</v>
      </c>
      <c r="W81" s="621">
        <v>1.86</v>
      </c>
      <c r="X81" s="621">
        <v>37.89</v>
      </c>
      <c r="Y81" s="621">
        <v>9.41</v>
      </c>
    </row>
    <row r="82" spans="15:25">
      <c r="P82" s="620">
        <v>27</v>
      </c>
      <c r="Q82" s="621">
        <v>11.92</v>
      </c>
      <c r="R82" s="621">
        <v>3.91</v>
      </c>
      <c r="S82" s="621">
        <v>82.99</v>
      </c>
      <c r="T82" s="621">
        <v>60.31</v>
      </c>
      <c r="U82" s="621">
        <v>9.73</v>
      </c>
      <c r="V82" s="621">
        <v>12</v>
      </c>
      <c r="W82" s="621">
        <v>1.9</v>
      </c>
      <c r="X82" s="621">
        <v>38.229999999999997</v>
      </c>
      <c r="Y82" s="621">
        <v>8.58</v>
      </c>
    </row>
    <row r="83" spans="15:25">
      <c r="O83" s="619">
        <v>28</v>
      </c>
      <c r="P83" s="620">
        <v>28</v>
      </c>
      <c r="Q83" s="621">
        <v>11.04</v>
      </c>
      <c r="R83" s="621">
        <v>3.91</v>
      </c>
      <c r="S83" s="621">
        <v>71.739999999999995</v>
      </c>
      <c r="T83" s="621">
        <v>39.090000000000003</v>
      </c>
      <c r="U83" s="621">
        <v>8.42</v>
      </c>
      <c r="V83" s="621">
        <v>12</v>
      </c>
      <c r="W83" s="621">
        <v>1.65</v>
      </c>
      <c r="X83" s="621">
        <v>33.9</v>
      </c>
      <c r="Y83" s="621">
        <v>6.64</v>
      </c>
    </row>
    <row r="84" spans="15:25">
      <c r="P84" s="620">
        <v>29</v>
      </c>
      <c r="Q84" s="621">
        <v>10.27</v>
      </c>
      <c r="R84" s="621">
        <v>3.42</v>
      </c>
      <c r="S84" s="621">
        <v>67.8</v>
      </c>
      <c r="T84" s="621">
        <v>32.590000000000003</v>
      </c>
      <c r="U84" s="621">
        <v>7.7</v>
      </c>
      <c r="V84" s="621">
        <v>10.51</v>
      </c>
      <c r="W84" s="621">
        <v>1.79</v>
      </c>
      <c r="X84" s="621">
        <v>31.97</v>
      </c>
      <c r="Y84" s="621">
        <v>6.49</v>
      </c>
    </row>
    <row r="85" spans="15:25">
      <c r="P85" s="620">
        <v>30</v>
      </c>
      <c r="Q85" s="621">
        <v>9.4700000000000006</v>
      </c>
      <c r="R85" s="621">
        <v>3.42</v>
      </c>
      <c r="S85" s="621">
        <v>69.62</v>
      </c>
      <c r="T85" s="621">
        <v>28.39</v>
      </c>
      <c r="U85" s="621">
        <v>7.39</v>
      </c>
      <c r="V85" s="621">
        <v>12</v>
      </c>
      <c r="W85" s="621">
        <v>1.64</v>
      </c>
      <c r="X85" s="621">
        <v>31.76</v>
      </c>
      <c r="Y85" s="621">
        <v>6.15</v>
      </c>
    </row>
    <row r="86" spans="15:25">
      <c r="P86" s="620">
        <v>31</v>
      </c>
      <c r="Q86" s="621">
        <v>9.0500000000000007</v>
      </c>
      <c r="R86" s="621">
        <v>3.3</v>
      </c>
      <c r="S86" s="621">
        <v>61.71</v>
      </c>
      <c r="T86" s="621">
        <v>26.51</v>
      </c>
      <c r="U86" s="621">
        <v>7.02</v>
      </c>
      <c r="V86" s="621">
        <v>12</v>
      </c>
      <c r="W86" s="621">
        <v>1.87</v>
      </c>
      <c r="X86" s="621">
        <v>31.68</v>
      </c>
      <c r="Y86" s="621">
        <v>5.51</v>
      </c>
    </row>
    <row r="87" spans="15:25">
      <c r="O87" s="619">
        <v>32</v>
      </c>
      <c r="P87" s="620">
        <v>32</v>
      </c>
      <c r="Q87" s="621">
        <v>9.9</v>
      </c>
      <c r="R87" s="621">
        <v>2.68</v>
      </c>
      <c r="S87" s="621">
        <v>65.38</v>
      </c>
      <c r="T87" s="621">
        <v>24.1</v>
      </c>
      <c r="U87" s="621">
        <v>6.7</v>
      </c>
      <c r="V87" s="621">
        <v>12</v>
      </c>
      <c r="W87" s="621">
        <v>1.95</v>
      </c>
      <c r="X87" s="621">
        <v>31.01</v>
      </c>
      <c r="Y87" s="621">
        <v>5.16</v>
      </c>
    </row>
    <row r="88" spans="15:25">
      <c r="P88" s="620">
        <v>33</v>
      </c>
      <c r="Q88" s="621">
        <v>9.17</v>
      </c>
      <c r="R88" s="621">
        <v>2.4300000000000002</v>
      </c>
      <c r="S88" s="621">
        <v>59.63</v>
      </c>
      <c r="T88" s="621">
        <v>24.29</v>
      </c>
      <c r="U88" s="621">
        <v>6.44</v>
      </c>
      <c r="V88" s="621">
        <v>12</v>
      </c>
      <c r="W88" s="621">
        <v>1.82</v>
      </c>
      <c r="X88" s="621">
        <v>30.23</v>
      </c>
      <c r="Y88" s="621">
        <v>5.27</v>
      </c>
    </row>
    <row r="89" spans="15:25">
      <c r="P89" s="620">
        <v>34</v>
      </c>
      <c r="Q89" s="621">
        <v>7.78</v>
      </c>
      <c r="R89" s="621">
        <v>2.61</v>
      </c>
      <c r="S89" s="621">
        <v>60.62</v>
      </c>
      <c r="T89" s="621">
        <v>25.9</v>
      </c>
      <c r="U89" s="621">
        <v>6.62</v>
      </c>
      <c r="V89" s="621">
        <v>12</v>
      </c>
      <c r="W89" s="621">
        <v>1.89</v>
      </c>
      <c r="X89" s="621">
        <v>32.17</v>
      </c>
      <c r="Y89" s="621">
        <v>5.0599999999999996</v>
      </c>
    </row>
    <row r="90" spans="15:25">
      <c r="P90" s="620">
        <v>35</v>
      </c>
      <c r="Q90" s="621">
        <v>7.73</v>
      </c>
      <c r="R90" s="621">
        <v>3.07</v>
      </c>
      <c r="S90" s="621">
        <v>58.47</v>
      </c>
      <c r="T90" s="621">
        <v>26.33</v>
      </c>
      <c r="U90" s="621">
        <v>6.66</v>
      </c>
      <c r="V90" s="621">
        <v>12.14</v>
      </c>
      <c r="W90" s="621">
        <v>1.97</v>
      </c>
      <c r="X90" s="621">
        <v>31.63</v>
      </c>
      <c r="Y90" s="621">
        <v>4.84</v>
      </c>
    </row>
    <row r="91" spans="15:25">
      <c r="O91" s="619">
        <v>36</v>
      </c>
      <c r="P91" s="620">
        <v>36</v>
      </c>
      <c r="Q91" s="621">
        <v>7.1</v>
      </c>
      <c r="R91" s="621">
        <v>3.57</v>
      </c>
      <c r="S91" s="621">
        <v>61.13</v>
      </c>
      <c r="T91" s="621">
        <v>27.35</v>
      </c>
      <c r="U91" s="621">
        <v>6.84</v>
      </c>
      <c r="V91" s="621">
        <v>13</v>
      </c>
      <c r="W91" s="621">
        <v>1.76</v>
      </c>
      <c r="X91" s="621">
        <v>34.090000000000003</v>
      </c>
      <c r="Y91" s="621">
        <v>4.8899999999999997</v>
      </c>
    </row>
    <row r="92" spans="15:25">
      <c r="P92" s="620">
        <v>37</v>
      </c>
      <c r="Q92" s="621">
        <v>7.53</v>
      </c>
      <c r="R92" s="621">
        <v>5.04</v>
      </c>
      <c r="S92" s="621">
        <v>59.93</v>
      </c>
      <c r="T92" s="621">
        <v>34.56</v>
      </c>
      <c r="U92" s="621">
        <v>7.96</v>
      </c>
      <c r="V92" s="621">
        <v>13</v>
      </c>
      <c r="W92" s="621">
        <v>1.7</v>
      </c>
      <c r="X92" s="621">
        <v>38.06</v>
      </c>
      <c r="Y92" s="621">
        <v>8.4</v>
      </c>
    </row>
    <row r="93" spans="15:25">
      <c r="P93" s="620">
        <v>38</v>
      </c>
      <c r="Q93" s="621">
        <v>9.73</v>
      </c>
      <c r="R93" s="621">
        <v>3.75</v>
      </c>
      <c r="S93" s="621">
        <v>64.319999999999993</v>
      </c>
      <c r="T93" s="621">
        <v>41.74</v>
      </c>
      <c r="U93" s="621">
        <v>9.43</v>
      </c>
      <c r="V93" s="621">
        <v>13</v>
      </c>
      <c r="W93" s="621">
        <v>1.77</v>
      </c>
      <c r="X93" s="621">
        <v>41.12</v>
      </c>
      <c r="Y93" s="621">
        <v>6.42</v>
      </c>
    </row>
    <row r="94" spans="15:25">
      <c r="O94" s="619">
        <v>39</v>
      </c>
      <c r="P94" s="620">
        <v>39</v>
      </c>
      <c r="Q94" s="621">
        <v>7.21</v>
      </c>
      <c r="R94" s="621">
        <v>3.83</v>
      </c>
      <c r="S94" s="621">
        <v>66.83</v>
      </c>
      <c r="T94" s="621">
        <v>46.48</v>
      </c>
      <c r="U94" s="621">
        <v>7.93</v>
      </c>
      <c r="V94" s="621">
        <v>13</v>
      </c>
      <c r="W94" s="621">
        <v>1.99</v>
      </c>
      <c r="X94" s="621">
        <v>33.06</v>
      </c>
      <c r="Y94" s="621">
        <v>7.98</v>
      </c>
    </row>
    <row r="95" spans="15:25">
      <c r="P95" s="620">
        <v>40</v>
      </c>
      <c r="Q95" s="621">
        <v>6.89</v>
      </c>
      <c r="R95" s="621">
        <v>3.2</v>
      </c>
      <c r="S95" s="621">
        <v>56.32</v>
      </c>
      <c r="T95" s="621">
        <v>28.11</v>
      </c>
      <c r="U95" s="621">
        <v>6.02</v>
      </c>
      <c r="V95" s="621">
        <v>13</v>
      </c>
      <c r="W95" s="621">
        <v>1.48</v>
      </c>
      <c r="X95" s="621">
        <v>35.54</v>
      </c>
      <c r="Y95" s="621">
        <v>5.32</v>
      </c>
    </row>
    <row r="96" spans="15:25">
      <c r="P96" s="620">
        <v>41</v>
      </c>
      <c r="Q96" s="621">
        <v>7.51</v>
      </c>
      <c r="R96" s="621">
        <v>3.26</v>
      </c>
      <c r="S96" s="621">
        <v>57.18</v>
      </c>
      <c r="T96" s="621">
        <v>32.11</v>
      </c>
      <c r="U96" s="621">
        <v>6.5</v>
      </c>
      <c r="V96" s="621">
        <v>13</v>
      </c>
      <c r="W96" s="621">
        <v>1.53</v>
      </c>
      <c r="X96" s="621">
        <v>37.47</v>
      </c>
      <c r="Y96" s="621">
        <v>4.95</v>
      </c>
    </row>
    <row r="97" spans="14:25">
      <c r="P97" s="620">
        <v>42</v>
      </c>
      <c r="Q97" s="621">
        <v>7.92</v>
      </c>
      <c r="R97" s="621">
        <v>3.59</v>
      </c>
      <c r="S97" s="621">
        <v>71.87</v>
      </c>
      <c r="T97" s="621">
        <v>64.69</v>
      </c>
      <c r="U97" s="621">
        <v>9.44</v>
      </c>
      <c r="V97" s="621">
        <v>13</v>
      </c>
      <c r="W97" s="621">
        <v>1.93</v>
      </c>
      <c r="X97" s="621">
        <v>52.42</v>
      </c>
      <c r="Y97" s="621">
        <v>7.39</v>
      </c>
    </row>
    <row r="98" spans="14:25">
      <c r="O98" s="619">
        <v>43</v>
      </c>
      <c r="P98" s="620">
        <v>43</v>
      </c>
      <c r="Q98" s="621">
        <v>9.16</v>
      </c>
      <c r="R98" s="621">
        <v>3.99</v>
      </c>
      <c r="S98" s="621">
        <v>73.22</v>
      </c>
      <c r="T98" s="621">
        <v>71.16</v>
      </c>
      <c r="U98" s="621">
        <v>8.8800000000000008</v>
      </c>
      <c r="V98" s="621">
        <v>13</v>
      </c>
      <c r="W98" s="621">
        <v>1.69</v>
      </c>
      <c r="X98" s="621">
        <v>43.93</v>
      </c>
      <c r="Y98" s="621">
        <v>6.18</v>
      </c>
    </row>
    <row r="99" spans="14:25">
      <c r="P99" s="620">
        <v>44</v>
      </c>
      <c r="Q99" s="621">
        <v>8.81</v>
      </c>
      <c r="R99" s="621">
        <v>5.0199999999999996</v>
      </c>
      <c r="S99" s="621">
        <v>75.150000000000006</v>
      </c>
      <c r="T99" s="621">
        <v>62.33</v>
      </c>
      <c r="U99" s="621">
        <v>10.59</v>
      </c>
      <c r="V99" s="621">
        <v>13</v>
      </c>
      <c r="W99" s="621">
        <v>1.65</v>
      </c>
      <c r="X99" s="621">
        <v>40.229999999999997</v>
      </c>
      <c r="Y99" s="621">
        <v>8.7899999999999991</v>
      </c>
    </row>
    <row r="100" spans="14:25">
      <c r="P100" s="620">
        <v>45</v>
      </c>
      <c r="Q100" s="621">
        <v>8.3800000000000008</v>
      </c>
      <c r="R100" s="621">
        <v>4.2</v>
      </c>
      <c r="S100" s="621">
        <v>67.39</v>
      </c>
      <c r="T100" s="621">
        <v>61.76</v>
      </c>
      <c r="U100" s="621">
        <v>10.039999999999999</v>
      </c>
      <c r="V100" s="621">
        <v>13</v>
      </c>
      <c r="W100" s="621">
        <v>1.51</v>
      </c>
      <c r="X100" s="621">
        <v>41.85</v>
      </c>
      <c r="Y100" s="621">
        <v>11.45</v>
      </c>
    </row>
    <row r="101" spans="14:25">
      <c r="P101" s="620">
        <v>46</v>
      </c>
      <c r="Q101" s="621">
        <v>7.55</v>
      </c>
      <c r="R101" s="621">
        <v>3.7</v>
      </c>
      <c r="S101" s="621">
        <v>66.959999999999994</v>
      </c>
      <c r="T101" s="621">
        <v>66.040000000000006</v>
      </c>
      <c r="U101" s="621">
        <v>8.7799999999999994</v>
      </c>
      <c r="V101" s="621">
        <v>13</v>
      </c>
      <c r="W101" s="621">
        <v>1.65</v>
      </c>
      <c r="X101" s="621">
        <v>70.849999999999994</v>
      </c>
      <c r="Y101" s="621">
        <v>14.58</v>
      </c>
    </row>
    <row r="102" spans="14:25">
      <c r="P102" s="620">
        <v>47</v>
      </c>
      <c r="Q102" s="621">
        <v>7.39</v>
      </c>
      <c r="R102" s="621">
        <v>3.85</v>
      </c>
      <c r="S102" s="621">
        <v>67.72</v>
      </c>
      <c r="T102" s="621">
        <v>52.82</v>
      </c>
      <c r="U102" s="621">
        <v>7.81</v>
      </c>
      <c r="V102" s="621">
        <v>13</v>
      </c>
      <c r="W102" s="621">
        <v>1.6</v>
      </c>
      <c r="X102" s="621">
        <v>64.819999999999993</v>
      </c>
      <c r="Y102" s="621">
        <v>12.14</v>
      </c>
    </row>
    <row r="103" spans="14:25">
      <c r="O103" s="619">
        <v>48</v>
      </c>
      <c r="P103" s="620">
        <v>48</v>
      </c>
      <c r="Q103" s="621">
        <v>7.9678571564285718</v>
      </c>
      <c r="R103" s="621">
        <v>3.558142900428571</v>
      </c>
      <c r="S103" s="621">
        <v>77.366571698571434</v>
      </c>
      <c r="T103" s="621">
        <v>66.577285762857144</v>
      </c>
      <c r="U103" s="621">
        <v>9.1851428580000007</v>
      </c>
      <c r="V103" s="621">
        <v>13.005714417142858</v>
      </c>
      <c r="W103" s="621">
        <v>1.6</v>
      </c>
      <c r="X103" s="621">
        <v>47.846427917142854</v>
      </c>
      <c r="Y103" s="621">
        <v>12.516714369142859</v>
      </c>
    </row>
    <row r="104" spans="14:25">
      <c r="P104" s="620">
        <v>49</v>
      </c>
      <c r="Q104" s="621">
        <v>8.4875713758571436</v>
      </c>
      <c r="R104" s="621">
        <v>3.2600000074285718</v>
      </c>
      <c r="S104" s="621">
        <v>84.55585806714285</v>
      </c>
      <c r="T104" s="621">
        <v>72.732000077142857</v>
      </c>
      <c r="U104" s="621">
        <v>14.04828548342857</v>
      </c>
      <c r="V104" s="621">
        <v>13.002857208571429</v>
      </c>
      <c r="W104" s="621">
        <v>1.6</v>
      </c>
      <c r="X104" s="621">
        <v>57.322143555714298</v>
      </c>
      <c r="Y104" s="621">
        <v>18.826999800000003</v>
      </c>
    </row>
    <row r="105" spans="14:25">
      <c r="P105" s="620">
        <v>50</v>
      </c>
      <c r="Q105" s="621">
        <v>8.7257142747142868</v>
      </c>
      <c r="R105" s="621">
        <v>3.4628571441428577</v>
      </c>
      <c r="S105" s="621">
        <v>77.460142951428566</v>
      </c>
      <c r="T105" s="621">
        <v>64.097142899999994</v>
      </c>
      <c r="U105" s="621">
        <v>11.032857077571427</v>
      </c>
      <c r="V105" s="621">
        <v>13</v>
      </c>
      <c r="W105" s="621">
        <v>1.6000000240000001</v>
      </c>
      <c r="X105" s="621">
        <v>51.470714571428573</v>
      </c>
      <c r="Y105" s="621">
        <v>20.280285972857143</v>
      </c>
    </row>
    <row r="106" spans="14:25">
      <c r="P106" s="620">
        <v>51</v>
      </c>
      <c r="Q106" s="621">
        <v>9.7215715127142861</v>
      </c>
      <c r="R106" s="621">
        <v>4.2539999484285715</v>
      </c>
      <c r="S106" s="621">
        <v>78.166143688571424</v>
      </c>
      <c r="T106" s="621">
        <v>94.237856191428577</v>
      </c>
      <c r="U106" s="621">
        <v>14.381428445285712</v>
      </c>
      <c r="V106" s="621">
        <v>13.01285743857143</v>
      </c>
      <c r="W106" s="621">
        <v>1.6257142851428572</v>
      </c>
      <c r="X106" s="621">
        <v>65.58357184285714</v>
      </c>
      <c r="Y106" s="621">
        <v>34.849000112857141</v>
      </c>
    </row>
    <row r="107" spans="14:25">
      <c r="O107" s="619">
        <v>52</v>
      </c>
      <c r="P107" s="620">
        <v>52</v>
      </c>
      <c r="Q107" s="621">
        <v>10.323285784571427</v>
      </c>
      <c r="R107" s="621">
        <v>4.6457142829999993</v>
      </c>
      <c r="S107" s="621">
        <v>86.972714017142849</v>
      </c>
      <c r="T107" s="621">
        <v>94.357285634285716</v>
      </c>
      <c r="U107" s="621">
        <v>13.293999945714287</v>
      </c>
      <c r="V107" s="621">
        <v>13.09681579142857</v>
      </c>
      <c r="W107" s="621">
        <v>1.644999981</v>
      </c>
      <c r="X107" s="621">
        <v>104.27285767571428</v>
      </c>
      <c r="Y107" s="621">
        <v>35.335714887142856</v>
      </c>
    </row>
    <row r="108" spans="14:25">
      <c r="N108" s="619">
        <v>2018</v>
      </c>
      <c r="O108" s="619">
        <v>1</v>
      </c>
      <c r="P108" s="620">
        <v>1</v>
      </c>
      <c r="Q108" s="621">
        <v>10.34</v>
      </c>
      <c r="R108" s="621">
        <v>4.4628571428571426</v>
      </c>
      <c r="S108" s="621">
        <v>140.04142857142858</v>
      </c>
      <c r="T108" s="621">
        <v>143.09</v>
      </c>
      <c r="U108" s="621">
        <v>20.63</v>
      </c>
      <c r="V108" s="621">
        <v>13</v>
      </c>
      <c r="W108" s="621">
        <v>1.64</v>
      </c>
      <c r="X108" s="621">
        <v>201.2428571428571</v>
      </c>
      <c r="Y108" s="621">
        <v>63.23</v>
      </c>
    </row>
    <row r="109" spans="14:25">
      <c r="P109" s="620">
        <v>2</v>
      </c>
      <c r="Q109" s="621">
        <v>13.730999947142859</v>
      </c>
      <c r="R109" s="621">
        <v>3.5944285392857145</v>
      </c>
      <c r="S109" s="621">
        <v>209.91800362857143</v>
      </c>
      <c r="T109" s="621">
        <v>160.98214394285716</v>
      </c>
      <c r="U109" s="621">
        <v>36.213856559999996</v>
      </c>
      <c r="V109" s="621">
        <v>11.774285724285715</v>
      </c>
      <c r="W109" s="621">
        <v>1.5914286031428568</v>
      </c>
      <c r="X109" s="621">
        <v>229.4250030571429</v>
      </c>
      <c r="Y109" s="621">
        <v>56.654285431428562</v>
      </c>
    </row>
    <row r="110" spans="14:25">
      <c r="P110" s="620">
        <v>3</v>
      </c>
      <c r="Q110" s="621">
        <v>15.983285902857142</v>
      </c>
      <c r="R110" s="621">
        <v>8.3045714242857152</v>
      </c>
      <c r="S110" s="621">
        <v>223.6645725857143</v>
      </c>
      <c r="T110" s="621">
        <v>190.44042751428574</v>
      </c>
      <c r="U110" s="621">
        <v>30.819142750000001</v>
      </c>
      <c r="V110" s="621">
        <v>11.857142857142858</v>
      </c>
      <c r="W110" s="621">
        <v>1.5814286125714285</v>
      </c>
      <c r="X110" s="621">
        <v>261.56357028571426</v>
      </c>
      <c r="Y110" s="621">
        <v>68.516428267142857</v>
      </c>
    </row>
    <row r="111" spans="14:25">
      <c r="O111" s="619">
        <v>4</v>
      </c>
      <c r="P111" s="620">
        <v>4</v>
      </c>
      <c r="Q111" s="621">
        <v>21.988571574285714</v>
      </c>
      <c r="R111" s="621">
        <v>15.598142828000002</v>
      </c>
      <c r="S111" s="621">
        <v>346.88342720000003</v>
      </c>
      <c r="T111" s="621">
        <v>205.5832868285714</v>
      </c>
      <c r="U111" s="621">
        <v>40.893000467142862</v>
      </c>
      <c r="V111" s="621">
        <v>18.734285627142857</v>
      </c>
      <c r="W111" s="621">
        <v>1.5700000519999997</v>
      </c>
      <c r="X111" s="621">
        <v>261.98000009999998</v>
      </c>
      <c r="Y111" s="621">
        <v>58.935427530000005</v>
      </c>
    </row>
    <row r="112" spans="14:25">
      <c r="P112" s="620">
        <v>5</v>
      </c>
      <c r="Q112" s="621">
        <v>17.729000225714284</v>
      </c>
      <c r="R112" s="621">
        <v>13.724571365714285</v>
      </c>
      <c r="S112" s="621">
        <v>214.95928737142859</v>
      </c>
      <c r="T112" s="621">
        <v>93.607142857142861</v>
      </c>
      <c r="U112" s="621">
        <v>17.748285841428572</v>
      </c>
      <c r="V112" s="621">
        <v>23.390000208571426</v>
      </c>
      <c r="W112" s="621">
        <v>1.5700000519999997</v>
      </c>
      <c r="X112" s="621">
        <v>141.83571514285714</v>
      </c>
      <c r="Y112" s="621">
        <v>45.332857951428579</v>
      </c>
    </row>
    <row r="113" spans="15:25">
      <c r="P113" s="620">
        <v>6</v>
      </c>
      <c r="Q113" s="621">
        <v>13.582571572857143</v>
      </c>
      <c r="R113" s="621">
        <v>8.6634286477142854</v>
      </c>
      <c r="S113" s="621">
        <v>166.34242902857142</v>
      </c>
      <c r="T113" s="621">
        <v>108.25571334000001</v>
      </c>
      <c r="U113" s="621">
        <v>18.79157175142857</v>
      </c>
      <c r="V113" s="621">
        <v>20.201017107142857</v>
      </c>
      <c r="W113" s="621">
        <v>2.3694285491428571</v>
      </c>
      <c r="X113" s="621">
        <v>164.55714089999998</v>
      </c>
      <c r="Y113" s="621">
        <v>65.987571171428584</v>
      </c>
    </row>
    <row r="114" spans="15:25">
      <c r="P114" s="620">
        <v>7</v>
      </c>
      <c r="Q114" s="621">
        <v>14.722571237142859</v>
      </c>
      <c r="R114" s="621">
        <v>11.071428435428571</v>
      </c>
      <c r="S114" s="621">
        <v>239.50057330000001</v>
      </c>
      <c r="T114" s="621">
        <v>202.98199900000003</v>
      </c>
      <c r="U114" s="621">
        <v>42.088571821428573</v>
      </c>
      <c r="V114" s="621">
        <v>15.283185821428571</v>
      </c>
      <c r="W114" s="621">
        <v>3.1689999100000001</v>
      </c>
      <c r="X114" s="621">
        <v>355.31285748571423</v>
      </c>
      <c r="Y114" s="621">
        <v>97.722999031428586</v>
      </c>
    </row>
    <row r="115" spans="15:25">
      <c r="O115" s="619">
        <v>8</v>
      </c>
      <c r="P115" s="620">
        <v>8</v>
      </c>
      <c r="Q115" s="621">
        <v>18.48</v>
      </c>
      <c r="R115" s="621">
        <v>14.97</v>
      </c>
      <c r="S115" s="621">
        <v>357.61814662857148</v>
      </c>
      <c r="T115" s="621">
        <v>251.1</v>
      </c>
      <c r="U115" s="621">
        <v>43.74</v>
      </c>
      <c r="V115" s="621">
        <v>16.564</v>
      </c>
      <c r="W115" s="621">
        <v>3.16</v>
      </c>
      <c r="X115" s="621">
        <v>437.78</v>
      </c>
      <c r="Y115" s="621">
        <v>142.13</v>
      </c>
    </row>
    <row r="116" spans="15:25">
      <c r="P116" s="620">
        <v>9</v>
      </c>
      <c r="Q116" s="621">
        <v>21.652428627142854</v>
      </c>
      <c r="R116" s="621">
        <v>14.185285431142857</v>
      </c>
      <c r="S116" s="621">
        <v>333.90885488571433</v>
      </c>
      <c r="T116" s="621">
        <v>204.95843285714287</v>
      </c>
      <c r="U116" s="621">
        <v>31.755000522857138</v>
      </c>
      <c r="V116" s="621">
        <v>15.852976190476195</v>
      </c>
      <c r="W116" s="621">
        <v>3.1689999100000001</v>
      </c>
      <c r="X116" s="621">
        <v>424.14571271428576</v>
      </c>
      <c r="Y116" s="621">
        <v>142.13857270714286</v>
      </c>
    </row>
    <row r="117" spans="15:25">
      <c r="P117" s="620">
        <v>10</v>
      </c>
      <c r="Q117" s="621">
        <v>30.272714344285713</v>
      </c>
      <c r="R117" s="621">
        <v>17.434571538571429</v>
      </c>
      <c r="S117" s="621">
        <v>431.64157101428572</v>
      </c>
      <c r="T117" s="621">
        <v>177.15485925714287</v>
      </c>
      <c r="U117" s="621">
        <v>31.196571622857142</v>
      </c>
      <c r="V117" s="621">
        <v>14.442</v>
      </c>
      <c r="W117" s="621">
        <v>4.7437142644285712</v>
      </c>
      <c r="X117" s="621">
        <v>293.69142804285718</v>
      </c>
      <c r="Y117" s="621">
        <v>72.30971418</v>
      </c>
    </row>
    <row r="118" spans="15:25">
      <c r="P118" s="620">
        <v>11</v>
      </c>
      <c r="Q118" s="621">
        <v>28.071857179999999</v>
      </c>
      <c r="R118" s="621">
        <v>17.048571724285715</v>
      </c>
      <c r="S118" s="621">
        <v>485.98543439999997</v>
      </c>
      <c r="T118" s="621">
        <v>169.375</v>
      </c>
      <c r="U118" s="621">
        <v>52.626284462857136</v>
      </c>
      <c r="V118" s="621">
        <v>18.273</v>
      </c>
      <c r="W118" s="621">
        <v>3.0879999738571429</v>
      </c>
      <c r="X118" s="621">
        <v>511.54500034285724</v>
      </c>
      <c r="Y118" s="621">
        <v>119.7894287057143</v>
      </c>
    </row>
    <row r="119" spans="15:25">
      <c r="O119" s="619">
        <v>12</v>
      </c>
      <c r="P119" s="620">
        <v>12</v>
      </c>
      <c r="Q119" s="621">
        <v>29.90999984714286</v>
      </c>
      <c r="R119" s="621">
        <v>21.62</v>
      </c>
      <c r="S119" s="621">
        <v>465.24414497142863</v>
      </c>
      <c r="T119" s="621">
        <v>201.58328465714288</v>
      </c>
      <c r="U119" s="621">
        <v>57.669144221428567</v>
      </c>
      <c r="V119" s="621">
        <v>23.244</v>
      </c>
      <c r="W119" s="621">
        <v>4.5095714328571432</v>
      </c>
      <c r="X119" s="621">
        <v>433.89143152857145</v>
      </c>
      <c r="Y119" s="621">
        <v>152.80443028571429</v>
      </c>
    </row>
    <row r="120" spans="15:25">
      <c r="P120" s="620">
        <v>13</v>
      </c>
      <c r="Q120" s="621">
        <v>28.360142844285718</v>
      </c>
      <c r="R120" s="621">
        <v>17.439428465714283</v>
      </c>
      <c r="S120" s="621">
        <v>396.37686155714289</v>
      </c>
      <c r="T120" s="621">
        <v>163.75585502857143</v>
      </c>
      <c r="U120" s="621">
        <v>35.725570951428573</v>
      </c>
      <c r="V120" s="621">
        <v>23.143392837142859</v>
      </c>
      <c r="W120" s="621">
        <v>3.3929999999999998</v>
      </c>
      <c r="X120" s="621">
        <v>281.79928587142859</v>
      </c>
      <c r="Y120" s="621">
        <v>107.32928468714286</v>
      </c>
    </row>
    <row r="121" spans="15:25">
      <c r="P121" s="620">
        <v>14</v>
      </c>
      <c r="Q121" s="621">
        <v>23.830285752857144</v>
      </c>
      <c r="R121" s="621">
        <v>12.833285604571429</v>
      </c>
      <c r="S121" s="621">
        <v>226.32643345714288</v>
      </c>
      <c r="T121" s="621">
        <v>133.53585814285714</v>
      </c>
      <c r="U121" s="621">
        <v>28.622000282857147</v>
      </c>
      <c r="V121" s="621">
        <v>19.16</v>
      </c>
      <c r="W121" s="621">
        <v>1.736</v>
      </c>
      <c r="X121" s="621">
        <v>176.23214502857144</v>
      </c>
      <c r="Y121" s="621">
        <v>80.936570849999995</v>
      </c>
    </row>
    <row r="122" spans="15:25">
      <c r="P122" s="620">
        <v>15</v>
      </c>
      <c r="Q122" s="621">
        <v>27</v>
      </c>
      <c r="R122" s="621">
        <v>15.571285655714286</v>
      </c>
      <c r="S122" s="621">
        <v>207.40800040000002</v>
      </c>
      <c r="T122" s="621">
        <v>107.59514291428572</v>
      </c>
      <c r="U122" s="621">
        <v>30.753999982857145</v>
      </c>
      <c r="V122" s="621">
        <v>14.377143042857142</v>
      </c>
      <c r="W122" s="621">
        <v>1.8612856864285716</v>
      </c>
      <c r="X122" s="621">
        <v>130.09</v>
      </c>
      <c r="Y122" s="621">
        <v>42.693143572857146</v>
      </c>
    </row>
    <row r="123" spans="15:25">
      <c r="O123" s="619">
        <v>16</v>
      </c>
      <c r="P123" s="620">
        <v>16</v>
      </c>
      <c r="Q123" s="621">
        <v>19.899999999999999</v>
      </c>
      <c r="R123" s="621">
        <v>12.83</v>
      </c>
      <c r="S123" s="621">
        <v>166.38871437142856</v>
      </c>
      <c r="T123" s="621">
        <v>95.78</v>
      </c>
      <c r="U123" s="621">
        <v>29.88</v>
      </c>
      <c r="V123" s="621">
        <v>12.36</v>
      </c>
      <c r="W123" s="621">
        <v>1.9</v>
      </c>
      <c r="X123" s="621">
        <v>96.9</v>
      </c>
      <c r="Y123" s="621">
        <v>33.717142651428574</v>
      </c>
    </row>
    <row r="124" spans="15:25">
      <c r="P124" s="620">
        <v>17</v>
      </c>
      <c r="Q124" s="621">
        <v>19.14</v>
      </c>
      <c r="R124" s="621">
        <v>13.52</v>
      </c>
      <c r="S124" s="621">
        <v>168.19342804285716</v>
      </c>
      <c r="T124" s="621">
        <v>95.39</v>
      </c>
      <c r="U124" s="621">
        <v>22.257285525714284</v>
      </c>
      <c r="V124" s="621">
        <v>13.4</v>
      </c>
      <c r="W124" s="621">
        <v>1.7940000124285713</v>
      </c>
      <c r="X124" s="621">
        <v>89.59</v>
      </c>
      <c r="Y124" s="621">
        <v>27.06</v>
      </c>
    </row>
    <row r="125" spans="15:25">
      <c r="P125" s="620">
        <v>18</v>
      </c>
      <c r="Q125" s="621">
        <v>19.703571455714286</v>
      </c>
      <c r="R125" s="621">
        <v>14.166857039571427</v>
      </c>
      <c r="S125" s="621">
        <v>171.5428597714286</v>
      </c>
      <c r="T125" s="621">
        <v>85.958285739999994</v>
      </c>
      <c r="U125" s="621">
        <v>21.651714052857141</v>
      </c>
      <c r="V125" s="621">
        <v>12.785805702857145</v>
      </c>
      <c r="W125" s="621">
        <v>2.3024285860000004</v>
      </c>
      <c r="X125" s="621">
        <v>89.602142331428567</v>
      </c>
      <c r="Y125" s="621">
        <v>22.269714081428571</v>
      </c>
    </row>
    <row r="126" spans="15:25">
      <c r="P126" s="620">
        <v>19</v>
      </c>
      <c r="Q126" s="621">
        <v>15.48828561</v>
      </c>
      <c r="R126" s="621">
        <v>12.650857108142857</v>
      </c>
      <c r="S126" s="621">
        <v>146.54485865714287</v>
      </c>
      <c r="T126" s="621">
        <v>88.244000028571435</v>
      </c>
      <c r="U126" s="621">
        <v>19.037142890000002</v>
      </c>
      <c r="V126" s="621">
        <v>11.328391347142857</v>
      </c>
      <c r="W126" s="621">
        <v>1.8057142665714285</v>
      </c>
      <c r="X126" s="621">
        <v>75.568572998571426</v>
      </c>
      <c r="Y126" s="621">
        <v>17.565999711428571</v>
      </c>
    </row>
    <row r="127" spans="15:25">
      <c r="O127" s="619">
        <v>20</v>
      </c>
      <c r="P127" s="620">
        <v>20</v>
      </c>
      <c r="Q127" s="621">
        <v>14.601142882857145</v>
      </c>
      <c r="R127" s="621">
        <v>10.013285772</v>
      </c>
      <c r="S127" s="621">
        <v>112.76242937142857</v>
      </c>
      <c r="T127" s="621">
        <v>64.809571402857145</v>
      </c>
      <c r="U127" s="621">
        <v>16.531571660000001</v>
      </c>
      <c r="V127" s="621">
        <v>10.899261474285714</v>
      </c>
      <c r="W127" s="621">
        <v>1.7767143248571429</v>
      </c>
      <c r="X127" s="621">
        <v>62.208570752857149</v>
      </c>
      <c r="Y127" s="621">
        <v>14.502285821428572</v>
      </c>
    </row>
    <row r="128" spans="15:25">
      <c r="P128" s="620">
        <v>21</v>
      </c>
      <c r="Q128" s="621">
        <v>13.411285537142858</v>
      </c>
      <c r="R128" s="621">
        <v>7.8631429672857154</v>
      </c>
      <c r="S128" s="621">
        <v>94.636570517142857</v>
      </c>
      <c r="T128" s="621">
        <v>49.303714208571428</v>
      </c>
      <c r="U128" s="621">
        <v>13.450571468571427</v>
      </c>
      <c r="V128" s="621">
        <v>11.166911400000002</v>
      </c>
      <c r="W128" s="621">
        <v>1.8437143055714282</v>
      </c>
      <c r="X128" s="621">
        <v>54.38714218285714</v>
      </c>
      <c r="Y128" s="621">
        <v>12.214999879999999</v>
      </c>
    </row>
    <row r="129" spans="15:26">
      <c r="P129" s="620">
        <v>22</v>
      </c>
      <c r="Q129" s="621">
        <v>12.490285737142855</v>
      </c>
      <c r="R129" s="621">
        <v>6.4215714250000007</v>
      </c>
      <c r="S129" s="621">
        <v>81.718714031428576</v>
      </c>
      <c r="T129" s="621">
        <v>42.928571428571431</v>
      </c>
      <c r="U129" s="621">
        <v>11.897571562857141</v>
      </c>
      <c r="V129" s="621">
        <v>10.57333578442857</v>
      </c>
      <c r="W129" s="621">
        <v>1.8770000252857142</v>
      </c>
      <c r="X129" s="621">
        <v>48.837857382857138</v>
      </c>
      <c r="Y129" s="621">
        <v>10.894571441428569</v>
      </c>
    </row>
    <row r="130" spans="15:26">
      <c r="P130" s="620">
        <v>23</v>
      </c>
      <c r="Q130" s="621">
        <v>12.278000014285713</v>
      </c>
      <c r="R130" s="621">
        <v>5.5577142921428564</v>
      </c>
      <c r="S130" s="621">
        <v>83.760285512857152</v>
      </c>
      <c r="T130" s="621">
        <v>67.797571451428567</v>
      </c>
      <c r="U130" s="621">
        <v>15.801714215714284</v>
      </c>
      <c r="V130" s="621">
        <v>11.341294289999999</v>
      </c>
      <c r="W130" s="621">
        <v>1.7928571701428571</v>
      </c>
      <c r="X130" s="621">
        <v>58.175000328571436</v>
      </c>
      <c r="Y130" s="621">
        <v>13.860571451428571</v>
      </c>
    </row>
    <row r="131" spans="15:26">
      <c r="O131" s="619">
        <v>24</v>
      </c>
      <c r="P131" s="620">
        <v>24</v>
      </c>
      <c r="Q131" s="621">
        <v>10.882714271142857</v>
      </c>
      <c r="R131" s="621">
        <v>5.3317142215714286</v>
      </c>
      <c r="S131" s="621">
        <v>82.799001421428557</v>
      </c>
      <c r="T131" s="621">
        <v>63.982142857142854</v>
      </c>
      <c r="U131" s="621">
        <v>15.595999989999999</v>
      </c>
      <c r="V131" s="621">
        <v>11.96411841142857</v>
      </c>
      <c r="W131" s="621">
        <v>2.0252857377142854</v>
      </c>
      <c r="X131" s="621">
        <v>61.988572801428582</v>
      </c>
      <c r="Y131" s="621">
        <v>13.392856871428572</v>
      </c>
    </row>
    <row r="132" spans="15:26">
      <c r="P132" s="620">
        <v>25</v>
      </c>
      <c r="Q132" s="621">
        <v>10.290999957142857</v>
      </c>
      <c r="R132" s="621">
        <v>3.7498572211428569</v>
      </c>
      <c r="S132" s="621">
        <v>74.093855721428568</v>
      </c>
      <c r="T132" s="621">
        <v>53.035571505714287</v>
      </c>
      <c r="U132" s="621">
        <v>14.135857038571428</v>
      </c>
      <c r="V132" s="621">
        <v>11.79</v>
      </c>
      <c r="W132" s="621">
        <v>2.0514285564285717</v>
      </c>
      <c r="X132" s="621">
        <v>51.970714024285719</v>
      </c>
      <c r="Y132" s="621">
        <v>10.749428476857142</v>
      </c>
    </row>
    <row r="133" spans="15:26">
      <c r="P133" s="620">
        <v>26</v>
      </c>
      <c r="Q133" s="621">
        <v>9.5591429302857147</v>
      </c>
      <c r="R133" s="621">
        <v>3.5651427677142853</v>
      </c>
      <c r="S133" s="621">
        <v>66.795142037142867</v>
      </c>
      <c r="T133" s="621">
        <v>40.369000025714286</v>
      </c>
      <c r="U133" s="621">
        <v>10.912428581428573</v>
      </c>
      <c r="V133" s="621">
        <v>10.93</v>
      </c>
      <c r="W133" s="621">
        <v>2.1038571597142854</v>
      </c>
      <c r="X133" s="621">
        <v>44.390714371428579</v>
      </c>
      <c r="Y133" s="621">
        <v>9.1145714351428584</v>
      </c>
    </row>
    <row r="134" spans="15:26">
      <c r="P134" s="620">
        <v>27</v>
      </c>
      <c r="Q134" s="621">
        <v>9.3137141635714293</v>
      </c>
      <c r="R134" s="621">
        <v>4.7600000245714282</v>
      </c>
      <c r="S134" s="621">
        <v>67.368571689999996</v>
      </c>
      <c r="T134" s="621">
        <v>33.409999999999997</v>
      </c>
      <c r="U134" s="621">
        <v>9.4035714009999989</v>
      </c>
      <c r="V134" s="621">
        <v>12.51</v>
      </c>
      <c r="W134" s="621">
        <v>2.0499999999999998</v>
      </c>
      <c r="X134" s="621">
        <v>39.173571994285716</v>
      </c>
      <c r="Y134" s="621">
        <v>7.6487142698571438</v>
      </c>
    </row>
    <row r="135" spans="15:26">
      <c r="O135" s="619">
        <v>28</v>
      </c>
      <c r="P135" s="620">
        <v>28</v>
      </c>
      <c r="Q135" s="621">
        <v>8.7544284548571447</v>
      </c>
      <c r="R135" s="621">
        <v>2.5707143034285713</v>
      </c>
      <c r="S135" s="621">
        <v>65.073571887142847</v>
      </c>
      <c r="T135" s="621">
        <v>33.160714285714285</v>
      </c>
      <c r="U135" s="621">
        <v>9.4155716217142871</v>
      </c>
      <c r="V135" s="621">
        <v>12.3</v>
      </c>
      <c r="W135" s="621">
        <v>2.2505714212857142</v>
      </c>
      <c r="X135" s="621">
        <v>36.999285560000011</v>
      </c>
      <c r="Y135" s="621">
        <v>7.0544285774285713</v>
      </c>
    </row>
    <row r="136" spans="15:26">
      <c r="P136" s="620">
        <v>29</v>
      </c>
      <c r="Q136" s="621">
        <v>8.6149000000000004</v>
      </c>
      <c r="R136" s="621">
        <v>3.7006000000000001</v>
      </c>
      <c r="S136" s="621">
        <v>62.515714285714289</v>
      </c>
      <c r="T136" s="621">
        <v>35.738</v>
      </c>
      <c r="U136" s="621">
        <v>9.5503999999999998</v>
      </c>
      <c r="V136" s="621">
        <v>12.245714285714286</v>
      </c>
      <c r="W136" s="621">
        <v>1.9771428571428571</v>
      </c>
      <c r="X136" s="621">
        <v>38.677142857142861</v>
      </c>
      <c r="Y136" s="621">
        <v>6.3400000000000007</v>
      </c>
    </row>
    <row r="137" spans="15:26">
      <c r="P137" s="620">
        <v>30</v>
      </c>
      <c r="Q137" s="621">
        <v>8.1221428598571439</v>
      </c>
      <c r="R137" s="621">
        <v>4.9111429789999992</v>
      </c>
      <c r="S137" s="621">
        <v>57.148857115714286</v>
      </c>
      <c r="T137" s="621">
        <v>85.065429679999994</v>
      </c>
      <c r="U137" s="621">
        <v>15.534142631428571</v>
      </c>
      <c r="V137" s="621">
        <v>10.995952741142858</v>
      </c>
      <c r="W137" s="621">
        <v>2.2859999964285715</v>
      </c>
      <c r="X137" s="621">
        <v>56.166428702857139</v>
      </c>
      <c r="Y137" s="621">
        <v>9.4385714285714304</v>
      </c>
    </row>
    <row r="138" spans="15:26">
      <c r="P138" s="620">
        <v>31</v>
      </c>
      <c r="Q138" s="621">
        <v>7.5620000000000003</v>
      </c>
      <c r="R138" s="621">
        <v>3.28</v>
      </c>
      <c r="S138" s="621">
        <v>58.768000000000001</v>
      </c>
      <c r="T138" s="621">
        <v>40.375</v>
      </c>
      <c r="U138" s="621">
        <v>8.5579999999999998</v>
      </c>
      <c r="V138" s="621">
        <v>13.18</v>
      </c>
      <c r="W138" s="621">
        <v>2</v>
      </c>
      <c r="X138" s="621">
        <v>50.215000000000003</v>
      </c>
      <c r="Y138" s="621">
        <v>8.5770238095238049</v>
      </c>
    </row>
    <row r="139" spans="15:26">
      <c r="O139" s="619">
        <v>32</v>
      </c>
      <c r="P139" s="620">
        <v>32</v>
      </c>
      <c r="Q139" s="621">
        <v>8.4994284765714276</v>
      </c>
      <c r="R139" s="621">
        <v>4.8781427315714287</v>
      </c>
      <c r="S139" s="621">
        <v>54.703428540000004</v>
      </c>
      <c r="T139" s="621">
        <v>52.946428571428569</v>
      </c>
      <c r="U139" s="621">
        <v>10.739857128857144</v>
      </c>
      <c r="V139" s="621">
        <v>10.850328444285712</v>
      </c>
      <c r="W139" s="621">
        <v>2.0667142697142857</v>
      </c>
      <c r="X139" s="621">
        <v>50.460713522857141</v>
      </c>
      <c r="Y139" s="621">
        <v>9.7962856299999999</v>
      </c>
    </row>
    <row r="140" spans="15:26">
      <c r="P140" s="620">
        <v>33</v>
      </c>
      <c r="Q140" s="621">
        <v>7.8117142411428571</v>
      </c>
      <c r="R140" s="621">
        <v>4.5999999999999996</v>
      </c>
      <c r="S140" s="621">
        <v>59.066285269999995</v>
      </c>
      <c r="T140" s="621">
        <v>47.13</v>
      </c>
      <c r="U140" s="621">
        <v>9.23</v>
      </c>
      <c r="V140" s="621">
        <v>10.84</v>
      </c>
      <c r="W140" s="621">
        <v>2.0499999999999998</v>
      </c>
      <c r="X140" s="621">
        <v>44.64</v>
      </c>
      <c r="Y140" s="621">
        <v>8.7822855541428577</v>
      </c>
    </row>
    <row r="141" spans="15:26">
      <c r="P141" s="620">
        <v>34</v>
      </c>
      <c r="Q141" s="621">
        <v>6.44</v>
      </c>
      <c r="R141" s="621">
        <v>5.1568571165714285</v>
      </c>
      <c r="S141" s="621">
        <v>82.033571515714272</v>
      </c>
      <c r="T141" s="621">
        <v>63.892999920000001</v>
      </c>
      <c r="U141" s="621">
        <v>10.917285918714287</v>
      </c>
      <c r="V141" s="621">
        <v>10.534582955714285</v>
      </c>
      <c r="W141" s="621">
        <v>1.8788571358571429</v>
      </c>
      <c r="X141" s="621">
        <v>35.627857751428571</v>
      </c>
      <c r="Y141" s="621">
        <v>11.383714402571428</v>
      </c>
    </row>
    <row r="142" spans="15:26">
      <c r="P142" s="620">
        <v>35</v>
      </c>
      <c r="Q142" s="621">
        <v>7.5428571428571427</v>
      </c>
      <c r="R142" s="621">
        <v>2.15</v>
      </c>
      <c r="S142" s="621">
        <v>71.48</v>
      </c>
      <c r="T142" s="621">
        <v>45.64</v>
      </c>
      <c r="U142" s="621">
        <v>9.4700000000000006</v>
      </c>
      <c r="V142" s="621">
        <v>10.92</v>
      </c>
      <c r="W142" s="621">
        <v>1.88</v>
      </c>
      <c r="X142" s="621">
        <v>32.979999999999997</v>
      </c>
      <c r="Y142" s="621">
        <v>7.88</v>
      </c>
    </row>
    <row r="143" spans="15:26">
      <c r="O143" s="619">
        <v>36</v>
      </c>
      <c r="P143" s="620">
        <v>36</v>
      </c>
      <c r="Q143" s="621">
        <v>7.1671427998571433</v>
      </c>
      <c r="R143" s="621">
        <v>4.8342857142857136</v>
      </c>
      <c r="S143" s="621">
        <v>63.092857142857149</v>
      </c>
      <c r="T143" s="621">
        <v>34.571428571428569</v>
      </c>
      <c r="U143" s="621">
        <v>7.5942857142857134</v>
      </c>
      <c r="V143" s="621">
        <v>11.091428571428571</v>
      </c>
      <c r="W143" s="621">
        <v>1.8442857142857143</v>
      </c>
      <c r="X143" s="621">
        <v>31.20428571428571</v>
      </c>
      <c r="Y143" s="621">
        <v>8.0857142857142854</v>
      </c>
      <c r="Z143" s="678"/>
    </row>
    <row r="144" spans="15:26">
      <c r="P144" s="620">
        <v>37</v>
      </c>
      <c r="Q144" s="621">
        <v>7.1637143408571422</v>
      </c>
      <c r="R144" s="621">
        <v>3.1535714688571423</v>
      </c>
      <c r="S144" s="621">
        <v>61.141713821428574</v>
      </c>
      <c r="T144" s="621">
        <v>28.744000025714286</v>
      </c>
      <c r="U144" s="621">
        <v>6.5637142318571433</v>
      </c>
      <c r="V144" s="621">
        <v>10.825238499999999</v>
      </c>
      <c r="W144" s="621">
        <v>1.8114285809999999</v>
      </c>
      <c r="X144" s="621">
        <v>29.614285605714283</v>
      </c>
      <c r="Y144" s="621">
        <v>8.6452856064285708</v>
      </c>
    </row>
    <row r="145" spans="15:25">
      <c r="P145" s="620">
        <v>38</v>
      </c>
      <c r="Q145" s="621">
        <v>8.31</v>
      </c>
      <c r="R145" s="621">
        <v>3.3441428289999995</v>
      </c>
      <c r="S145" s="621">
        <v>49.664428712857145</v>
      </c>
      <c r="T145" s="621">
        <v>35.571571351428574</v>
      </c>
      <c r="U145" s="621">
        <v>7.2939999444285712</v>
      </c>
      <c r="V145" s="621">
        <v>11.159824370000001</v>
      </c>
      <c r="W145" s="621">
        <v>1.8427142925714282</v>
      </c>
      <c r="X145" s="621">
        <v>30.912857054285716</v>
      </c>
      <c r="Y145" s="621">
        <v>8.6452856064285708</v>
      </c>
    </row>
    <row r="146" spans="15:25">
      <c r="P146" s="620">
        <v>39</v>
      </c>
      <c r="Q146" s="621">
        <v>7.621428489714285</v>
      </c>
      <c r="R146" s="621">
        <v>4.6500000000000004</v>
      </c>
      <c r="S146" s="621">
        <v>42.24</v>
      </c>
      <c r="T146" s="621">
        <v>39.39</v>
      </c>
      <c r="U146" s="621">
        <v>7.68</v>
      </c>
      <c r="V146" s="621">
        <v>11.33</v>
      </c>
      <c r="W146" s="621">
        <v>1.64</v>
      </c>
      <c r="X146" s="621">
        <v>37.200000000000003</v>
      </c>
      <c r="Y146" s="621">
        <v>7.4194285528571422</v>
      </c>
    </row>
    <row r="147" spans="15:25">
      <c r="O147" s="619">
        <v>40</v>
      </c>
      <c r="P147" s="620">
        <v>40</v>
      </c>
      <c r="Q147" s="621">
        <v>7.621428489714285</v>
      </c>
      <c r="R147" s="621">
        <v>5.128571373571428</v>
      </c>
      <c r="S147" s="621">
        <v>38.906285422857138</v>
      </c>
      <c r="T147" s="621">
        <v>41.34000069857143</v>
      </c>
      <c r="U147" s="621">
        <v>9.112857137571428</v>
      </c>
      <c r="V147" s="621">
        <v>11.565001485714285</v>
      </c>
      <c r="W147" s="621">
        <v>1.8221428395714285</v>
      </c>
      <c r="X147" s="621">
        <v>42.197143011428572</v>
      </c>
      <c r="Y147" s="621">
        <v>9.6005713597142837</v>
      </c>
    </row>
    <row r="148" spans="15:25">
      <c r="P148" s="620">
        <v>41</v>
      </c>
      <c r="Q148" s="621">
        <v>7.2698572022574259</v>
      </c>
      <c r="R148" s="621">
        <v>4.8594285079410948</v>
      </c>
      <c r="S148" s="621">
        <v>42.923713956560341</v>
      </c>
      <c r="T148" s="621">
        <v>56.607142857142847</v>
      </c>
      <c r="U148" s="621">
        <v>11.170142854962995</v>
      </c>
      <c r="V148" s="621">
        <v>12.740178653172041</v>
      </c>
      <c r="W148" s="621">
        <v>1.7041428429739784</v>
      </c>
      <c r="X148" s="621">
        <v>49.475714547293492</v>
      </c>
      <c r="Y148" s="621">
        <v>10.943285942077617</v>
      </c>
    </row>
    <row r="149" spans="15:25">
      <c r="P149" s="620">
        <v>42</v>
      </c>
      <c r="Q149" s="621">
        <v>6.2732856614249064</v>
      </c>
      <c r="R149" s="621">
        <v>4.00314286776951</v>
      </c>
      <c r="S149" s="621">
        <v>73.976001194545148</v>
      </c>
      <c r="T149" s="621">
        <v>89.232285635811792</v>
      </c>
      <c r="U149" s="621">
        <v>19.282285690307582</v>
      </c>
      <c r="V149" s="621">
        <v>11.792381422860229</v>
      </c>
      <c r="W149" s="621">
        <v>1.5524285691124997</v>
      </c>
      <c r="X149" s="621">
        <v>72.350713457379968</v>
      </c>
      <c r="Y149" s="621">
        <v>17.972571236746628</v>
      </c>
    </row>
    <row r="150" spans="15:25">
      <c r="P150" s="620">
        <v>43</v>
      </c>
      <c r="Q150" s="621">
        <v>8.3208571161542526</v>
      </c>
      <c r="R150" s="621">
        <v>6.0481427737644662</v>
      </c>
      <c r="S150" s="621">
        <v>97.234427315848038</v>
      </c>
      <c r="T150" s="621">
        <v>125.70828465052978</v>
      </c>
      <c r="U150" s="621">
        <v>26.382142475673081</v>
      </c>
      <c r="V150" s="621">
        <v>12.0416071755545</v>
      </c>
      <c r="W150" s="621">
        <v>1.585428544453207</v>
      </c>
      <c r="X150" s="621">
        <v>82.484284537179079</v>
      </c>
      <c r="Y150" s="621">
        <v>19.552571432931028</v>
      </c>
    </row>
    <row r="151" spans="15:25">
      <c r="O151" s="619">
        <v>44</v>
      </c>
      <c r="P151" s="620">
        <v>44</v>
      </c>
      <c r="Q151" s="621">
        <v>9.2941429947142868</v>
      </c>
      <c r="R151" s="621">
        <v>7.6531428608571428</v>
      </c>
      <c r="S151" s="621">
        <v>120.62971387142855</v>
      </c>
      <c r="T151" s="621">
        <v>157.60714285714286</v>
      </c>
      <c r="U151" s="621">
        <v>33.364427840000005</v>
      </c>
      <c r="V151" s="621">
        <v>12.188929967142856</v>
      </c>
      <c r="W151" s="621">
        <v>1.6864285471428571</v>
      </c>
      <c r="X151" s="621">
        <v>110.40928649571428</v>
      </c>
      <c r="Y151" s="621">
        <v>33.081571032857141</v>
      </c>
    </row>
    <row r="152" spans="15:25">
      <c r="P152" s="620">
        <v>45</v>
      </c>
      <c r="Q152" s="621">
        <v>8.6642857274285721</v>
      </c>
      <c r="R152" s="621">
        <v>4.2061428341428568</v>
      </c>
      <c r="S152" s="621">
        <v>125.43157086857143</v>
      </c>
      <c r="T152" s="621">
        <v>105.63685608857143</v>
      </c>
      <c r="U152" s="621">
        <v>18.735571588571428</v>
      </c>
      <c r="V152" s="621">
        <v>13</v>
      </c>
      <c r="W152" s="621">
        <v>1.7397142818571427</v>
      </c>
      <c r="X152" s="621">
        <v>114.14357212285714</v>
      </c>
      <c r="Y152" s="621">
        <v>39.80185754</v>
      </c>
    </row>
    <row r="153" spans="15:25">
      <c r="P153" s="620">
        <v>46</v>
      </c>
      <c r="Q153" s="621">
        <v>8.5371428571428574</v>
      </c>
      <c r="R153" s="621">
        <v>5.9</v>
      </c>
      <c r="S153" s="621">
        <v>78.757142857142853</v>
      </c>
      <c r="T153" s="621">
        <v>79.304285714285712</v>
      </c>
      <c r="U153" s="621">
        <v>13.16</v>
      </c>
      <c r="V153" s="621">
        <v>13.001428571428571</v>
      </c>
      <c r="W153" s="621">
        <v>1.5</v>
      </c>
      <c r="X153" s="621">
        <v>93.457142857142841</v>
      </c>
      <c r="Y153" s="621">
        <v>37.212857142857146</v>
      </c>
    </row>
    <row r="154" spans="15:25">
      <c r="P154" s="620">
        <v>47</v>
      </c>
      <c r="Q154" s="621">
        <v>9.0094285692857135</v>
      </c>
      <c r="R154" s="621">
        <v>7.1015714912857133</v>
      </c>
      <c r="S154" s="621">
        <v>88.111712864285735</v>
      </c>
      <c r="T154" s="621">
        <v>74.684428622857141</v>
      </c>
      <c r="U154" s="621">
        <v>13.483142988571428</v>
      </c>
      <c r="V154" s="621">
        <v>12.142405645714286</v>
      </c>
      <c r="W154" s="621">
        <v>1.5</v>
      </c>
      <c r="X154" s="621">
        <v>104.10500007571429</v>
      </c>
      <c r="Y154" s="621">
        <v>35.055428368571434</v>
      </c>
    </row>
    <row r="155" spans="15:25">
      <c r="O155" s="619">
        <v>48</v>
      </c>
      <c r="P155" s="620">
        <v>48</v>
      </c>
      <c r="Q155" s="621">
        <v>8.5042856081428582</v>
      </c>
      <c r="R155" s="621">
        <v>4.3617142950000005</v>
      </c>
      <c r="S155" s="621">
        <v>80.151286534285717</v>
      </c>
      <c r="T155" s="621">
        <v>95.303570342857142</v>
      </c>
      <c r="U155" s="621">
        <v>12.543571337142859</v>
      </c>
      <c r="V155" s="621">
        <v>11.975262778571429</v>
      </c>
      <c r="W155" s="621">
        <v>1.5</v>
      </c>
      <c r="X155" s="621">
        <v>91.569999695714287</v>
      </c>
      <c r="Y155" s="621">
        <v>28.370000294285713</v>
      </c>
    </row>
    <row r="156" spans="15:25">
      <c r="P156" s="620">
        <v>49</v>
      </c>
      <c r="Q156" s="621">
        <v>8.27</v>
      </c>
      <c r="R156" s="621">
        <v>6.9099999999999993</v>
      </c>
      <c r="S156" s="621">
        <v>66.555714285714288</v>
      </c>
      <c r="T156" s="621">
        <v>54.31</v>
      </c>
      <c r="U156" s="621">
        <v>8.99</v>
      </c>
      <c r="V156" s="621">
        <v>12.26</v>
      </c>
      <c r="W156" s="621">
        <v>1.5</v>
      </c>
      <c r="X156" s="621">
        <v>62.974285714285706</v>
      </c>
      <c r="Y156" s="621">
        <v>22.919999999999998</v>
      </c>
    </row>
    <row r="157" spans="15:25">
      <c r="P157" s="620">
        <v>50</v>
      </c>
      <c r="Q157" s="621">
        <v>8.1765714374285707</v>
      </c>
      <c r="R157" s="621">
        <v>6.5639999597142857</v>
      </c>
      <c r="S157" s="621">
        <v>61.602715082857152</v>
      </c>
      <c r="T157" s="621">
        <v>52.47614288285714</v>
      </c>
      <c r="U157" s="621">
        <v>10.909571511285714</v>
      </c>
      <c r="V157" s="621">
        <v>13.001428604285715</v>
      </c>
      <c r="W157" s="621">
        <v>1.457142846857143</v>
      </c>
      <c r="X157" s="621">
        <v>52.244286674285718</v>
      </c>
      <c r="Y157" s="621">
        <v>17.695714271428571</v>
      </c>
    </row>
    <row r="158" spans="15:25">
      <c r="P158" s="620">
        <v>51</v>
      </c>
      <c r="Q158" s="621">
        <v>10.342857142857142</v>
      </c>
      <c r="R158" s="621">
        <v>7.3285714285714283</v>
      </c>
      <c r="S158" s="621">
        <v>53.9</v>
      </c>
      <c r="T158" s="621">
        <v>126.14285714285714</v>
      </c>
      <c r="U158" s="621">
        <v>16.8</v>
      </c>
      <c r="V158" s="621">
        <v>12.257142857142856</v>
      </c>
      <c r="W158" s="621">
        <v>1.3857142857142859</v>
      </c>
      <c r="X158" s="621">
        <v>86.528571428571439</v>
      </c>
      <c r="Y158" s="621">
        <v>33.51428571428572</v>
      </c>
    </row>
    <row r="159" spans="15:25">
      <c r="O159" s="619">
        <v>52</v>
      </c>
      <c r="P159" s="620">
        <v>52</v>
      </c>
      <c r="Q159" s="621">
        <v>10.661999840142856</v>
      </c>
      <c r="R159" s="621">
        <v>7.4820000789999996</v>
      </c>
      <c r="S159" s="621">
        <v>57.504999978571433</v>
      </c>
      <c r="T159" s="621">
        <v>100.38085719714286</v>
      </c>
      <c r="U159" s="621">
        <v>16.435142652857145</v>
      </c>
      <c r="V159" s="621">
        <v>12.222315514285714</v>
      </c>
      <c r="W159" s="621">
        <v>1.2999999520000001</v>
      </c>
      <c r="X159" s="621">
        <v>103.53357153142858</v>
      </c>
      <c r="Y159" s="621">
        <v>52.753143308571431</v>
      </c>
    </row>
    <row r="165" spans="17:25">
      <c r="Q165" s="677" t="s">
        <v>297</v>
      </c>
      <c r="R165" s="677" t="s">
        <v>298</v>
      </c>
      <c r="S165" s="677" t="s">
        <v>299</v>
      </c>
      <c r="T165" s="677" t="s">
        <v>300</v>
      </c>
      <c r="U165" s="677" t="s">
        <v>301</v>
      </c>
      <c r="V165" s="677" t="s">
        <v>302</v>
      </c>
      <c r="W165" s="677" t="s">
        <v>303</v>
      </c>
      <c r="X165" s="677" t="s">
        <v>304</v>
      </c>
      <c r="Y165" s="677" t="s">
        <v>305</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57" zoomScaleNormal="100" zoomScaleSheetLayoutView="157" zoomScalePageLayoutView="160" workbookViewId="0">
      <selection activeCell="D4" sqref="D4"/>
    </sheetView>
  </sheetViews>
  <sheetFormatPr defaultColWidth="9.33203125"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596" customWidth="1"/>
    <col min="14" max="15" width="9.33203125" style="595"/>
    <col min="16" max="16384" width="9.33203125" style="3"/>
  </cols>
  <sheetData>
    <row r="1" spans="1:15" ht="11.25" customHeight="1"/>
    <row r="2" spans="1:15" ht="11.25" customHeight="1">
      <c r="A2" s="953" t="s">
        <v>476</v>
      </c>
      <c r="B2" s="953"/>
      <c r="C2" s="953"/>
      <c r="D2" s="953"/>
      <c r="E2" s="953"/>
      <c r="F2" s="953"/>
      <c r="G2" s="953"/>
      <c r="H2" s="953"/>
      <c r="I2" s="953"/>
      <c r="J2" s="953"/>
      <c r="K2" s="953"/>
    </row>
    <row r="3" spans="1:15" ht="11.25" customHeight="1">
      <c r="A3" s="218"/>
      <c r="B3" s="218"/>
      <c r="C3" s="218"/>
      <c r="D3" s="218"/>
      <c r="E3" s="218"/>
      <c r="F3" s="218"/>
      <c r="G3" s="218"/>
      <c r="H3" s="218"/>
      <c r="I3" s="218"/>
      <c r="J3" s="218"/>
      <c r="K3" s="507"/>
      <c r="L3" s="45"/>
    </row>
    <row r="4" spans="1:15" ht="11.25" customHeight="1">
      <c r="A4" s="938" t="s">
        <v>477</v>
      </c>
      <c r="B4" s="938"/>
      <c r="C4" s="938"/>
      <c r="D4" s="938"/>
      <c r="E4" s="938"/>
      <c r="F4" s="938"/>
      <c r="G4" s="938"/>
      <c r="H4" s="938"/>
      <c r="I4" s="219"/>
      <c r="J4" s="219"/>
      <c r="L4" s="45"/>
    </row>
    <row r="5" spans="1:15" ht="7.5" customHeight="1">
      <c r="A5" s="220"/>
      <c r="B5" s="220"/>
      <c r="C5" s="220"/>
      <c r="D5" s="220"/>
      <c r="E5" s="220"/>
      <c r="F5" s="220"/>
      <c r="G5" s="220"/>
      <c r="H5" s="220"/>
      <c r="I5" s="220"/>
      <c r="J5" s="220"/>
      <c r="L5" s="10"/>
    </row>
    <row r="6" spans="1:15" ht="11.25" customHeight="1">
      <c r="A6" s="220"/>
      <c r="B6" s="224" t="s">
        <v>478</v>
      </c>
      <c r="C6" s="220"/>
      <c r="D6" s="220"/>
      <c r="E6" s="220"/>
      <c r="F6" s="220"/>
      <c r="G6" s="220"/>
      <c r="H6" s="220"/>
      <c r="I6" s="220"/>
      <c r="J6" s="220"/>
      <c r="L6" s="20"/>
    </row>
    <row r="7" spans="1:15" ht="7.5" customHeight="1">
      <c r="A7" s="220"/>
      <c r="B7" s="221"/>
      <c r="C7" s="220"/>
      <c r="D7" s="220"/>
      <c r="E7" s="220"/>
      <c r="F7" s="220"/>
      <c r="G7" s="220"/>
      <c r="H7" s="220"/>
      <c r="I7" s="220"/>
      <c r="J7" s="220"/>
      <c r="L7" s="16"/>
    </row>
    <row r="8" spans="1:15" ht="21" customHeight="1">
      <c r="A8" s="220"/>
      <c r="B8" s="747" t="s">
        <v>172</v>
      </c>
      <c r="C8" s="748" t="s">
        <v>173</v>
      </c>
      <c r="D8" s="748" t="s">
        <v>174</v>
      </c>
      <c r="E8" s="748" t="s">
        <v>176</v>
      </c>
      <c r="F8" s="748" t="s">
        <v>175</v>
      </c>
      <c r="G8" s="749" t="s">
        <v>177</v>
      </c>
      <c r="H8" s="229"/>
      <c r="I8" s="229"/>
      <c r="J8" s="229"/>
      <c r="L8" s="34"/>
      <c r="M8" s="597" t="s">
        <v>173</v>
      </c>
      <c r="N8" s="598" t="str">
        <f>M8&amp;"
 ("&amp;ROUND(HLOOKUP(M8,$C$8:$G$9,2,0),2)&amp;"   USD/MWh)"</f>
        <v>PIURA OESTE 220
 (9,15   USD/MWh)</v>
      </c>
    </row>
    <row r="9" spans="1:15" ht="18" customHeight="1">
      <c r="A9" s="220"/>
      <c r="B9" s="750" t="s">
        <v>178</v>
      </c>
      <c r="C9" s="352">
        <v>9.1525739814143279</v>
      </c>
      <c r="D9" s="352">
        <v>8.8222422827425451</v>
      </c>
      <c r="E9" s="352">
        <v>8.6712656684073472</v>
      </c>
      <c r="F9" s="352">
        <v>8.6183090266176059</v>
      </c>
      <c r="G9" s="352">
        <v>8.5788965548995115</v>
      </c>
      <c r="H9" s="229"/>
      <c r="I9" s="229"/>
      <c r="J9" s="229"/>
      <c r="K9" s="229"/>
      <c r="L9" s="29"/>
      <c r="M9" s="597" t="s">
        <v>174</v>
      </c>
      <c r="N9" s="598" t="str">
        <f>M9&amp;"
("&amp;ROUND(HLOOKUP(M9,$C$8:$G$9,2,0),2)&amp;" USD/MWh)"</f>
        <v>CHICLAYO 220
(8,82 USD/MWh)</v>
      </c>
    </row>
    <row r="10" spans="1:15" ht="14.25" customHeight="1">
      <c r="A10" s="220"/>
      <c r="B10" s="975" t="str">
        <f>"Cuadro N°11: Valor de los costos marginales medios registrados en las principales barras del área norte durante el mes de "&amp;'1. Resumen'!Q4</f>
        <v>Cuadro N°11: Valor de los costos marginales medios registrados en las principales barras del área norte durante el mes de diciembre</v>
      </c>
      <c r="C10" s="975"/>
      <c r="D10" s="975"/>
      <c r="E10" s="975"/>
      <c r="F10" s="975"/>
      <c r="G10" s="975"/>
      <c r="H10" s="975"/>
      <c r="I10" s="975"/>
      <c r="J10" s="229"/>
      <c r="K10" s="229"/>
      <c r="L10" s="29"/>
      <c r="M10" s="597" t="s">
        <v>176</v>
      </c>
      <c r="N10" s="598" t="str">
        <f>M10&amp;"
("&amp;ROUND(HLOOKUP(M10,$C$8:$G$9,2,0),2)&amp;" USD/MWh)"</f>
        <v>TRUJILLO 220
(8,67 USD/MWh)</v>
      </c>
    </row>
    <row r="11" spans="1:15" ht="11.25" customHeight="1">
      <c r="A11" s="220"/>
      <c r="B11" s="230"/>
      <c r="C11" s="229"/>
      <c r="D11" s="229"/>
      <c r="E11" s="229"/>
      <c r="F11" s="229"/>
      <c r="G11" s="229"/>
      <c r="H11" s="229"/>
      <c r="I11" s="229"/>
      <c r="J11" s="229"/>
      <c r="K11" s="229"/>
      <c r="L11" s="29"/>
      <c r="M11" s="597" t="s">
        <v>175</v>
      </c>
      <c r="N11" s="598" t="str">
        <f>M11&amp;"
("&amp;ROUND(HLOOKUP(M11,$C$8:$G$9,2,0),2)&amp;" USD/MWh)"</f>
        <v>CHIMBOTE1 138
(8,62 USD/MWh)</v>
      </c>
    </row>
    <row r="12" spans="1:15" ht="11.25" customHeight="1">
      <c r="A12" s="220"/>
      <c r="B12" s="229"/>
      <c r="C12" s="229"/>
      <c r="D12" s="229"/>
      <c r="E12" s="229"/>
      <c r="F12" s="229"/>
      <c r="G12" s="229"/>
      <c r="H12" s="229"/>
      <c r="I12" s="229"/>
      <c r="J12" s="229"/>
      <c r="K12" s="229"/>
      <c r="L12" s="31"/>
      <c r="M12" s="597" t="s">
        <v>177</v>
      </c>
      <c r="N12" s="598" t="str">
        <f>M12&amp;"
("&amp;ROUND(HLOOKUP(M12,$C$8:$G$9,2,0),2)&amp;" USD/MWh)"</f>
        <v>CAJAMARCA 220
(8,58 USD/MWh)</v>
      </c>
    </row>
    <row r="13" spans="1:15" ht="11.25" customHeight="1">
      <c r="A13" s="220"/>
      <c r="B13" s="229"/>
      <c r="C13" s="229"/>
      <c r="D13" s="229"/>
      <c r="E13" s="229"/>
      <c r="F13" s="229"/>
      <c r="G13" s="229"/>
      <c r="H13" s="229"/>
      <c r="I13" s="229"/>
      <c r="J13" s="229"/>
      <c r="K13" s="229"/>
      <c r="L13" s="34"/>
      <c r="M13" s="597"/>
      <c r="N13" s="598"/>
      <c r="O13" s="597"/>
    </row>
    <row r="14" spans="1:15" ht="11.25" customHeight="1">
      <c r="A14" s="220"/>
      <c r="B14" s="229"/>
      <c r="C14" s="229"/>
      <c r="D14" s="229"/>
      <c r="E14" s="229"/>
      <c r="F14" s="229"/>
      <c r="G14" s="229"/>
      <c r="H14" s="229"/>
      <c r="I14" s="229"/>
      <c r="J14" s="229"/>
      <c r="K14" s="229"/>
      <c r="L14" s="29"/>
      <c r="M14" s="597" t="s">
        <v>180</v>
      </c>
      <c r="N14" s="598" t="str">
        <f t="shared" ref="N14:N20" si="0">M14&amp;"
("&amp;ROUND(HLOOKUP(M14,$C$26:$I$27,2,0),2)&amp;" USD/MWh)"</f>
        <v>CHAVARRIA 220
(8,51 USD/MWh)</v>
      </c>
    </row>
    <row r="15" spans="1:15" ht="11.25" customHeight="1">
      <c r="A15" s="220"/>
      <c r="B15" s="229"/>
      <c r="C15" s="229"/>
      <c r="D15" s="229"/>
      <c r="E15" s="229"/>
      <c r="F15" s="229"/>
      <c r="G15" s="229"/>
      <c r="H15" s="229"/>
      <c r="I15" s="229"/>
      <c r="J15" s="229"/>
      <c r="K15" s="229"/>
      <c r="L15" s="29"/>
      <c r="M15" s="597" t="s">
        <v>182</v>
      </c>
      <c r="N15" s="598" t="str">
        <f t="shared" si="0"/>
        <v>INDEPENDENCIA 220
(8,72 USD/MWh)</v>
      </c>
    </row>
    <row r="16" spans="1:15" ht="11.25" customHeight="1">
      <c r="A16" s="220"/>
      <c r="B16" s="229"/>
      <c r="C16" s="229"/>
      <c r="D16" s="229"/>
      <c r="E16" s="229"/>
      <c r="F16" s="229"/>
      <c r="G16" s="229"/>
      <c r="H16" s="229"/>
      <c r="I16" s="229"/>
      <c r="J16" s="229"/>
      <c r="K16" s="229"/>
      <c r="L16" s="29"/>
      <c r="M16" s="597" t="s">
        <v>183</v>
      </c>
      <c r="N16" s="598" t="str">
        <f t="shared" si="0"/>
        <v>CARABAYLLO 220
(8,49 USD/MWh)</v>
      </c>
    </row>
    <row r="17" spans="1:14" ht="11.25" customHeight="1">
      <c r="A17" s="220"/>
      <c r="B17" s="229"/>
      <c r="C17" s="229"/>
      <c r="D17" s="229"/>
      <c r="E17" s="229"/>
      <c r="F17" s="229"/>
      <c r="G17" s="229"/>
      <c r="H17" s="229"/>
      <c r="I17" s="229"/>
      <c r="J17" s="229"/>
      <c r="K17" s="229"/>
      <c r="L17" s="29"/>
      <c r="M17" s="597" t="s">
        <v>179</v>
      </c>
      <c r="N17" s="598" t="str">
        <f t="shared" si="0"/>
        <v>SANTA ROSA 220
(8,5 USD/MWh)</v>
      </c>
    </row>
    <row r="18" spans="1:14" ht="11.25" customHeight="1">
      <c r="A18" s="220"/>
      <c r="B18" s="229"/>
      <c r="C18" s="229"/>
      <c r="D18" s="229"/>
      <c r="E18" s="229"/>
      <c r="F18" s="229"/>
      <c r="G18" s="229"/>
      <c r="H18" s="229"/>
      <c r="I18" s="229"/>
      <c r="J18" s="229"/>
      <c r="K18" s="229"/>
      <c r="L18" s="29"/>
      <c r="M18" s="597" t="s">
        <v>181</v>
      </c>
      <c r="N18" s="598" t="str">
        <f t="shared" si="0"/>
        <v>SAN JUAN 220
(8,48 USD/MWh)</v>
      </c>
    </row>
    <row r="19" spans="1:14" ht="11.25" customHeight="1">
      <c r="A19" s="220"/>
      <c r="B19" s="229"/>
      <c r="C19" s="229"/>
      <c r="D19" s="229"/>
      <c r="E19" s="229"/>
      <c r="F19" s="229"/>
      <c r="G19" s="229"/>
      <c r="H19" s="229"/>
      <c r="I19" s="229"/>
      <c r="J19" s="229"/>
      <c r="K19" s="229"/>
      <c r="L19" s="39"/>
      <c r="M19" s="597" t="s">
        <v>184</v>
      </c>
      <c r="N19" s="598" t="str">
        <f t="shared" si="0"/>
        <v>POMACOCHA 220
(8,3 USD/MWh)</v>
      </c>
    </row>
    <row r="20" spans="1:14" ht="11.25" customHeight="1">
      <c r="A20" s="220"/>
      <c r="B20" s="227"/>
      <c r="C20" s="227"/>
      <c r="D20" s="227"/>
      <c r="E20" s="227"/>
      <c r="F20" s="227"/>
      <c r="G20" s="229"/>
      <c r="H20" s="229"/>
      <c r="I20" s="229"/>
      <c r="J20" s="229"/>
      <c r="K20" s="229"/>
      <c r="L20" s="29"/>
      <c r="M20" s="597" t="s">
        <v>185</v>
      </c>
      <c r="N20" s="598" t="str">
        <f t="shared" si="0"/>
        <v>OROYA NUEVA 50
(8,19 USD/MWh)</v>
      </c>
    </row>
    <row r="21" spans="1:14" ht="11.25" customHeight="1">
      <c r="A21" s="220"/>
      <c r="B21" s="976" t="str">
        <f>"Gráfico N°20: Costos marginales medios registrados en las principales barras del área norte durante el mes de "&amp;'1. Resumen'!Q4</f>
        <v>Gráfico N°20: Costos marginales medios registrados en las principales barras del área norte durante el mes de diciembre</v>
      </c>
      <c r="C21" s="976"/>
      <c r="D21" s="976"/>
      <c r="E21" s="976"/>
      <c r="F21" s="976"/>
      <c r="G21" s="976"/>
      <c r="H21" s="976"/>
      <c r="I21" s="976"/>
      <c r="J21" s="229"/>
      <c r="K21" s="229"/>
      <c r="L21" s="29"/>
      <c r="M21" s="597"/>
      <c r="N21" s="598"/>
    </row>
    <row r="22" spans="1:14" ht="7.5" customHeight="1">
      <c r="A22" s="220"/>
      <c r="B22" s="222"/>
      <c r="C22" s="222"/>
      <c r="D22" s="222"/>
      <c r="E22" s="222"/>
      <c r="F22" s="222"/>
      <c r="G22" s="220"/>
      <c r="H22" s="220"/>
      <c r="I22" s="220"/>
      <c r="J22" s="220"/>
      <c r="K22" s="220"/>
      <c r="L22" s="20"/>
      <c r="M22" s="597"/>
      <c r="N22" s="598"/>
    </row>
    <row r="23" spans="1:14" ht="11.25" customHeight="1">
      <c r="A23" s="220"/>
      <c r="B23" s="222"/>
      <c r="C23" s="222"/>
      <c r="D23" s="222"/>
      <c r="E23" s="222"/>
      <c r="F23" s="222"/>
      <c r="G23" s="220"/>
      <c r="H23" s="220"/>
      <c r="I23" s="220"/>
      <c r="J23" s="220"/>
      <c r="K23" s="220"/>
      <c r="L23" s="22"/>
      <c r="M23" s="597" t="s">
        <v>186</v>
      </c>
      <c r="N23" s="598" t="str">
        <f t="shared" ref="N23:N29" si="1">M23&amp;"
("&amp;ROUND(HLOOKUP(M23,$C$45:$I$46,2,0),2)&amp;" USD/MWh)"</f>
        <v>TINTAYA NUEVA 220
(9,33 USD/MWh)</v>
      </c>
    </row>
    <row r="24" spans="1:14" ht="11.25" customHeight="1">
      <c r="A24" s="220"/>
      <c r="B24" s="225" t="s">
        <v>479</v>
      </c>
      <c r="C24" s="222"/>
      <c r="D24" s="222"/>
      <c r="E24" s="222"/>
      <c r="F24" s="222"/>
      <c r="G24" s="220"/>
      <c r="H24" s="220"/>
      <c r="I24" s="220"/>
      <c r="J24" s="220"/>
      <c r="K24" s="220"/>
      <c r="L24" s="20"/>
      <c r="M24" s="597" t="s">
        <v>187</v>
      </c>
      <c r="N24" s="598" t="str">
        <f t="shared" si="1"/>
        <v>PUNO 138
(8,98 USD/MWh)</v>
      </c>
    </row>
    <row r="25" spans="1:14" ht="6.75" customHeight="1">
      <c r="A25" s="220"/>
      <c r="B25" s="222"/>
      <c r="C25" s="222"/>
      <c r="D25" s="222"/>
      <c r="E25" s="222"/>
      <c r="F25" s="222"/>
      <c r="G25" s="220"/>
      <c r="H25" s="220"/>
      <c r="I25" s="220"/>
      <c r="J25" s="220"/>
      <c r="K25" s="220"/>
      <c r="L25" s="20"/>
      <c r="M25" s="597" t="s">
        <v>188</v>
      </c>
      <c r="N25" s="598" t="str">
        <f t="shared" si="1"/>
        <v>SOCABAYA 220
(9,02 USD/MWh)</v>
      </c>
    </row>
    <row r="26" spans="1:14" ht="25.5" customHeight="1">
      <c r="A26" s="220"/>
      <c r="B26" s="751" t="s">
        <v>172</v>
      </c>
      <c r="C26" s="748" t="s">
        <v>182</v>
      </c>
      <c r="D26" s="748" t="s">
        <v>180</v>
      </c>
      <c r="E26" s="748" t="s">
        <v>179</v>
      </c>
      <c r="F26" s="748" t="s">
        <v>183</v>
      </c>
      <c r="G26" s="748" t="s">
        <v>181</v>
      </c>
      <c r="H26" s="748" t="s">
        <v>184</v>
      </c>
      <c r="I26" s="749" t="s">
        <v>185</v>
      </c>
      <c r="J26" s="226"/>
      <c r="K26" s="229"/>
      <c r="L26" s="29"/>
      <c r="M26" s="597" t="s">
        <v>189</v>
      </c>
      <c r="N26" s="598" t="str">
        <f t="shared" si="1"/>
        <v>MOQUEGUA 138
(8,99 USD/MWh)</v>
      </c>
    </row>
    <row r="27" spans="1:14" ht="18" customHeight="1">
      <c r="A27" s="220"/>
      <c r="B27" s="752" t="s">
        <v>178</v>
      </c>
      <c r="C27" s="352">
        <v>8.7189999999999994</v>
      </c>
      <c r="D27" s="352">
        <v>8.51</v>
      </c>
      <c r="E27" s="352">
        <v>8.5</v>
      </c>
      <c r="F27" s="352">
        <v>8.4860000000000007</v>
      </c>
      <c r="G27" s="352">
        <v>8.48</v>
      </c>
      <c r="H27" s="352">
        <v>8.3000000000000007</v>
      </c>
      <c r="I27" s="352">
        <v>8.19</v>
      </c>
      <c r="J27" s="228"/>
      <c r="K27" s="229"/>
      <c r="L27" s="29"/>
      <c r="M27" s="597" t="s">
        <v>190</v>
      </c>
      <c r="N27" s="598" t="str">
        <f t="shared" si="1"/>
        <v>DOLORESPATA 138
(8,74 USD/MWh)</v>
      </c>
    </row>
    <row r="28" spans="1:14" ht="19.5" customHeight="1">
      <c r="A28" s="220"/>
      <c r="B28" s="977" t="str">
        <f>"Cuadro N°12: Valor de los costos marginales medios registrados en las principales barras del área centro durante el mes de "&amp;'1. Resumen'!Q4</f>
        <v>Cuadro N°12: Valor de los costos marginales medios registrados en las principales barras del área centro durante el mes de diciembre</v>
      </c>
      <c r="C28" s="977"/>
      <c r="D28" s="977"/>
      <c r="E28" s="977"/>
      <c r="F28" s="977"/>
      <c r="G28" s="977"/>
      <c r="H28" s="977"/>
      <c r="I28" s="977"/>
      <c r="J28" s="229"/>
      <c r="K28" s="229"/>
      <c r="L28" s="29"/>
      <c r="M28" s="597" t="s">
        <v>191</v>
      </c>
      <c r="N28" s="598" t="str">
        <f t="shared" si="1"/>
        <v>COTARUSE 220
(8,67 USD/MWh)</v>
      </c>
    </row>
    <row r="29" spans="1:14" ht="11.25" customHeight="1">
      <c r="A29" s="220"/>
      <c r="B29" s="227"/>
      <c r="C29" s="227"/>
      <c r="D29" s="227"/>
      <c r="E29" s="227"/>
      <c r="F29" s="227"/>
      <c r="G29" s="227"/>
      <c r="H29" s="227"/>
      <c r="I29" s="227"/>
      <c r="J29" s="227"/>
      <c r="K29" s="227"/>
      <c r="L29" s="29"/>
      <c r="M29" s="597" t="s">
        <v>192</v>
      </c>
      <c r="N29" s="598" t="str">
        <f t="shared" si="1"/>
        <v>SAN GABAN 138
(8,03 USD/MWh)</v>
      </c>
    </row>
    <row r="30" spans="1:14" ht="11.25" customHeight="1">
      <c r="A30" s="220"/>
      <c r="B30" s="227"/>
      <c r="C30" s="227"/>
      <c r="D30" s="227"/>
      <c r="E30" s="227"/>
      <c r="F30" s="227"/>
      <c r="G30" s="227"/>
      <c r="H30" s="227"/>
      <c r="I30" s="227"/>
      <c r="J30" s="227"/>
      <c r="K30" s="227"/>
      <c r="L30" s="29"/>
      <c r="M30" s="597"/>
      <c r="N30" s="594"/>
    </row>
    <row r="31" spans="1:14" ht="11.25" customHeight="1">
      <c r="A31" s="220"/>
      <c r="B31" s="227"/>
      <c r="C31" s="227"/>
      <c r="D31" s="227"/>
      <c r="E31" s="227"/>
      <c r="F31" s="227"/>
      <c r="G31" s="227"/>
      <c r="H31" s="227"/>
      <c r="I31" s="227"/>
      <c r="J31" s="227"/>
      <c r="K31" s="227"/>
      <c r="L31" s="29"/>
      <c r="M31" s="597"/>
      <c r="N31" s="594"/>
    </row>
    <row r="32" spans="1:14" ht="11.25" customHeight="1">
      <c r="A32" s="220"/>
      <c r="B32" s="227"/>
      <c r="C32" s="227"/>
      <c r="D32" s="227"/>
      <c r="E32" s="227"/>
      <c r="F32" s="227"/>
      <c r="G32" s="227"/>
      <c r="H32" s="227"/>
      <c r="I32" s="227"/>
      <c r="J32" s="227"/>
      <c r="K32" s="227"/>
      <c r="L32" s="29"/>
      <c r="M32" s="597"/>
    </row>
    <row r="33" spans="1:12" ht="11.25" customHeight="1">
      <c r="A33" s="220"/>
      <c r="B33" s="227"/>
      <c r="C33" s="227"/>
      <c r="D33" s="227"/>
      <c r="E33" s="227"/>
      <c r="F33" s="227"/>
      <c r="G33" s="227"/>
      <c r="H33" s="227"/>
      <c r="I33" s="227"/>
      <c r="J33" s="227"/>
      <c r="K33" s="227"/>
      <c r="L33" s="29"/>
    </row>
    <row r="34" spans="1:12" ht="11.25" customHeight="1">
      <c r="A34" s="220"/>
      <c r="B34" s="227"/>
      <c r="C34" s="227"/>
      <c r="D34" s="227"/>
      <c r="E34" s="227"/>
      <c r="F34" s="227"/>
      <c r="G34" s="227"/>
      <c r="H34" s="227"/>
      <c r="I34" s="227"/>
      <c r="J34" s="227"/>
      <c r="K34" s="227"/>
      <c r="L34" s="29"/>
    </row>
    <row r="35" spans="1:12" ht="11.25" customHeight="1">
      <c r="A35" s="220"/>
      <c r="B35" s="227"/>
      <c r="C35" s="227"/>
      <c r="D35" s="227"/>
      <c r="E35" s="227"/>
      <c r="F35" s="227"/>
      <c r="G35" s="227"/>
      <c r="H35" s="227"/>
      <c r="I35" s="227"/>
      <c r="J35" s="227"/>
      <c r="K35" s="227"/>
      <c r="L35" s="48"/>
    </row>
    <row r="36" spans="1:12" ht="11.25" customHeight="1">
      <c r="A36" s="220"/>
      <c r="B36" s="227"/>
      <c r="C36" s="227"/>
      <c r="D36" s="227"/>
      <c r="E36" s="227"/>
      <c r="F36" s="227"/>
      <c r="G36" s="227"/>
      <c r="H36" s="227"/>
      <c r="I36" s="227"/>
      <c r="J36" s="227"/>
      <c r="K36" s="227"/>
      <c r="L36" s="29"/>
    </row>
    <row r="37" spans="1:12" ht="11.25" customHeight="1">
      <c r="A37" s="220"/>
      <c r="B37" s="227"/>
      <c r="C37" s="227"/>
      <c r="D37" s="227"/>
      <c r="E37" s="227"/>
      <c r="F37" s="227"/>
      <c r="G37" s="227"/>
      <c r="H37" s="227"/>
      <c r="I37" s="227"/>
      <c r="J37" s="227"/>
      <c r="K37" s="227"/>
      <c r="L37" s="29"/>
    </row>
    <row r="38" spans="1:12" ht="11.25" customHeight="1">
      <c r="A38" s="220"/>
      <c r="B38" s="227"/>
      <c r="C38" s="227"/>
      <c r="D38" s="227"/>
      <c r="E38" s="227"/>
      <c r="F38" s="227"/>
      <c r="G38" s="227"/>
      <c r="H38" s="227"/>
      <c r="I38" s="227"/>
      <c r="J38" s="227"/>
      <c r="K38" s="227"/>
      <c r="L38" s="29"/>
    </row>
    <row r="39" spans="1:12" ht="11.25" customHeight="1">
      <c r="A39" s="220"/>
      <c r="B39" s="227"/>
      <c r="C39" s="227"/>
      <c r="D39" s="227"/>
      <c r="E39" s="227"/>
      <c r="F39" s="227"/>
      <c r="G39" s="227"/>
      <c r="H39" s="227"/>
      <c r="I39" s="227"/>
      <c r="J39" s="227"/>
      <c r="K39" s="227"/>
      <c r="L39" s="29"/>
    </row>
    <row r="40" spans="1:12" ht="13.5" customHeight="1">
      <c r="A40" s="220"/>
      <c r="B40" s="975" t="str">
        <f>"Gráfico N°21: Costos marginales medios registrados en las principales barras del área centro durante el mes de "&amp;'1. Resumen'!Q4</f>
        <v>Gráfico N°21: Costos marginales medios registrados en las principales barras del área centro durante el mes de diciembre</v>
      </c>
      <c r="C40" s="975"/>
      <c r="D40" s="975"/>
      <c r="E40" s="975"/>
      <c r="F40" s="975"/>
      <c r="G40" s="975"/>
      <c r="H40" s="975"/>
      <c r="I40" s="975"/>
      <c r="J40" s="227"/>
      <c r="K40" s="227"/>
      <c r="L40" s="29"/>
    </row>
    <row r="41" spans="1:12" ht="6.75" customHeight="1">
      <c r="A41" s="220"/>
      <c r="B41" s="227"/>
      <c r="C41" s="227"/>
      <c r="D41" s="227"/>
      <c r="E41" s="227"/>
      <c r="F41" s="227"/>
      <c r="G41" s="227"/>
      <c r="H41" s="227"/>
      <c r="I41" s="227"/>
      <c r="J41" s="227"/>
      <c r="K41" s="227"/>
      <c r="L41" s="29"/>
    </row>
    <row r="42" spans="1:12" ht="8.25" customHeight="1">
      <c r="A42" s="220"/>
      <c r="B42" s="222"/>
      <c r="C42" s="222"/>
      <c r="D42" s="222"/>
      <c r="E42" s="222"/>
      <c r="F42" s="222"/>
      <c r="G42" s="222"/>
      <c r="H42" s="222"/>
      <c r="I42" s="222"/>
      <c r="J42" s="222"/>
      <c r="K42" s="222"/>
      <c r="L42" s="15"/>
    </row>
    <row r="43" spans="1:12" ht="11.25" customHeight="1">
      <c r="A43" s="220"/>
      <c r="B43" s="225" t="s">
        <v>480</v>
      </c>
      <c r="C43" s="222"/>
      <c r="D43" s="222"/>
      <c r="E43" s="222"/>
      <c r="F43" s="222"/>
      <c r="G43" s="222"/>
      <c r="H43" s="222"/>
      <c r="I43" s="222"/>
      <c r="J43" s="222"/>
      <c r="K43" s="222"/>
      <c r="L43" s="14"/>
    </row>
    <row r="44" spans="1:12" ht="6.75" customHeight="1">
      <c r="A44" s="220"/>
      <c r="B44" s="222"/>
      <c r="C44" s="222"/>
      <c r="D44" s="222"/>
      <c r="E44" s="222"/>
      <c r="F44" s="222"/>
      <c r="G44" s="222"/>
      <c r="H44" s="222"/>
      <c r="I44" s="222"/>
      <c r="J44" s="222"/>
      <c r="K44" s="222"/>
      <c r="L44" s="14"/>
    </row>
    <row r="45" spans="1:12" ht="27" customHeight="1">
      <c r="A45" s="220"/>
      <c r="B45" s="751" t="s">
        <v>172</v>
      </c>
      <c r="C45" s="748" t="s">
        <v>186</v>
      </c>
      <c r="D45" s="748" t="s">
        <v>188</v>
      </c>
      <c r="E45" s="748" t="s">
        <v>189</v>
      </c>
      <c r="F45" s="748" t="s">
        <v>187</v>
      </c>
      <c r="G45" s="748" t="s">
        <v>190</v>
      </c>
      <c r="H45" s="748" t="s">
        <v>191</v>
      </c>
      <c r="I45" s="749" t="s">
        <v>192</v>
      </c>
      <c r="J45" s="226"/>
      <c r="K45" s="227"/>
    </row>
    <row r="46" spans="1:12" ht="18.75" customHeight="1">
      <c r="A46" s="220"/>
      <c r="B46" s="752" t="s">
        <v>178</v>
      </c>
      <c r="C46" s="352">
        <v>9.33</v>
      </c>
      <c r="D46" s="352">
        <v>9.0169999999999995</v>
      </c>
      <c r="E46" s="352">
        <v>8.99</v>
      </c>
      <c r="F46" s="352">
        <v>8.98</v>
      </c>
      <c r="G46" s="352">
        <v>8.74</v>
      </c>
      <c r="H46" s="352">
        <v>8.67</v>
      </c>
      <c r="I46" s="352">
        <v>8.0299999999999994</v>
      </c>
      <c r="J46" s="228"/>
      <c r="K46" s="227"/>
    </row>
    <row r="47" spans="1:12" ht="18" customHeight="1">
      <c r="A47" s="220"/>
      <c r="B47" s="977" t="str">
        <f>"Cuadro N°13: Valor de los costos marginales medios registrados en las principales barras del área sur durante el mes de "&amp;'1. Resumen'!Q4</f>
        <v>Cuadro N°13: Valor de los costos marginales medios registrados en las principales barras del área sur durante el mes de diciembre</v>
      </c>
      <c r="C47" s="977"/>
      <c r="D47" s="977"/>
      <c r="E47" s="977"/>
      <c r="F47" s="977"/>
      <c r="G47" s="977"/>
      <c r="H47" s="977"/>
      <c r="I47" s="977"/>
      <c r="J47" s="228"/>
      <c r="K47" s="227"/>
    </row>
    <row r="48" spans="1:12" ht="12.75">
      <c r="A48" s="220"/>
      <c r="B48" s="227"/>
      <c r="C48" s="227"/>
      <c r="D48" s="227"/>
      <c r="E48" s="227"/>
      <c r="F48" s="227"/>
      <c r="G48" s="229"/>
      <c r="H48" s="229"/>
      <c r="I48" s="229"/>
      <c r="J48" s="229"/>
      <c r="K48" s="227"/>
    </row>
    <row r="49" spans="1:11" ht="12.75">
      <c r="A49" s="220"/>
      <c r="B49" s="229"/>
      <c r="C49" s="229"/>
      <c r="D49" s="229"/>
      <c r="E49" s="229"/>
      <c r="F49" s="229"/>
      <c r="G49" s="229"/>
      <c r="H49" s="229"/>
      <c r="I49" s="229"/>
      <c r="J49" s="229"/>
      <c r="K49" s="227"/>
    </row>
    <row r="50" spans="1:11" ht="12.75">
      <c r="A50" s="220"/>
      <c r="B50" s="132"/>
      <c r="C50" s="132"/>
      <c r="D50" s="132"/>
      <c r="E50" s="132"/>
      <c r="F50" s="132"/>
      <c r="G50" s="132"/>
      <c r="H50" s="132"/>
      <c r="I50" s="132"/>
      <c r="J50" s="132"/>
      <c r="K50" s="227"/>
    </row>
    <row r="51" spans="1:11" ht="12.75">
      <c r="A51" s="220"/>
      <c r="B51" s="132"/>
      <c r="C51" s="132"/>
      <c r="D51" s="132"/>
      <c r="E51" s="132"/>
      <c r="F51" s="132"/>
      <c r="G51" s="132"/>
      <c r="H51" s="132"/>
      <c r="I51" s="132"/>
      <c r="J51" s="132"/>
      <c r="K51" s="227"/>
    </row>
    <row r="52" spans="1:11" ht="12.75">
      <c r="A52" s="220"/>
      <c r="B52" s="132"/>
      <c r="C52" s="132"/>
      <c r="D52" s="132"/>
      <c r="E52" s="132"/>
      <c r="F52" s="132"/>
      <c r="G52" s="132"/>
      <c r="H52" s="132"/>
      <c r="I52" s="132"/>
      <c r="J52" s="132"/>
      <c r="K52" s="227"/>
    </row>
    <row r="53" spans="1:11" ht="12.75">
      <c r="A53" s="220"/>
      <c r="B53" s="132"/>
      <c r="C53" s="132"/>
      <c r="D53" s="132"/>
      <c r="E53" s="132"/>
      <c r="F53" s="132"/>
      <c r="G53" s="132"/>
      <c r="H53" s="132"/>
      <c r="I53" s="132"/>
      <c r="J53" s="132"/>
      <c r="K53" s="227"/>
    </row>
    <row r="54" spans="1:11" ht="12.75">
      <c r="A54" s="220"/>
      <c r="B54" s="132"/>
      <c r="C54" s="132"/>
      <c r="D54" s="132"/>
      <c r="E54" s="132"/>
      <c r="F54" s="132"/>
      <c r="G54" s="132"/>
      <c r="H54" s="132"/>
      <c r="I54" s="132"/>
      <c r="J54" s="132"/>
      <c r="K54" s="227"/>
    </row>
    <row r="55" spans="1:11" ht="12.75">
      <c r="A55" s="220"/>
      <c r="B55" s="132"/>
      <c r="C55" s="132"/>
      <c r="D55" s="132"/>
      <c r="E55" s="132"/>
      <c r="F55" s="132"/>
      <c r="G55" s="132"/>
      <c r="H55" s="132"/>
      <c r="I55" s="132"/>
      <c r="J55" s="132"/>
      <c r="K55" s="227"/>
    </row>
    <row r="56" spans="1:11" ht="12.75">
      <c r="A56" s="220"/>
      <c r="B56" s="229"/>
      <c r="C56" s="229"/>
      <c r="D56" s="229"/>
      <c r="E56" s="229"/>
      <c r="F56" s="229"/>
      <c r="G56" s="229"/>
      <c r="H56" s="229"/>
      <c r="I56" s="229"/>
      <c r="J56" s="229"/>
      <c r="K56" s="227"/>
    </row>
    <row r="57" spans="1:11" ht="12.75">
      <c r="A57" s="220"/>
      <c r="B57" s="229"/>
      <c r="C57" s="229"/>
      <c r="D57" s="229"/>
      <c r="E57" s="229"/>
      <c r="F57" s="229"/>
      <c r="G57" s="229"/>
      <c r="H57" s="229"/>
      <c r="I57" s="229"/>
      <c r="J57" s="229"/>
      <c r="K57" s="227"/>
    </row>
    <row r="58" spans="1:11" ht="12.75">
      <c r="A58" s="220"/>
      <c r="B58" s="975" t="str">
        <f>"Gráfico N°22: Costos marginales medios registrados en las principales barras del área sur durante el mes de "&amp;'1. Resumen'!Q4</f>
        <v>Gráfico N°22: Costos marginales medios registrados en las principales barras del área sur durante el mes de diciembre</v>
      </c>
      <c r="C58" s="975"/>
      <c r="D58" s="975"/>
      <c r="E58" s="975"/>
      <c r="F58" s="975"/>
      <c r="G58" s="975"/>
      <c r="H58" s="975"/>
      <c r="I58" s="975"/>
      <c r="J58" s="229"/>
      <c r="K58" s="227"/>
    </row>
    <row r="59" spans="1:11" ht="12.75">
      <c r="A59" s="92"/>
      <c r="B59" s="157"/>
      <c r="C59" s="157"/>
      <c r="D59" s="157"/>
      <c r="E59" s="157"/>
      <c r="F59" s="157"/>
      <c r="G59" s="157"/>
      <c r="H59" s="229"/>
      <c r="I59" s="229"/>
      <c r="J59" s="229"/>
      <c r="K59" s="227"/>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D4" sqref="D4"/>
    </sheetView>
  </sheetViews>
  <sheetFormatPr defaultColWidth="9.33203125"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38" t="s">
        <v>482</v>
      </c>
      <c r="B2" s="938"/>
      <c r="C2" s="938"/>
      <c r="D2" s="938"/>
      <c r="E2" s="938"/>
      <c r="F2" s="938"/>
      <c r="G2" s="938"/>
      <c r="H2" s="938"/>
      <c r="I2" s="938"/>
      <c r="J2" s="938"/>
      <c r="K2" s="938"/>
      <c r="L2" s="938"/>
    </row>
    <row r="3" spans="1:12" ht="11.25" customHeight="1">
      <c r="A3" s="220"/>
      <c r="B3" s="220"/>
      <c r="C3" s="220"/>
      <c r="D3" s="220"/>
      <c r="E3" s="220"/>
      <c r="F3" s="220"/>
      <c r="G3" s="220"/>
      <c r="H3" s="220"/>
      <c r="I3" s="220"/>
      <c r="J3" s="220"/>
      <c r="K3" s="220"/>
      <c r="L3" s="231"/>
    </row>
    <row r="4" spans="1:12" ht="11.25" customHeight="1">
      <c r="A4" s="220"/>
      <c r="B4" s="220"/>
      <c r="C4" s="220"/>
      <c r="D4" s="220"/>
      <c r="E4" s="220"/>
      <c r="F4" s="220"/>
      <c r="G4" s="220"/>
      <c r="H4" s="220"/>
      <c r="I4" s="220"/>
      <c r="J4" s="220"/>
      <c r="K4" s="220"/>
      <c r="L4" s="84"/>
    </row>
    <row r="5" spans="1:12" ht="11.25" customHeight="1">
      <c r="A5" s="220"/>
      <c r="B5" s="220"/>
      <c r="C5" s="220"/>
      <c r="D5" s="220"/>
      <c r="E5" s="220"/>
      <c r="F5" s="220"/>
      <c r="G5" s="220"/>
      <c r="H5" s="220"/>
      <c r="I5" s="220"/>
      <c r="J5" s="220"/>
      <c r="K5" s="220"/>
      <c r="L5" s="84"/>
    </row>
    <row r="6" spans="1:12" ht="11.25" customHeight="1">
      <c r="A6" s="220"/>
      <c r="B6" s="220"/>
      <c r="C6" s="220"/>
      <c r="D6" s="220"/>
      <c r="E6" s="220"/>
      <c r="F6" s="220"/>
      <c r="G6" s="220"/>
      <c r="H6" s="220"/>
      <c r="I6" s="220"/>
      <c r="J6" s="220"/>
      <c r="K6" s="220"/>
      <c r="L6" s="84"/>
    </row>
    <row r="7" spans="1:12" ht="11.25" customHeight="1">
      <c r="A7" s="220"/>
      <c r="B7" s="221"/>
      <c r="C7" s="220"/>
      <c r="D7" s="220"/>
      <c r="E7" s="220"/>
      <c r="F7" s="220"/>
      <c r="G7" s="220"/>
      <c r="H7" s="220"/>
      <c r="I7" s="220"/>
      <c r="J7" s="220"/>
      <c r="K7" s="220"/>
      <c r="L7" s="84"/>
    </row>
    <row r="8" spans="1:12" ht="11.25" customHeight="1">
      <c r="A8" s="220"/>
      <c r="B8" s="221"/>
      <c r="C8" s="220"/>
      <c r="D8" s="220"/>
      <c r="E8" s="220"/>
      <c r="F8" s="220"/>
      <c r="G8" s="220"/>
      <c r="H8" s="220"/>
      <c r="I8" s="220"/>
      <c r="J8" s="220"/>
      <c r="K8" s="220"/>
      <c r="L8" s="84"/>
    </row>
    <row r="9" spans="1:12" ht="11.25" customHeight="1">
      <c r="A9" s="220"/>
      <c r="B9" s="221"/>
      <c r="C9" s="220"/>
      <c r="D9" s="220"/>
      <c r="E9" s="220"/>
      <c r="F9" s="220"/>
      <c r="G9" s="220"/>
      <c r="H9" s="220"/>
      <c r="I9" s="220"/>
      <c r="J9" s="220"/>
      <c r="K9" s="220"/>
      <c r="L9" s="84"/>
    </row>
    <row r="10" spans="1:12" ht="11.25" customHeight="1">
      <c r="A10" s="220"/>
      <c r="B10" s="220"/>
      <c r="C10" s="220"/>
      <c r="D10" s="220"/>
      <c r="E10" s="220"/>
      <c r="F10" s="220"/>
      <c r="G10" s="220"/>
      <c r="H10" s="220"/>
      <c r="I10" s="220"/>
      <c r="J10" s="220"/>
      <c r="K10" s="220"/>
      <c r="L10" s="84"/>
    </row>
    <row r="11" spans="1:12" ht="11.25" customHeight="1">
      <c r="A11" s="220"/>
      <c r="B11" s="220"/>
      <c r="C11" s="220"/>
      <c r="D11" s="220"/>
      <c r="E11" s="220"/>
      <c r="F11" s="220"/>
      <c r="G11" s="220"/>
      <c r="H11" s="220"/>
      <c r="I11" s="220"/>
      <c r="J11" s="220"/>
      <c r="K11" s="220"/>
      <c r="L11" s="84"/>
    </row>
    <row r="12" spans="1:12" ht="11.25" customHeight="1">
      <c r="A12" s="220"/>
      <c r="B12" s="220"/>
      <c r="C12" s="220"/>
      <c r="D12" s="220"/>
      <c r="E12" s="220"/>
      <c r="F12" s="220"/>
      <c r="G12" s="220"/>
      <c r="H12" s="220"/>
      <c r="I12" s="220"/>
      <c r="J12" s="220"/>
      <c r="K12" s="220"/>
      <c r="L12" s="84"/>
    </row>
    <row r="13" spans="1:12" ht="11.25" customHeight="1">
      <c r="A13" s="220"/>
      <c r="B13" s="220"/>
      <c r="C13" s="220"/>
      <c r="D13" s="220"/>
      <c r="E13" s="220"/>
      <c r="F13" s="220"/>
      <c r="G13" s="220"/>
      <c r="H13" s="220"/>
      <c r="I13" s="220"/>
      <c r="J13" s="220"/>
      <c r="K13" s="220"/>
      <c r="L13" s="84"/>
    </row>
    <row r="14" spans="1:12" ht="11.25" customHeight="1">
      <c r="A14" s="220"/>
      <c r="B14" s="220"/>
      <c r="C14" s="220"/>
      <c r="D14" s="220"/>
      <c r="E14" s="220"/>
      <c r="F14" s="220"/>
      <c r="G14" s="220"/>
      <c r="H14" s="220"/>
      <c r="I14" s="220"/>
      <c r="J14" s="220"/>
      <c r="K14" s="220"/>
      <c r="L14" s="84"/>
    </row>
    <row r="15" spans="1:12" ht="11.25" customHeight="1">
      <c r="A15" s="220"/>
      <c r="B15" s="220"/>
      <c r="C15" s="220"/>
      <c r="D15" s="220"/>
      <c r="E15" s="220"/>
      <c r="F15" s="220"/>
      <c r="G15" s="220"/>
      <c r="H15" s="220"/>
      <c r="I15" s="220"/>
      <c r="J15" s="220"/>
      <c r="K15" s="220"/>
      <c r="L15" s="84"/>
    </row>
    <row r="16" spans="1:12" ht="11.25" customHeight="1">
      <c r="A16" s="220"/>
      <c r="B16" s="220"/>
      <c r="C16" s="220"/>
      <c r="D16" s="220"/>
      <c r="E16" s="220"/>
      <c r="F16" s="220"/>
      <c r="G16" s="220"/>
      <c r="H16" s="220"/>
      <c r="I16" s="220"/>
      <c r="J16" s="220"/>
      <c r="K16" s="220"/>
      <c r="L16" s="84"/>
    </row>
    <row r="17" spans="1:12" ht="11.25" customHeight="1">
      <c r="A17" s="220"/>
      <c r="B17" s="220"/>
      <c r="C17" s="220"/>
      <c r="D17" s="220"/>
      <c r="E17" s="220"/>
      <c r="F17" s="220"/>
      <c r="G17" s="220"/>
      <c r="H17" s="220"/>
      <c r="I17" s="220"/>
      <c r="J17" s="220"/>
      <c r="K17" s="220"/>
      <c r="L17" s="84"/>
    </row>
    <row r="18" spans="1:12" ht="11.25" customHeight="1">
      <c r="A18" s="220"/>
      <c r="B18" s="220"/>
      <c r="C18" s="220"/>
      <c r="D18" s="220"/>
      <c r="E18" s="220"/>
      <c r="F18" s="220"/>
      <c r="G18" s="220"/>
      <c r="H18" s="220"/>
      <c r="I18" s="220"/>
      <c r="J18" s="220"/>
      <c r="K18" s="220"/>
      <c r="L18" s="231"/>
    </row>
    <row r="19" spans="1:12" ht="11.25" customHeight="1">
      <c r="A19" s="220"/>
      <c r="B19" s="220"/>
      <c r="C19" s="220"/>
      <c r="D19" s="220"/>
      <c r="E19" s="220"/>
      <c r="F19" s="220"/>
      <c r="G19" s="220"/>
      <c r="H19" s="220"/>
      <c r="I19" s="220"/>
      <c r="J19" s="220"/>
      <c r="K19" s="220"/>
      <c r="L19" s="231"/>
    </row>
    <row r="20" spans="1:12" ht="11.25" customHeight="1">
      <c r="A20" s="220"/>
      <c r="B20" s="220"/>
      <c r="C20" s="220"/>
      <c r="D20" s="220"/>
      <c r="E20" s="220"/>
      <c r="F20" s="220"/>
      <c r="G20" s="220"/>
      <c r="H20" s="220"/>
      <c r="I20" s="220"/>
      <c r="J20" s="220"/>
      <c r="K20" s="220"/>
      <c r="L20" s="231"/>
    </row>
    <row r="21" spans="1:12" ht="11.25" customHeight="1">
      <c r="A21" s="220"/>
      <c r="B21" s="220"/>
      <c r="C21" s="220"/>
      <c r="D21" s="220"/>
      <c r="E21" s="220"/>
      <c r="F21" s="220"/>
      <c r="G21" s="220"/>
      <c r="H21" s="220"/>
      <c r="I21" s="220"/>
      <c r="J21" s="220"/>
      <c r="K21" s="220"/>
      <c r="L21" s="231"/>
    </row>
    <row r="22" spans="1:12" ht="11.25" customHeight="1">
      <c r="A22" s="220"/>
      <c r="B22" s="220"/>
      <c r="C22" s="220"/>
      <c r="D22" s="220"/>
      <c r="E22" s="220"/>
      <c r="F22" s="220"/>
      <c r="G22" s="220"/>
      <c r="H22" s="220"/>
      <c r="I22" s="220"/>
      <c r="J22" s="220"/>
      <c r="K22" s="220"/>
      <c r="L22" s="231"/>
    </row>
    <row r="23" spans="1:12" ht="11.25" customHeight="1">
      <c r="A23" s="220"/>
      <c r="B23" s="220"/>
      <c r="C23" s="220"/>
      <c r="D23" s="220"/>
      <c r="E23" s="220"/>
      <c r="F23" s="220"/>
      <c r="G23" s="220"/>
      <c r="H23" s="220"/>
      <c r="I23" s="220"/>
      <c r="J23" s="220"/>
      <c r="K23" s="220"/>
      <c r="L23" s="231"/>
    </row>
    <row r="24" spans="1:12" ht="11.25" customHeight="1">
      <c r="A24" s="220"/>
      <c r="B24" s="220"/>
      <c r="C24" s="220"/>
      <c r="D24" s="220"/>
      <c r="E24" s="220"/>
      <c r="F24" s="220"/>
      <c r="G24" s="220"/>
      <c r="H24" s="220"/>
      <c r="I24" s="220"/>
      <c r="J24" s="220"/>
      <c r="K24" s="220"/>
      <c r="L24" s="231"/>
    </row>
    <row r="25" spans="1:12" ht="11.25" customHeight="1">
      <c r="A25" s="220"/>
      <c r="B25" s="220"/>
      <c r="C25" s="220"/>
      <c r="D25" s="220"/>
      <c r="E25" s="220"/>
      <c r="F25" s="220"/>
      <c r="G25" s="220"/>
      <c r="H25" s="220"/>
      <c r="I25" s="220"/>
      <c r="J25" s="220"/>
      <c r="K25" s="220"/>
      <c r="L25" s="231"/>
    </row>
    <row r="26" spans="1:12" ht="11.25" customHeight="1">
      <c r="A26" s="220"/>
      <c r="B26" s="220"/>
      <c r="C26" s="220"/>
      <c r="D26" s="220"/>
      <c r="E26" s="220"/>
      <c r="F26" s="220"/>
      <c r="G26" s="220"/>
      <c r="H26" s="220"/>
      <c r="I26" s="220"/>
      <c r="J26" s="220"/>
      <c r="K26" s="220"/>
      <c r="L26" s="231"/>
    </row>
    <row r="27" spans="1:12" ht="11.25" customHeight="1">
      <c r="A27" s="220"/>
      <c r="B27" s="220"/>
      <c r="C27" s="220"/>
      <c r="D27" s="220"/>
      <c r="E27" s="220"/>
      <c r="F27" s="220"/>
      <c r="G27" s="220"/>
      <c r="H27" s="220"/>
      <c r="I27" s="220"/>
      <c r="J27" s="220"/>
      <c r="K27" s="220"/>
      <c r="L27" s="231"/>
    </row>
    <row r="28" spans="1:12" ht="11.25" customHeight="1">
      <c r="A28" s="220"/>
      <c r="B28" s="220"/>
      <c r="C28" s="220"/>
      <c r="D28" s="220"/>
      <c r="E28" s="220"/>
      <c r="F28" s="220"/>
      <c r="G28" s="220"/>
      <c r="H28" s="220"/>
      <c r="I28" s="220"/>
      <c r="J28" s="220"/>
      <c r="K28" s="220"/>
      <c r="L28" s="231"/>
    </row>
    <row r="29" spans="1:12" ht="11.25" customHeight="1">
      <c r="A29" s="220"/>
      <c r="B29" s="220"/>
      <c r="C29" s="220"/>
      <c r="D29" s="220"/>
      <c r="E29" s="220"/>
      <c r="F29" s="220"/>
      <c r="G29" s="220"/>
      <c r="H29" s="220"/>
      <c r="I29" s="220"/>
      <c r="J29" s="220"/>
      <c r="K29" s="220"/>
      <c r="L29" s="231"/>
    </row>
    <row r="30" spans="1:12" ht="11.25" customHeight="1">
      <c r="A30" s="220"/>
      <c r="B30" s="220"/>
      <c r="C30" s="220"/>
      <c r="D30" s="220"/>
      <c r="E30" s="220"/>
      <c r="F30" s="220"/>
      <c r="G30" s="220"/>
      <c r="H30" s="220"/>
      <c r="I30" s="220"/>
      <c r="J30" s="220"/>
      <c r="K30" s="220"/>
      <c r="L30" s="231"/>
    </row>
    <row r="31" spans="1:12" ht="11.25" customHeight="1">
      <c r="A31" s="220"/>
      <c r="B31" s="220"/>
      <c r="C31" s="220"/>
      <c r="D31" s="220"/>
      <c r="E31" s="220"/>
      <c r="F31" s="220"/>
      <c r="G31" s="220"/>
      <c r="H31" s="220"/>
      <c r="I31" s="220"/>
      <c r="J31" s="220"/>
      <c r="K31" s="220"/>
      <c r="L31" s="231"/>
    </row>
    <row r="32" spans="1:12" ht="11.25" customHeight="1">
      <c r="A32" s="220"/>
      <c r="B32" s="220"/>
      <c r="C32" s="220"/>
      <c r="D32" s="220"/>
      <c r="E32" s="220"/>
      <c r="F32" s="220"/>
      <c r="G32" s="220"/>
      <c r="H32" s="220"/>
      <c r="I32" s="220"/>
      <c r="J32" s="220"/>
      <c r="K32" s="220"/>
      <c r="L32" s="91"/>
    </row>
    <row r="33" spans="1:12" ht="11.25" customHeight="1">
      <c r="A33" s="220"/>
      <c r="B33" s="220"/>
      <c r="C33" s="220"/>
      <c r="D33" s="220"/>
      <c r="E33" s="220"/>
      <c r="F33" s="220"/>
      <c r="G33" s="220"/>
      <c r="H33" s="220"/>
      <c r="I33" s="220"/>
      <c r="J33" s="220"/>
      <c r="K33" s="220"/>
      <c r="L33" s="91"/>
    </row>
    <row r="34" spans="1:12" ht="11.25" customHeight="1">
      <c r="A34" s="220"/>
      <c r="B34" s="220"/>
      <c r="C34" s="220"/>
      <c r="D34" s="220"/>
      <c r="E34" s="220"/>
      <c r="F34" s="220"/>
      <c r="G34" s="220"/>
      <c r="H34" s="220"/>
      <c r="I34" s="220"/>
      <c r="J34" s="220"/>
      <c r="K34" s="220"/>
      <c r="L34" s="91"/>
    </row>
    <row r="35" spans="1:12" ht="11.25" customHeight="1">
      <c r="A35" s="220"/>
      <c r="B35" s="220"/>
      <c r="C35" s="220"/>
      <c r="D35" s="220"/>
      <c r="E35" s="220"/>
      <c r="F35" s="220"/>
      <c r="G35" s="220"/>
      <c r="H35" s="220"/>
      <c r="I35" s="220"/>
      <c r="J35" s="220"/>
      <c r="K35" s="220"/>
      <c r="L35" s="91"/>
    </row>
    <row r="36" spans="1:12" ht="11.25" customHeight="1">
      <c r="A36" s="220"/>
      <c r="B36" s="220"/>
      <c r="C36" s="220"/>
      <c r="D36" s="220"/>
      <c r="E36" s="220"/>
      <c r="F36" s="220"/>
      <c r="G36" s="220"/>
      <c r="H36" s="220"/>
      <c r="I36" s="220"/>
      <c r="J36" s="220"/>
      <c r="K36" s="220"/>
      <c r="L36" s="91"/>
    </row>
    <row r="37" spans="1:12" ht="11.25" customHeight="1">
      <c r="A37" s="220"/>
      <c r="B37" s="220"/>
      <c r="C37" s="220"/>
      <c r="D37" s="220"/>
      <c r="E37" s="220"/>
      <c r="F37" s="220"/>
      <c r="G37" s="220"/>
      <c r="H37" s="220"/>
      <c r="I37" s="220"/>
      <c r="J37" s="220"/>
      <c r="K37" s="220"/>
      <c r="L37" s="91"/>
    </row>
    <row r="38" spans="1:12" ht="11.25" customHeight="1">
      <c r="A38" s="220"/>
      <c r="B38" s="220"/>
      <c r="C38" s="220"/>
      <c r="D38" s="220"/>
      <c r="E38" s="220"/>
      <c r="F38" s="220"/>
      <c r="G38" s="220"/>
      <c r="H38" s="220"/>
      <c r="I38" s="220"/>
      <c r="J38" s="220"/>
      <c r="K38" s="220"/>
      <c r="L38" s="91"/>
    </row>
    <row r="39" spans="1:12" ht="11.25" customHeight="1">
      <c r="A39" s="220"/>
      <c r="B39" s="220"/>
      <c r="C39" s="220"/>
      <c r="D39" s="220"/>
      <c r="E39" s="220"/>
      <c r="F39" s="220"/>
      <c r="G39" s="220"/>
      <c r="H39" s="220"/>
      <c r="I39" s="220"/>
      <c r="J39" s="220"/>
      <c r="K39" s="220"/>
      <c r="L39" s="91"/>
    </row>
    <row r="40" spans="1:12" ht="11.25" customHeight="1">
      <c r="A40" s="220"/>
      <c r="B40" s="220"/>
      <c r="C40" s="220"/>
      <c r="D40" s="220"/>
      <c r="E40" s="220"/>
      <c r="F40" s="220"/>
      <c r="G40" s="220"/>
      <c r="H40" s="220"/>
      <c r="I40" s="220"/>
      <c r="J40" s="220"/>
      <c r="K40" s="220"/>
      <c r="L40" s="91"/>
    </row>
    <row r="41" spans="1:12" ht="11.25" customHeight="1">
      <c r="A41" s="220"/>
      <c r="B41" s="220"/>
      <c r="C41" s="220"/>
      <c r="D41" s="220"/>
      <c r="E41" s="220"/>
      <c r="F41" s="220"/>
      <c r="G41" s="220"/>
      <c r="H41" s="220"/>
      <c r="I41" s="220"/>
      <c r="J41" s="220"/>
      <c r="K41" s="220"/>
      <c r="L41" s="91"/>
    </row>
    <row r="42" spans="1:12" ht="11.25" customHeight="1">
      <c r="A42" s="220"/>
      <c r="B42" s="220"/>
      <c r="C42" s="220"/>
      <c r="D42" s="220"/>
      <c r="E42" s="220"/>
      <c r="F42" s="220"/>
      <c r="G42" s="220"/>
      <c r="H42" s="220"/>
      <c r="I42" s="220"/>
      <c r="J42" s="220"/>
      <c r="K42" s="220"/>
      <c r="L42" s="91"/>
    </row>
    <row r="43" spans="1:12" ht="11.25" customHeight="1">
      <c r="A43" s="220"/>
      <c r="B43" s="220"/>
      <c r="C43" s="220"/>
      <c r="D43" s="220"/>
      <c r="E43" s="220"/>
      <c r="F43" s="220"/>
      <c r="G43" s="220"/>
      <c r="H43" s="220"/>
      <c r="I43" s="220"/>
      <c r="J43" s="220"/>
      <c r="K43" s="220"/>
      <c r="L43" s="91"/>
    </row>
    <row r="44" spans="1:12" ht="11.25" customHeight="1">
      <c r="A44" s="92"/>
      <c r="B44" s="92"/>
      <c r="C44" s="92"/>
      <c r="D44" s="92"/>
      <c r="E44" s="92"/>
      <c r="F44" s="92"/>
      <c r="G44" s="92"/>
      <c r="H44" s="92"/>
      <c r="I44" s="92"/>
      <c r="J44" s="92"/>
      <c r="K44" s="220"/>
      <c r="L44" s="91"/>
    </row>
    <row r="45" spans="1:12" ht="11.25" customHeight="1">
      <c r="A45" s="92"/>
      <c r="B45" s="92"/>
      <c r="C45" s="92"/>
      <c r="D45" s="92"/>
      <c r="E45" s="92"/>
      <c r="F45" s="92"/>
      <c r="G45" s="92"/>
      <c r="H45" s="92"/>
      <c r="I45" s="92"/>
      <c r="J45" s="92"/>
      <c r="K45" s="220"/>
      <c r="L45" s="91"/>
    </row>
    <row r="46" spans="1:12" ht="11.25" customHeight="1">
      <c r="A46" s="92"/>
      <c r="B46" s="92"/>
      <c r="C46" s="92"/>
      <c r="D46" s="92"/>
      <c r="E46" s="92"/>
      <c r="F46" s="92"/>
      <c r="G46" s="92"/>
      <c r="H46" s="92"/>
      <c r="I46" s="92"/>
      <c r="J46" s="92"/>
      <c r="K46" s="220"/>
      <c r="L46" s="91"/>
    </row>
    <row r="47" spans="1:12" ht="11.25" customHeight="1">
      <c r="A47" s="92"/>
      <c r="B47" s="92"/>
      <c r="C47" s="92"/>
      <c r="D47" s="92"/>
      <c r="E47" s="92"/>
      <c r="F47" s="92"/>
      <c r="G47" s="92"/>
      <c r="H47" s="92"/>
      <c r="I47" s="92"/>
      <c r="J47" s="92"/>
      <c r="K47" s="220"/>
      <c r="L47" s="91"/>
    </row>
    <row r="48" spans="1:12" ht="11.25" customHeight="1">
      <c r="A48" s="92"/>
      <c r="B48" s="92"/>
      <c r="C48" s="92"/>
      <c r="D48" s="92"/>
      <c r="E48" s="92"/>
      <c r="F48" s="92"/>
      <c r="G48" s="92"/>
      <c r="H48" s="92"/>
      <c r="I48" s="92"/>
      <c r="J48" s="92"/>
      <c r="K48" s="220"/>
      <c r="L48" s="91"/>
    </row>
    <row r="49" spans="1:12" ht="11.25" customHeight="1">
      <c r="A49" s="92"/>
      <c r="B49" s="92"/>
      <c r="C49" s="92"/>
      <c r="D49" s="92"/>
      <c r="E49" s="92"/>
      <c r="F49" s="92"/>
      <c r="G49" s="92"/>
      <c r="H49" s="92"/>
      <c r="I49" s="92"/>
      <c r="J49" s="92"/>
      <c r="K49" s="220"/>
      <c r="L49" s="91"/>
    </row>
    <row r="50" spans="1:12" ht="12.75">
      <c r="A50" s="92"/>
      <c r="B50" s="92"/>
      <c r="C50" s="92"/>
      <c r="D50" s="92"/>
      <c r="E50" s="92"/>
      <c r="F50" s="92"/>
      <c r="G50" s="92"/>
      <c r="H50" s="92"/>
      <c r="I50" s="92"/>
      <c r="J50" s="92"/>
      <c r="K50" s="220"/>
      <c r="L50" s="91"/>
    </row>
    <row r="51" spans="1:12" ht="12.75">
      <c r="A51" s="92"/>
      <c r="B51" s="92"/>
      <c r="C51" s="92"/>
      <c r="D51" s="92"/>
      <c r="E51" s="92"/>
      <c r="F51" s="92"/>
      <c r="G51" s="92"/>
      <c r="H51" s="92"/>
      <c r="I51" s="92"/>
      <c r="J51" s="92"/>
      <c r="K51" s="220"/>
      <c r="L51" s="91"/>
    </row>
    <row r="52" spans="1:12" ht="12.75">
      <c r="A52" s="92"/>
      <c r="B52" s="92"/>
      <c r="C52" s="92"/>
      <c r="D52" s="92"/>
      <c r="E52" s="92"/>
      <c r="F52" s="92"/>
      <c r="G52" s="92"/>
      <c r="H52" s="92"/>
      <c r="I52" s="92"/>
      <c r="J52" s="92"/>
      <c r="K52" s="220"/>
      <c r="L52" s="91"/>
    </row>
    <row r="53" spans="1:12" ht="12.75">
      <c r="A53" s="92"/>
      <c r="B53" s="92"/>
      <c r="C53" s="92"/>
      <c r="D53" s="92"/>
      <c r="E53" s="92"/>
      <c r="F53" s="92"/>
      <c r="G53" s="92"/>
      <c r="H53" s="92"/>
      <c r="I53" s="92"/>
      <c r="J53" s="92"/>
      <c r="K53" s="220"/>
      <c r="L53" s="91"/>
    </row>
    <row r="54" spans="1:12" ht="12.75">
      <c r="A54" s="92"/>
      <c r="B54" s="92"/>
      <c r="C54" s="92"/>
      <c r="D54" s="92"/>
      <c r="E54" s="92"/>
      <c r="F54" s="92"/>
      <c r="G54" s="92"/>
      <c r="H54" s="92"/>
      <c r="I54" s="92"/>
      <c r="J54" s="92"/>
      <c r="K54" s="220"/>
      <c r="L54" s="91"/>
    </row>
    <row r="55" spans="1:12" ht="12.75">
      <c r="A55" s="92"/>
      <c r="B55" s="92"/>
      <c r="C55" s="92"/>
      <c r="D55" s="92"/>
      <c r="E55" s="92"/>
      <c r="F55" s="92"/>
      <c r="G55" s="92"/>
      <c r="H55" s="92"/>
      <c r="I55" s="92"/>
      <c r="J55" s="92"/>
      <c r="K55" s="220"/>
      <c r="L55" s="91"/>
    </row>
    <row r="56" spans="1:12" ht="12.75">
      <c r="A56" s="92"/>
      <c r="B56" s="92"/>
      <c r="C56" s="92"/>
      <c r="D56" s="92"/>
      <c r="E56" s="92"/>
      <c r="F56" s="92"/>
      <c r="G56" s="92"/>
      <c r="H56" s="92"/>
      <c r="I56" s="92"/>
      <c r="J56" s="92"/>
      <c r="K56" s="220"/>
      <c r="L56" s="91"/>
    </row>
    <row r="57" spans="1:12" ht="12.75">
      <c r="A57" s="92"/>
      <c r="B57" s="92"/>
      <c r="C57" s="92"/>
      <c r="D57" s="92"/>
      <c r="E57" s="92"/>
      <c r="F57" s="92"/>
      <c r="G57" s="92"/>
      <c r="H57" s="92"/>
      <c r="I57" s="92"/>
      <c r="J57" s="92"/>
      <c r="K57" s="220"/>
      <c r="L57" s="91"/>
    </row>
    <row r="58" spans="1:12" ht="12.75">
      <c r="A58" s="92"/>
      <c r="B58" s="92"/>
      <c r="C58" s="92"/>
      <c r="D58" s="92"/>
      <c r="E58" s="92"/>
      <c r="F58" s="92"/>
      <c r="G58" s="92"/>
      <c r="H58" s="92"/>
      <c r="I58" s="92"/>
      <c r="J58" s="92"/>
      <c r="K58" s="220"/>
      <c r="L58" s="91"/>
    </row>
    <row r="59" spans="1:12" ht="12.75">
      <c r="A59" s="92"/>
      <c r="B59" s="92"/>
      <c r="C59" s="92"/>
      <c r="D59" s="92"/>
      <c r="E59" s="92"/>
      <c r="F59" s="92"/>
      <c r="G59" s="92"/>
      <c r="H59" s="92"/>
      <c r="I59" s="92"/>
      <c r="J59" s="92"/>
      <c r="K59" s="220"/>
      <c r="L59" s="91"/>
    </row>
    <row r="60" spans="1:12" ht="12.75">
      <c r="A60" s="92"/>
      <c r="B60" s="92"/>
      <c r="C60" s="92"/>
      <c r="D60" s="92"/>
      <c r="E60" s="92"/>
      <c r="F60" s="92"/>
      <c r="G60" s="92"/>
      <c r="H60" s="92"/>
      <c r="I60" s="92"/>
      <c r="J60" s="92"/>
      <c r="K60" s="220"/>
      <c r="L60" s="91"/>
    </row>
    <row r="61" spans="1:12" ht="12.75">
      <c r="A61" s="92"/>
      <c r="B61" s="92"/>
      <c r="C61" s="92"/>
      <c r="D61" s="92"/>
      <c r="E61" s="92"/>
      <c r="F61" s="92"/>
      <c r="G61" s="92"/>
      <c r="H61" s="92"/>
      <c r="I61" s="92"/>
      <c r="J61" s="92"/>
      <c r="K61" s="220"/>
      <c r="L61" s="91"/>
    </row>
    <row r="62" spans="1:12" ht="12.75">
      <c r="A62" s="92"/>
      <c r="B62" s="92"/>
      <c r="C62" s="92"/>
      <c r="D62" s="92"/>
      <c r="E62" s="92"/>
      <c r="F62" s="92"/>
      <c r="G62" s="92"/>
      <c r="H62" s="92"/>
      <c r="I62" s="92"/>
      <c r="J62" s="92"/>
      <c r="K62" s="220"/>
      <c r="L62" s="91"/>
    </row>
    <row r="63" spans="1:12" ht="12.75">
      <c r="A63" s="92"/>
      <c r="B63" s="92"/>
      <c r="C63" s="92"/>
      <c r="D63" s="92"/>
      <c r="E63" s="92"/>
      <c r="F63" s="92"/>
      <c r="G63" s="92"/>
      <c r="H63" s="92"/>
      <c r="I63" s="92"/>
      <c r="J63" s="92"/>
      <c r="K63" s="220"/>
      <c r="L63" s="91"/>
    </row>
    <row r="64" spans="1:12" ht="12.75">
      <c r="A64" s="92"/>
      <c r="B64" s="92"/>
      <c r="C64" s="92"/>
      <c r="D64" s="92"/>
      <c r="E64" s="92"/>
      <c r="F64" s="92"/>
      <c r="G64" s="92"/>
      <c r="H64" s="92"/>
      <c r="I64" s="92"/>
      <c r="J64" s="92"/>
      <c r="K64" s="220"/>
      <c r="L64" s="91"/>
    </row>
    <row r="65" spans="1:12" ht="12.75">
      <c r="A65" s="92"/>
      <c r="B65" s="92"/>
      <c r="C65" s="92"/>
      <c r="D65" s="92"/>
      <c r="E65" s="92"/>
      <c r="F65" s="92"/>
      <c r="G65" s="92"/>
      <c r="H65" s="92"/>
      <c r="I65" s="92"/>
      <c r="J65" s="92"/>
      <c r="K65" s="220"/>
      <c r="L65" s="91"/>
    </row>
    <row r="66" spans="1:12" ht="12.75">
      <c r="A66" s="92"/>
      <c r="B66" s="92"/>
      <c r="C66" s="92"/>
      <c r="D66" s="92"/>
      <c r="E66" s="92"/>
      <c r="F66" s="92"/>
      <c r="G66" s="92"/>
      <c r="H66" s="92"/>
      <c r="I66" s="92"/>
      <c r="J66" s="92"/>
      <c r="K66" s="220"/>
      <c r="L66" s="91"/>
    </row>
    <row r="67" spans="1:12" ht="12.75">
      <c r="A67" s="92"/>
      <c r="B67" s="92"/>
      <c r="C67" s="92"/>
      <c r="D67" s="92"/>
      <c r="E67" s="92"/>
      <c r="F67" s="92"/>
      <c r="G67" s="92"/>
      <c r="H67" s="92"/>
      <c r="I67" s="92"/>
      <c r="J67" s="92"/>
      <c r="K67" s="220"/>
      <c r="L67" s="91"/>
    </row>
    <row r="68" spans="1:12" ht="12.75">
      <c r="A68" s="92"/>
      <c r="B68" s="92"/>
      <c r="C68" s="92"/>
      <c r="D68" s="92"/>
      <c r="E68" s="92"/>
      <c r="F68" s="92"/>
      <c r="G68" s="92"/>
      <c r="H68" s="92"/>
      <c r="I68" s="92"/>
      <c r="J68" s="92"/>
      <c r="K68" s="220"/>
      <c r="L68" s="91"/>
    </row>
    <row r="69" spans="1:12" ht="12.75">
      <c r="A69" s="92"/>
      <c r="B69" s="92"/>
      <c r="C69" s="92"/>
      <c r="D69" s="92"/>
      <c r="E69" s="92"/>
      <c r="F69" s="92"/>
      <c r="G69" s="92"/>
      <c r="H69" s="92"/>
      <c r="I69" s="92"/>
      <c r="J69" s="92"/>
      <c r="K69" s="220"/>
      <c r="L69" s="91"/>
    </row>
    <row r="70" spans="1:12" ht="12.75">
      <c r="A70" s="232"/>
      <c r="B70" s="232"/>
      <c r="C70" s="232"/>
      <c r="D70" s="232"/>
      <c r="E70" s="232"/>
      <c r="F70" s="232"/>
      <c r="G70" s="232"/>
      <c r="H70" s="232"/>
      <c r="I70" s="232"/>
      <c r="J70" s="232"/>
      <c r="K70" s="220"/>
      <c r="L70" s="91"/>
    </row>
    <row r="71" spans="1:12" ht="12.75">
      <c r="A71" s="92"/>
      <c r="B71" s="91"/>
      <c r="C71" s="91"/>
      <c r="D71" s="91"/>
      <c r="E71" s="91"/>
      <c r="F71" s="91"/>
      <c r="G71" s="91"/>
      <c r="H71" s="91"/>
      <c r="I71" s="91"/>
      <c r="J71" s="91"/>
      <c r="K71" s="220"/>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Diciembre 2018
INFSGI-MES-12-2018
15/01/2019
Versión: 01</oddHeader>
    <oddFooter>&amp;L&amp;7COES, 2018&amp;C15&amp;R&amp;7Dirección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53"/>
  <sheetViews>
    <sheetView showGridLines="0" view="pageBreakPreview" zoomScale="115" zoomScaleNormal="100" zoomScaleSheetLayoutView="115" zoomScalePageLayoutView="115" workbookViewId="0">
      <selection activeCell="D4" sqref="D4"/>
    </sheetView>
  </sheetViews>
  <sheetFormatPr defaultColWidth="9.33203125"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78" t="s">
        <v>481</v>
      </c>
      <c r="B2" s="978"/>
      <c r="C2" s="978"/>
      <c r="D2" s="978"/>
      <c r="E2" s="978"/>
      <c r="F2" s="978"/>
      <c r="G2" s="978"/>
      <c r="H2" s="978"/>
      <c r="I2" s="243"/>
      <c r="J2" s="243"/>
      <c r="K2" s="243"/>
    </row>
    <row r="3" spans="1:12" ht="11.25" customHeight="1">
      <c r="A3" s="97"/>
      <c r="B3" s="97"/>
      <c r="C3" s="97"/>
      <c r="D3" s="97"/>
      <c r="E3" s="97"/>
      <c r="F3" s="97"/>
      <c r="G3" s="97"/>
      <c r="H3" s="97"/>
      <c r="I3" s="244"/>
      <c r="J3" s="244"/>
      <c r="K3" s="244"/>
      <c r="L3" s="234"/>
    </row>
    <row r="4" spans="1:12" ht="11.25" customHeight="1">
      <c r="A4" s="968" t="s">
        <v>483</v>
      </c>
      <c r="B4" s="968"/>
      <c r="C4" s="968"/>
      <c r="D4" s="968"/>
      <c r="E4" s="968"/>
      <c r="F4" s="968"/>
      <c r="G4" s="968"/>
      <c r="H4" s="968"/>
      <c r="I4" s="235"/>
      <c r="J4" s="235"/>
      <c r="K4" s="235"/>
      <c r="L4" s="234"/>
    </row>
    <row r="5" spans="1:12" ht="11.25" customHeight="1">
      <c r="A5" s="97"/>
      <c r="B5" s="194"/>
      <c r="C5" s="98"/>
      <c r="D5" s="99"/>
      <c r="E5" s="99"/>
      <c r="F5" s="100"/>
      <c r="G5" s="96"/>
      <c r="H5" s="96"/>
      <c r="I5" s="236"/>
      <c r="J5" s="236"/>
      <c r="K5" s="236"/>
      <c r="L5" s="245"/>
    </row>
    <row r="6" spans="1:12" ht="30.75" customHeight="1">
      <c r="A6" s="801" t="s">
        <v>193</v>
      </c>
      <c r="B6" s="799" t="s">
        <v>194</v>
      </c>
      <c r="C6" s="799" t="s">
        <v>195</v>
      </c>
      <c r="D6" s="798" t="str">
        <f>UPPER('1. Resumen'!Q4)&amp;"
 "&amp;'1. Resumen'!Q5</f>
        <v>DICIEMBRE
 2018</v>
      </c>
      <c r="E6" s="798" t="str">
        <f>UPPER('1. Resumen'!Q4)&amp;"
 "&amp;'1. Resumen'!Q5-1</f>
        <v>DICIEMBRE
 2017</v>
      </c>
      <c r="F6" s="798" t="str">
        <f>UPPER('1. Resumen'!Q4)&amp;"
 "&amp;'1. Resumen'!Q5-2</f>
        <v>DICIEMBRE
 2016</v>
      </c>
      <c r="G6" s="799" t="s">
        <v>496</v>
      </c>
      <c r="H6" s="800" t="s">
        <v>196</v>
      </c>
      <c r="I6" s="236"/>
      <c r="J6" s="236"/>
      <c r="K6" s="236"/>
      <c r="L6" s="196"/>
    </row>
    <row r="7" spans="1:12" ht="21.75" customHeight="1">
      <c r="A7" s="979" t="s">
        <v>197</v>
      </c>
      <c r="B7" s="638" t="s">
        <v>602</v>
      </c>
      <c r="C7" s="586" t="s">
        <v>534</v>
      </c>
      <c r="D7" s="249"/>
      <c r="E7" s="249"/>
      <c r="F7" s="249">
        <v>281.03333333333336</v>
      </c>
      <c r="G7" s="607"/>
      <c r="H7" s="353">
        <f>+E7/F7-1</f>
        <v>-1</v>
      </c>
      <c r="I7" s="236"/>
      <c r="J7" s="236"/>
      <c r="K7" s="236"/>
      <c r="L7" s="74"/>
    </row>
    <row r="8" spans="1:12" ht="21.75" customHeight="1">
      <c r="A8" s="980"/>
      <c r="B8" s="638" t="s">
        <v>701</v>
      </c>
      <c r="C8" s="586" t="s">
        <v>702</v>
      </c>
      <c r="D8" s="249"/>
      <c r="E8" s="249">
        <v>9.7666666666666675</v>
      </c>
      <c r="F8" s="249"/>
      <c r="G8" s="607">
        <f>+D8/E8-1</f>
        <v>-1</v>
      </c>
      <c r="H8" s="353"/>
      <c r="I8" s="236"/>
      <c r="J8" s="236"/>
      <c r="K8" s="236"/>
      <c r="L8" s="74"/>
    </row>
    <row r="9" spans="1:12" ht="19.5" customHeight="1">
      <c r="A9" s="981" t="s">
        <v>198</v>
      </c>
      <c r="B9" s="638" t="s">
        <v>705</v>
      </c>
      <c r="C9" s="586" t="s">
        <v>707</v>
      </c>
      <c r="D9" s="249"/>
      <c r="E9" s="249">
        <v>5.0333333333333341</v>
      </c>
      <c r="F9" s="249"/>
      <c r="G9" s="607">
        <f t="shared" ref="G9:G14" si="0">+D9/E9-1</f>
        <v>-1</v>
      </c>
      <c r="H9" s="353"/>
      <c r="I9" s="236"/>
      <c r="J9" s="236"/>
      <c r="K9" s="236"/>
      <c r="L9" s="74"/>
    </row>
    <row r="10" spans="1:12" ht="19.5" customHeight="1">
      <c r="A10" s="982"/>
      <c r="B10" s="638" t="s">
        <v>706</v>
      </c>
      <c r="C10" s="586" t="s">
        <v>708</v>
      </c>
      <c r="D10" s="249"/>
      <c r="E10" s="249">
        <v>4.2999999999999989</v>
      </c>
      <c r="F10" s="249"/>
      <c r="G10" s="607">
        <f t="shared" si="0"/>
        <v>-1</v>
      </c>
      <c r="H10" s="353"/>
      <c r="I10" s="236"/>
      <c r="J10" s="236"/>
      <c r="K10" s="236"/>
      <c r="L10" s="74"/>
    </row>
    <row r="11" spans="1:12" ht="19.5" customHeight="1">
      <c r="A11" s="982"/>
      <c r="B11" s="638" t="s">
        <v>616</v>
      </c>
      <c r="C11" s="586" t="s">
        <v>595</v>
      </c>
      <c r="D11" s="249">
        <v>56.2</v>
      </c>
      <c r="E11" s="249"/>
      <c r="F11" s="249"/>
      <c r="G11" s="607"/>
      <c r="H11" s="353"/>
      <c r="I11" s="236"/>
      <c r="J11" s="236"/>
      <c r="K11" s="236"/>
      <c r="L11" s="74"/>
    </row>
    <row r="12" spans="1:12" ht="19.5" customHeight="1">
      <c r="A12" s="982"/>
      <c r="B12" s="638" t="s">
        <v>617</v>
      </c>
      <c r="C12" s="586" t="s">
        <v>618</v>
      </c>
      <c r="D12" s="249">
        <v>39.833333333333329</v>
      </c>
      <c r="E12" s="249"/>
      <c r="F12" s="249"/>
      <c r="G12" s="607"/>
      <c r="H12" s="353"/>
      <c r="I12" s="236"/>
      <c r="J12" s="236"/>
      <c r="K12" s="236"/>
      <c r="L12" s="74"/>
    </row>
    <row r="13" spans="1:12" ht="19.5" customHeight="1">
      <c r="A13" s="982"/>
      <c r="B13" s="638" t="s">
        <v>703</v>
      </c>
      <c r="C13" s="586" t="s">
        <v>704</v>
      </c>
      <c r="D13" s="249">
        <v>33.466666666666669</v>
      </c>
      <c r="E13" s="249"/>
      <c r="F13" s="249"/>
      <c r="G13" s="607"/>
      <c r="H13" s="353"/>
      <c r="I13" s="236"/>
      <c r="J13" s="236"/>
      <c r="K13" s="236"/>
      <c r="L13" s="74"/>
    </row>
    <row r="14" spans="1:12" ht="19.5" customHeight="1">
      <c r="A14" s="983"/>
      <c r="B14" s="638" t="s">
        <v>766</v>
      </c>
      <c r="C14" s="586" t="s">
        <v>619</v>
      </c>
      <c r="D14" s="249">
        <v>295.13333333333327</v>
      </c>
      <c r="E14" s="249">
        <v>13.5</v>
      </c>
      <c r="F14" s="249"/>
      <c r="G14" s="607">
        <f t="shared" si="0"/>
        <v>20.861728395061725</v>
      </c>
      <c r="H14" s="353"/>
      <c r="I14" s="236"/>
      <c r="J14" s="236"/>
      <c r="K14" s="236"/>
      <c r="L14" s="74"/>
    </row>
    <row r="15" spans="1:12" ht="18.75" customHeight="1">
      <c r="A15" s="783" t="s">
        <v>199</v>
      </c>
      <c r="B15" s="784"/>
      <c r="C15" s="785"/>
      <c r="D15" s="786">
        <f>SUM(D7:D14)</f>
        <v>424.63333333333327</v>
      </c>
      <c r="E15" s="786">
        <f>SUM(E7:E14)</f>
        <v>32.6</v>
      </c>
      <c r="F15" s="786">
        <f>SUM(F7:F14)</f>
        <v>281.03333333333336</v>
      </c>
      <c r="G15" s="787">
        <f>+E15/F15-1</f>
        <v>-0.88399952556043171</v>
      </c>
      <c r="H15" s="787">
        <f>+D15/E15-1</f>
        <v>12.025562372188137</v>
      </c>
      <c r="I15" s="236"/>
      <c r="J15" s="236"/>
      <c r="K15" s="237"/>
      <c r="L15" s="246"/>
    </row>
    <row r="16" spans="1:12" ht="11.25" customHeight="1">
      <c r="A16" s="349" t="str">
        <f>"Cuadro N° 14: Horas de operación de los principales equipos de congestión en "&amp;'1. Resumen'!Q4</f>
        <v>Cuadro N° 14: Horas de operación de los principales equipos de congestión en diciembre</v>
      </c>
      <c r="B16" s="250"/>
      <c r="C16" s="251"/>
      <c r="D16" s="252"/>
      <c r="E16" s="252"/>
      <c r="F16" s="253"/>
      <c r="G16" s="96"/>
      <c r="H16" s="102"/>
      <c r="I16" s="236"/>
      <c r="J16" s="236"/>
      <c r="K16" s="237"/>
      <c r="L16" s="246"/>
    </row>
    <row r="17" spans="1:12" ht="11.25" customHeight="1">
      <c r="A17" s="158"/>
      <c r="B17" s="250"/>
      <c r="C17" s="251"/>
      <c r="D17" s="252"/>
      <c r="E17" s="252"/>
      <c r="F17" s="253"/>
      <c r="G17" s="96"/>
      <c r="H17" s="96"/>
      <c r="I17" s="236"/>
      <c r="J17" s="236"/>
      <c r="K17" s="237"/>
      <c r="L17" s="246"/>
    </row>
    <row r="18" spans="1:12" ht="11.25" customHeight="1">
      <c r="A18" s="158"/>
      <c r="B18" s="250"/>
      <c r="C18" s="251"/>
      <c r="D18" s="252"/>
      <c r="E18" s="252"/>
      <c r="F18" s="253"/>
      <c r="G18" s="96"/>
      <c r="H18" s="96"/>
      <c r="I18" s="236"/>
      <c r="J18" s="236"/>
      <c r="K18" s="237"/>
      <c r="L18" s="246"/>
    </row>
    <row r="19" spans="1:12" ht="11.25" customHeight="1">
      <c r="A19" s="97"/>
      <c r="B19" s="194"/>
      <c r="C19" s="98"/>
      <c r="D19" s="99"/>
      <c r="E19" s="99"/>
      <c r="F19" s="100"/>
      <c r="G19" s="96"/>
      <c r="H19" s="96"/>
      <c r="I19" s="236"/>
      <c r="J19" s="236"/>
      <c r="K19" s="237"/>
      <c r="L19" s="246"/>
    </row>
    <row r="20" spans="1:12" ht="11.25" customHeight="1">
      <c r="A20" s="97"/>
      <c r="B20" s="194"/>
      <c r="C20" s="98"/>
      <c r="D20" s="99"/>
      <c r="E20" s="99"/>
      <c r="F20" s="100"/>
      <c r="G20" s="96"/>
      <c r="H20" s="96"/>
      <c r="I20" s="236"/>
      <c r="J20" s="236"/>
      <c r="K20" s="237"/>
      <c r="L20" s="246"/>
    </row>
    <row r="21" spans="1:12" ht="11.25" customHeight="1">
      <c r="A21" s="97"/>
      <c r="B21" s="194"/>
      <c r="C21" s="98"/>
      <c r="D21" s="99"/>
      <c r="E21" s="99"/>
      <c r="F21" s="100"/>
      <c r="G21" s="96"/>
      <c r="H21" s="96"/>
      <c r="I21" s="236"/>
      <c r="J21" s="236"/>
      <c r="K21" s="237"/>
      <c r="L21" s="247"/>
    </row>
    <row r="22" spans="1:12" ht="11.25" customHeight="1">
      <c r="A22" s="97"/>
      <c r="B22" s="194"/>
      <c r="C22" s="98"/>
      <c r="D22" s="99"/>
      <c r="E22" s="99"/>
      <c r="F22" s="100"/>
      <c r="G22" s="96"/>
      <c r="H22" s="96"/>
      <c r="I22" s="236"/>
      <c r="J22" s="236"/>
      <c r="K22" s="237"/>
      <c r="L22" s="246"/>
    </row>
    <row r="23" spans="1:12" ht="11.25" customHeight="1">
      <c r="A23" s="97"/>
      <c r="B23" s="194"/>
      <c r="C23" s="98"/>
      <c r="D23" s="99"/>
      <c r="E23" s="99"/>
      <c r="F23" s="100"/>
      <c r="G23" s="96"/>
      <c r="H23" s="96"/>
      <c r="I23" s="236"/>
      <c r="J23" s="236"/>
      <c r="K23" s="237"/>
      <c r="L23" s="246"/>
    </row>
    <row r="24" spans="1:12" ht="11.25" customHeight="1">
      <c r="A24" s="97"/>
      <c r="B24" s="194"/>
      <c r="C24" s="98"/>
      <c r="D24" s="99"/>
      <c r="E24" s="99"/>
      <c r="F24" s="100"/>
      <c r="G24" s="96"/>
      <c r="H24" s="96"/>
      <c r="I24" s="236"/>
      <c r="J24" s="236"/>
      <c r="K24" s="236"/>
      <c r="L24" s="74"/>
    </row>
    <row r="25" spans="1:12" ht="11.25" customHeight="1">
      <c r="A25" s="97"/>
      <c r="B25" s="194"/>
      <c r="C25" s="98"/>
      <c r="D25" s="99"/>
      <c r="E25" s="99"/>
      <c r="F25" s="100"/>
      <c r="G25" s="96"/>
      <c r="H25" s="96"/>
      <c r="I25" s="236"/>
      <c r="J25" s="236"/>
      <c r="K25" s="237"/>
      <c r="L25" s="246"/>
    </row>
    <row r="26" spans="1:12" ht="11.25" customHeight="1">
      <c r="A26" s="97"/>
      <c r="B26" s="194"/>
      <c r="C26" s="98"/>
      <c r="D26" s="99"/>
      <c r="E26" s="99"/>
      <c r="F26" s="100"/>
      <c r="G26" s="96"/>
      <c r="H26" s="96"/>
      <c r="I26" s="236"/>
      <c r="J26" s="236"/>
      <c r="K26" s="238"/>
      <c r="L26" s="246"/>
    </row>
    <row r="27" spans="1:12" ht="11.25" customHeight="1">
      <c r="A27" s="97"/>
      <c r="B27" s="194"/>
      <c r="C27" s="98"/>
      <c r="D27" s="99"/>
      <c r="E27" s="99"/>
      <c r="F27" s="100"/>
      <c r="G27" s="96"/>
      <c r="H27" s="96"/>
      <c r="I27" s="236"/>
      <c r="J27" s="236"/>
      <c r="K27" s="238"/>
      <c r="L27" s="246"/>
    </row>
    <row r="28" spans="1:12" ht="11.25" customHeight="1">
      <c r="A28" s="97"/>
      <c r="B28" s="194"/>
      <c r="C28" s="98"/>
      <c r="D28" s="99"/>
      <c r="E28" s="99"/>
      <c r="F28" s="100"/>
      <c r="G28" s="96"/>
      <c r="H28" s="96"/>
      <c r="I28" s="236"/>
      <c r="J28" s="236"/>
      <c r="K28" s="238"/>
      <c r="L28" s="246"/>
    </row>
    <row r="29" spans="1:12" ht="11.25" customHeight="1">
      <c r="A29" s="97"/>
      <c r="B29" s="194"/>
      <c r="C29" s="98"/>
      <c r="D29" s="99"/>
      <c r="E29" s="99"/>
      <c r="F29" s="100"/>
      <c r="G29" s="96"/>
      <c r="H29" s="96"/>
      <c r="I29" s="236"/>
      <c r="J29" s="236"/>
      <c r="K29" s="238"/>
      <c r="L29" s="246"/>
    </row>
    <row r="30" spans="1:12" ht="11.25" customHeight="1">
      <c r="A30" s="97"/>
      <c r="B30" s="194"/>
      <c r="C30" s="98"/>
      <c r="D30" s="99"/>
      <c r="E30" s="99"/>
      <c r="F30" s="100"/>
      <c r="G30" s="96"/>
      <c r="H30" s="96"/>
      <c r="I30" s="236"/>
      <c r="J30" s="236"/>
      <c r="K30" s="238"/>
      <c r="L30" s="246"/>
    </row>
    <row r="31" spans="1:12" ht="11.25" customHeight="1">
      <c r="A31" s="97"/>
      <c r="B31" s="194"/>
      <c r="C31" s="98"/>
      <c r="D31" s="99"/>
      <c r="E31" s="99"/>
      <c r="F31" s="100"/>
      <c r="G31" s="96"/>
      <c r="H31" s="96"/>
      <c r="I31" s="236"/>
      <c r="J31" s="236"/>
      <c r="K31" s="238"/>
      <c r="L31" s="246"/>
    </row>
    <row r="32" spans="1:12" ht="11.25" customHeight="1">
      <c r="A32" s="97"/>
      <c r="B32" s="97"/>
      <c r="C32" s="97"/>
      <c r="D32" s="97"/>
      <c r="E32" s="97"/>
      <c r="F32" s="97"/>
      <c r="G32" s="97"/>
      <c r="H32" s="97"/>
      <c r="I32" s="236"/>
      <c r="J32" s="236"/>
      <c r="K32" s="238"/>
      <c r="L32" s="246"/>
    </row>
    <row r="33" spans="1:12" ht="11.25" customHeight="1">
      <c r="A33" s="97"/>
      <c r="B33" s="97"/>
      <c r="C33" s="97"/>
      <c r="D33" s="97"/>
      <c r="E33" s="97"/>
      <c r="F33" s="97"/>
      <c r="G33" s="97"/>
      <c r="H33" s="97"/>
      <c r="I33" s="236"/>
      <c r="J33" s="236"/>
      <c r="K33" s="239"/>
      <c r="L33" s="75"/>
    </row>
    <row r="34" spans="1:12" ht="11.25" customHeight="1">
      <c r="A34" s="97"/>
      <c r="B34" s="97"/>
      <c r="C34" s="97"/>
      <c r="D34" s="97"/>
      <c r="E34" s="97"/>
      <c r="F34" s="97"/>
      <c r="G34" s="97"/>
      <c r="H34" s="97"/>
      <c r="I34" s="236"/>
      <c r="J34" s="236"/>
      <c r="K34" s="239"/>
      <c r="L34" s="76"/>
    </row>
    <row r="35" spans="1:12" ht="11.25" customHeight="1">
      <c r="A35" s="97"/>
      <c r="B35" s="97"/>
      <c r="C35" s="97"/>
      <c r="D35" s="97"/>
      <c r="E35" s="97"/>
      <c r="F35" s="97"/>
      <c r="G35" s="97"/>
      <c r="H35" s="97"/>
      <c r="I35" s="236"/>
      <c r="J35" s="236"/>
      <c r="K35" s="239"/>
      <c r="L35" s="76"/>
    </row>
    <row r="36" spans="1:12" ht="11.25" customHeight="1">
      <c r="A36" s="97"/>
      <c r="B36" s="97"/>
      <c r="C36" s="97"/>
      <c r="D36" s="97"/>
      <c r="E36" s="97"/>
      <c r="F36" s="97"/>
      <c r="G36" s="97"/>
      <c r="H36" s="97"/>
      <c r="I36" s="236"/>
      <c r="J36" s="236"/>
      <c r="K36" s="238"/>
    </row>
    <row r="37" spans="1:12" ht="11.25" customHeight="1">
      <c r="A37" s="97"/>
      <c r="B37" s="97"/>
      <c r="C37" s="97"/>
      <c r="D37" s="97"/>
      <c r="E37" s="97"/>
      <c r="F37" s="97"/>
      <c r="G37" s="97"/>
      <c r="H37" s="97"/>
      <c r="I37" s="236"/>
      <c r="J37" s="236"/>
      <c r="K37" s="238"/>
    </row>
    <row r="38" spans="1:12" ht="12.75">
      <c r="A38" s="93"/>
      <c r="B38" s="97"/>
      <c r="C38" s="97"/>
      <c r="D38" s="97"/>
      <c r="E38" s="97"/>
      <c r="F38" s="97"/>
      <c r="G38" s="97"/>
      <c r="H38" s="97"/>
      <c r="I38" s="236"/>
      <c r="J38" s="236"/>
      <c r="K38" s="238"/>
    </row>
    <row r="39" spans="1:12" ht="12.75">
      <c r="A39" s="97"/>
      <c r="B39" s="97"/>
      <c r="C39" s="97"/>
      <c r="D39" s="97"/>
      <c r="E39" s="97"/>
      <c r="F39" s="97"/>
      <c r="G39" s="97"/>
      <c r="H39" s="97"/>
      <c r="I39" s="236"/>
      <c r="J39" s="236"/>
      <c r="K39" s="238"/>
    </row>
    <row r="40" spans="1:12" ht="12.75">
      <c r="A40" s="97"/>
      <c r="B40" s="97"/>
      <c r="C40" s="97"/>
      <c r="D40" s="97"/>
      <c r="E40" s="97"/>
      <c r="F40" s="97"/>
      <c r="G40" s="97"/>
      <c r="H40" s="97"/>
      <c r="I40" s="236"/>
      <c r="J40" s="236"/>
      <c r="K40" s="238"/>
    </row>
    <row r="41" spans="1:12" ht="12.75">
      <c r="A41" s="97"/>
      <c r="B41" s="97"/>
      <c r="C41" s="97"/>
      <c r="D41" s="97"/>
      <c r="E41" s="97"/>
      <c r="F41" s="97"/>
      <c r="G41" s="97"/>
      <c r="H41" s="97"/>
      <c r="I41" s="236"/>
      <c r="J41" s="236"/>
      <c r="K41" s="238"/>
    </row>
    <row r="42" spans="1:12" ht="12.75">
      <c r="A42" s="97"/>
      <c r="B42" s="97"/>
      <c r="C42" s="97"/>
      <c r="D42" s="97"/>
      <c r="E42" s="97"/>
      <c r="F42" s="97"/>
      <c r="G42" s="97"/>
      <c r="H42" s="97"/>
      <c r="I42" s="236"/>
      <c r="J42" s="236"/>
      <c r="K42" s="238"/>
    </row>
    <row r="43" spans="1:12" ht="12.75">
      <c r="A43" s="97"/>
      <c r="B43" s="97"/>
      <c r="C43" s="97"/>
      <c r="D43" s="97"/>
      <c r="E43" s="97"/>
      <c r="F43" s="97"/>
      <c r="G43" s="97"/>
      <c r="H43" s="97"/>
      <c r="I43" s="132"/>
      <c r="J43" s="132"/>
      <c r="K43" s="238"/>
    </row>
    <row r="44" spans="1:12" ht="12.75">
      <c r="A44" s="97"/>
      <c r="B44" s="97"/>
      <c r="C44" s="97"/>
      <c r="D44" s="97"/>
      <c r="E44" s="97"/>
      <c r="F44" s="97"/>
      <c r="G44" s="97"/>
      <c r="H44" s="97"/>
      <c r="I44" s="132"/>
      <c r="J44" s="132"/>
      <c r="K44" s="238"/>
    </row>
    <row r="45" spans="1:12" ht="12.75">
      <c r="A45" s="97"/>
      <c r="B45" s="97"/>
      <c r="C45" s="97"/>
      <c r="D45" s="97"/>
      <c r="E45" s="97"/>
      <c r="F45" s="97"/>
      <c r="G45" s="97"/>
      <c r="H45" s="97"/>
      <c r="I45" s="132"/>
      <c r="J45" s="132"/>
      <c r="K45" s="238"/>
    </row>
    <row r="46" spans="1:12" ht="12.75">
      <c r="B46" s="97"/>
      <c r="C46" s="97"/>
      <c r="D46" s="97"/>
      <c r="E46" s="97"/>
      <c r="F46" s="97"/>
      <c r="G46" s="97"/>
      <c r="H46" s="97"/>
      <c r="I46" s="132"/>
      <c r="J46" s="132"/>
      <c r="K46" s="238"/>
    </row>
    <row r="47" spans="1:12" ht="12.75">
      <c r="A47" s="349" t="str">
        <f>"Gráfico N° 23: Comparación de las horas de operación de los principales equipos de congestión en "&amp;'1. Resumen'!Q4&amp;"."</f>
        <v>Gráfico N° 23: Comparación de las horas de operación de los principales equipos de congestión en diciembre.</v>
      </c>
      <c r="B47" s="97"/>
      <c r="C47" s="97"/>
      <c r="D47" s="97"/>
      <c r="E47" s="97"/>
      <c r="F47" s="97"/>
      <c r="G47" s="97"/>
      <c r="H47" s="97"/>
      <c r="I47" s="132"/>
      <c r="J47" s="132"/>
      <c r="K47" s="238"/>
    </row>
    <row r="48" spans="1:12" ht="12.75">
      <c r="A48" s="97"/>
      <c r="B48" s="97"/>
      <c r="C48" s="97"/>
      <c r="D48" s="97"/>
      <c r="E48" s="97"/>
      <c r="F48" s="97"/>
      <c r="G48" s="97"/>
      <c r="H48" s="97"/>
      <c r="I48" s="237"/>
      <c r="J48" s="237"/>
      <c r="K48" s="238"/>
    </row>
    <row r="49" spans="1:11" ht="12.75">
      <c r="A49" s="236"/>
      <c r="B49" s="237"/>
      <c r="C49" s="237"/>
      <c r="D49" s="237"/>
      <c r="E49" s="237"/>
      <c r="F49" s="237"/>
      <c r="G49" s="237"/>
      <c r="H49" s="237"/>
      <c r="I49" s="237"/>
      <c r="J49" s="237"/>
      <c r="K49" s="238"/>
    </row>
    <row r="50" spans="1:11" ht="12.75">
      <c r="A50" s="236"/>
      <c r="B50" s="248"/>
      <c r="C50" s="238"/>
      <c r="D50" s="238"/>
      <c r="E50" s="238"/>
      <c r="F50" s="238"/>
      <c r="G50" s="237"/>
      <c r="H50" s="237"/>
      <c r="I50" s="237"/>
      <c r="J50" s="237"/>
      <c r="K50" s="238"/>
    </row>
    <row r="51" spans="1:11" ht="12.75">
      <c r="A51" s="2"/>
      <c r="B51" s="131"/>
      <c r="C51" s="131"/>
      <c r="D51" s="131"/>
      <c r="E51" s="131"/>
      <c r="F51" s="131"/>
      <c r="G51" s="131"/>
      <c r="H51" s="237"/>
      <c r="I51" s="237"/>
      <c r="J51" s="237"/>
      <c r="K51" s="238"/>
    </row>
    <row r="52" spans="1:11" ht="12.75">
      <c r="A52" s="2"/>
      <c r="B52" s="131"/>
      <c r="C52" s="131"/>
      <c r="D52" s="131"/>
      <c r="E52" s="131"/>
      <c r="F52" s="131"/>
      <c r="G52" s="131"/>
      <c r="H52" s="237"/>
      <c r="I52" s="237"/>
      <c r="J52" s="237"/>
      <c r="K52" s="237"/>
    </row>
    <row r="53" spans="1:11" ht="12.75">
      <c r="A53" s="2"/>
      <c r="B53" s="131"/>
      <c r="C53" s="131"/>
      <c r="D53" s="131"/>
      <c r="E53" s="131"/>
      <c r="F53" s="131"/>
      <c r="G53" s="131"/>
      <c r="H53" s="237"/>
      <c r="I53" s="237"/>
      <c r="J53" s="237"/>
      <c r="K53" s="237"/>
    </row>
  </sheetData>
  <mergeCells count="4">
    <mergeCell ref="A4:H4"/>
    <mergeCell ref="A2:H2"/>
    <mergeCell ref="A7:A8"/>
    <mergeCell ref="A9:A14"/>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75" zoomScaleNormal="160" zoomScaleSheetLayoutView="175" zoomScalePageLayoutView="160" workbookViewId="0">
      <selection activeCell="D4" sqref="D4"/>
    </sheetView>
  </sheetViews>
  <sheetFormatPr defaultColWidth="9.33203125"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92" t="s">
        <v>603</v>
      </c>
      <c r="B2" s="992"/>
      <c r="C2" s="992"/>
      <c r="D2" s="992"/>
      <c r="E2" s="992"/>
      <c r="F2" s="992"/>
      <c r="G2" s="992"/>
      <c r="H2" s="992"/>
      <c r="I2" s="992"/>
      <c r="J2" s="992"/>
      <c r="K2" s="192"/>
    </row>
    <row r="3" spans="1:13" ht="6.75" customHeight="1">
      <c r="A3" s="25"/>
      <c r="B3" s="254"/>
      <c r="C3" s="255"/>
      <c r="D3" s="24"/>
      <c r="E3" s="24"/>
      <c r="F3" s="256"/>
      <c r="G3" s="83"/>
      <c r="H3" s="83"/>
      <c r="I3" s="89"/>
      <c r="J3" s="192"/>
      <c r="K3" s="192"/>
      <c r="L3" s="234"/>
    </row>
    <row r="4" spans="1:13" ht="11.25" customHeight="1">
      <c r="A4" s="993" t="s">
        <v>604</v>
      </c>
      <c r="B4" s="993"/>
      <c r="C4" s="993"/>
      <c r="D4" s="993"/>
      <c r="E4" s="993"/>
      <c r="F4" s="993"/>
      <c r="G4" s="993"/>
      <c r="H4" s="993"/>
      <c r="I4" s="993"/>
      <c r="J4" s="993"/>
      <c r="K4" s="192"/>
      <c r="L4" s="234"/>
    </row>
    <row r="5" spans="1:13" ht="38.25" customHeight="1">
      <c r="A5" s="990" t="s">
        <v>200</v>
      </c>
      <c r="B5" s="817" t="s">
        <v>201</v>
      </c>
      <c r="C5" s="818" t="s">
        <v>202</v>
      </c>
      <c r="D5" s="818" t="s">
        <v>203</v>
      </c>
      <c r="E5" s="818" t="s">
        <v>204</v>
      </c>
      <c r="F5" s="818" t="s">
        <v>205</v>
      </c>
      <c r="G5" s="818" t="s">
        <v>206</v>
      </c>
      <c r="H5" s="818" t="s">
        <v>207</v>
      </c>
      <c r="I5" s="819" t="s">
        <v>208</v>
      </c>
      <c r="J5" s="820" t="s">
        <v>209</v>
      </c>
      <c r="K5" s="257"/>
    </row>
    <row r="6" spans="1:13" ht="11.25" customHeight="1">
      <c r="A6" s="991"/>
      <c r="B6" s="817" t="s">
        <v>210</v>
      </c>
      <c r="C6" s="818" t="s">
        <v>211</v>
      </c>
      <c r="D6" s="818" t="s">
        <v>212</v>
      </c>
      <c r="E6" s="818" t="s">
        <v>213</v>
      </c>
      <c r="F6" s="818" t="s">
        <v>214</v>
      </c>
      <c r="G6" s="818" t="s">
        <v>215</v>
      </c>
      <c r="H6" s="818" t="s">
        <v>216</v>
      </c>
      <c r="I6" s="821"/>
      <c r="J6" s="820" t="s">
        <v>217</v>
      </c>
      <c r="K6" s="26"/>
    </row>
    <row r="7" spans="1:13" ht="13.5" customHeight="1">
      <c r="A7" s="578" t="s">
        <v>493</v>
      </c>
      <c r="B7" s="558">
        <v>29</v>
      </c>
      <c r="C7" s="559">
        <v>3</v>
      </c>
      <c r="D7" s="559"/>
      <c r="E7" s="560">
        <v>3</v>
      </c>
      <c r="F7" s="559">
        <v>18</v>
      </c>
      <c r="G7" s="559"/>
      <c r="H7" s="559"/>
      <c r="I7" s="561">
        <f>+SUM(B7:H7)</f>
        <v>53</v>
      </c>
      <c r="J7" s="562">
        <v>573.89</v>
      </c>
      <c r="K7" s="31"/>
    </row>
    <row r="8" spans="1:13" ht="13.5" customHeight="1">
      <c r="A8" s="563" t="s">
        <v>172</v>
      </c>
      <c r="B8" s="564"/>
      <c r="C8" s="564">
        <v>1</v>
      </c>
      <c r="D8" s="564"/>
      <c r="E8" s="565"/>
      <c r="F8" s="564">
        <v>1</v>
      </c>
      <c r="G8" s="564"/>
      <c r="H8" s="564"/>
      <c r="I8" s="566">
        <f t="shared" ref="I8:I11" si="0">+SUM(B8:H8)</f>
        <v>2</v>
      </c>
      <c r="J8" s="567">
        <v>160.05000000000001</v>
      </c>
      <c r="K8" s="29"/>
    </row>
    <row r="9" spans="1:13" ht="13.5" customHeight="1">
      <c r="A9" s="578" t="s">
        <v>565</v>
      </c>
      <c r="B9" s="558">
        <v>1</v>
      </c>
      <c r="C9" s="559"/>
      <c r="D9" s="559"/>
      <c r="E9" s="560"/>
      <c r="F9" s="559">
        <v>1</v>
      </c>
      <c r="G9" s="559"/>
      <c r="H9" s="559"/>
      <c r="I9" s="561">
        <f t="shared" si="0"/>
        <v>2</v>
      </c>
      <c r="J9" s="562">
        <v>69.699999999999989</v>
      </c>
      <c r="K9" s="29"/>
    </row>
    <row r="10" spans="1:13" ht="13.5" customHeight="1">
      <c r="A10" s="563" t="s">
        <v>697</v>
      </c>
      <c r="B10" s="564"/>
      <c r="C10" s="564"/>
      <c r="D10" s="564"/>
      <c r="E10" s="565"/>
      <c r="F10" s="564">
        <v>5</v>
      </c>
      <c r="G10" s="564"/>
      <c r="H10" s="564"/>
      <c r="I10" s="566">
        <f t="shared" si="0"/>
        <v>5</v>
      </c>
      <c r="J10" s="567">
        <v>142.42000000000002</v>
      </c>
      <c r="K10" s="29"/>
    </row>
    <row r="11" spans="1:13" ht="13.5" customHeight="1">
      <c r="A11" s="578" t="s">
        <v>696</v>
      </c>
      <c r="B11" s="558">
        <v>1</v>
      </c>
      <c r="C11" s="559"/>
      <c r="D11" s="559"/>
      <c r="E11" s="560"/>
      <c r="F11" s="559">
        <v>1</v>
      </c>
      <c r="G11" s="559"/>
      <c r="H11" s="559"/>
      <c r="I11" s="561">
        <f t="shared" si="0"/>
        <v>2</v>
      </c>
      <c r="J11" s="562">
        <v>6.6</v>
      </c>
      <c r="K11" s="29"/>
    </row>
    <row r="12" spans="1:13" ht="13.5" customHeight="1">
      <c r="A12" s="563" t="s">
        <v>208</v>
      </c>
      <c r="B12" s="566">
        <f t="shared" ref="B12:J12" si="1">+SUM(B7:B11)</f>
        <v>31</v>
      </c>
      <c r="C12" s="566">
        <f t="shared" si="1"/>
        <v>4</v>
      </c>
      <c r="D12" s="566">
        <f t="shared" si="1"/>
        <v>0</v>
      </c>
      <c r="E12" s="802">
        <f t="shared" si="1"/>
        <v>3</v>
      </c>
      <c r="F12" s="566">
        <f t="shared" si="1"/>
        <v>26</v>
      </c>
      <c r="G12" s="566">
        <f t="shared" si="1"/>
        <v>0</v>
      </c>
      <c r="H12" s="566">
        <f t="shared" si="1"/>
        <v>0</v>
      </c>
      <c r="I12" s="566">
        <f t="shared" si="1"/>
        <v>64</v>
      </c>
      <c r="J12" s="803">
        <f t="shared" si="1"/>
        <v>952.6600000000002</v>
      </c>
      <c r="K12" s="29"/>
    </row>
    <row r="13" spans="1:13" ht="11.25" customHeight="1">
      <c r="A13" s="99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diciembre 2018</v>
      </c>
      <c r="B13" s="995"/>
      <c r="C13" s="995"/>
      <c r="D13" s="995"/>
      <c r="E13" s="995"/>
      <c r="F13" s="995"/>
      <c r="G13" s="995"/>
      <c r="H13" s="995"/>
      <c r="I13" s="995"/>
      <c r="J13" s="995"/>
      <c r="K13" s="29"/>
    </row>
    <row r="14" spans="1:13" ht="11.25" customHeight="1">
      <c r="A14" s="3"/>
      <c r="B14" s="3"/>
      <c r="C14" s="3"/>
      <c r="D14" s="3"/>
      <c r="E14" s="3"/>
      <c r="F14" s="3"/>
      <c r="G14" s="3"/>
      <c r="H14" s="3"/>
      <c r="I14" s="3"/>
      <c r="J14" s="3"/>
      <c r="K14" s="29"/>
    </row>
    <row r="15" spans="1:13" s="584" customFormat="1" ht="11.25" customHeight="1">
      <c r="A15" s="994" t="s">
        <v>529</v>
      </c>
      <c r="B15" s="994"/>
      <c r="C15" s="994"/>
      <c r="D15" s="994"/>
      <c r="E15" s="994"/>
      <c r="F15" s="994"/>
      <c r="G15" s="994"/>
      <c r="H15" s="994"/>
      <c r="I15" s="994"/>
      <c r="J15" s="994"/>
      <c r="K15" s="582"/>
      <c r="L15" s="583"/>
      <c r="M15" s="583"/>
    </row>
    <row r="16" spans="1:13" ht="11.25" customHeight="1">
      <c r="A16" s="25"/>
      <c r="B16" s="260"/>
      <c r="C16" s="259"/>
      <c r="D16" s="259"/>
      <c r="E16" s="259"/>
      <c r="F16" s="259"/>
      <c r="G16" s="212"/>
      <c r="H16" s="212"/>
      <c r="I16" s="159"/>
      <c r="J16" s="217"/>
      <c r="K16" s="217"/>
      <c r="L16" s="29"/>
    </row>
    <row r="17" spans="1:12" ht="11.25" customHeight="1">
      <c r="A17" s="987" t="str">
        <f>"FALLAS  POR TIPO DE CAUSA  -  "&amp;UPPER('1. Resumen'!Q4)&amp;" "&amp;'1. Resumen'!Q5</f>
        <v>FALLAS  POR TIPO DE CAUSA  -  DICIEMBRE 2018</v>
      </c>
      <c r="B17" s="987"/>
      <c r="C17" s="987"/>
      <c r="D17" s="987"/>
      <c r="E17" s="987" t="str">
        <f>"FALLAS  POR TIPO DE EQUIPO  -  "&amp;UPPER('1. Resumen'!Q4)&amp;" "&amp;'1. Resumen'!Q5</f>
        <v>FALLAS  POR TIPO DE EQUIPO  -  DICIEMBRE 2018</v>
      </c>
      <c r="F17" s="987"/>
      <c r="G17" s="987"/>
      <c r="H17" s="987"/>
      <c r="I17" s="987"/>
      <c r="J17" s="987"/>
      <c r="K17" s="217"/>
      <c r="L17" s="29"/>
    </row>
    <row r="18" spans="1:12" ht="11.25" customHeight="1">
      <c r="A18" s="25"/>
      <c r="E18" s="259"/>
      <c r="F18" s="259"/>
      <c r="G18" s="212"/>
      <c r="H18" s="212"/>
      <c r="I18" s="159"/>
      <c r="J18" s="132"/>
      <c r="K18" s="132"/>
      <c r="L18" s="29"/>
    </row>
    <row r="19" spans="1:12" ht="11.25" customHeight="1">
      <c r="A19" s="25"/>
      <c r="B19" s="260"/>
      <c r="C19" s="259"/>
      <c r="D19" s="259"/>
      <c r="E19" s="259"/>
      <c r="F19" s="259"/>
      <c r="G19" s="212"/>
      <c r="H19" s="212"/>
      <c r="I19" s="159"/>
      <c r="J19" s="132"/>
      <c r="K19" s="132"/>
      <c r="L19" s="39"/>
    </row>
    <row r="20" spans="1:12" ht="11.25" customHeight="1">
      <c r="A20" s="25"/>
      <c r="B20" s="260"/>
      <c r="C20" s="259"/>
      <c r="D20" s="259"/>
      <c r="E20" s="259"/>
      <c r="F20" s="259"/>
      <c r="G20" s="212"/>
      <c r="H20" s="212"/>
      <c r="I20" s="159"/>
      <c r="J20" s="132"/>
      <c r="K20" s="132"/>
      <c r="L20" s="29"/>
    </row>
    <row r="21" spans="1:12" ht="11.25" customHeight="1">
      <c r="A21" s="25"/>
      <c r="B21" s="260"/>
      <c r="C21" s="259"/>
      <c r="D21" s="259"/>
      <c r="E21" s="259"/>
      <c r="F21" s="259"/>
      <c r="G21" s="212"/>
      <c r="H21" s="212"/>
      <c r="I21" s="159"/>
      <c r="J21" s="132"/>
      <c r="K21" s="132"/>
      <c r="L21" s="29"/>
    </row>
    <row r="22" spans="1:12" ht="11.25" customHeight="1">
      <c r="A22" s="25"/>
      <c r="B22" s="260"/>
      <c r="C22" s="259"/>
      <c r="D22" s="259"/>
      <c r="E22" s="259"/>
      <c r="F22" s="259"/>
      <c r="G22" s="212"/>
      <c r="H22" s="212"/>
      <c r="I22" s="159"/>
      <c r="J22" s="132"/>
      <c r="K22" s="132"/>
      <c r="L22" s="29"/>
    </row>
    <row r="23" spans="1:12" ht="11.25" customHeight="1">
      <c r="A23" s="25"/>
      <c r="B23" s="260"/>
      <c r="C23" s="259"/>
      <c r="D23" s="259"/>
      <c r="E23" s="259"/>
      <c r="F23" s="259"/>
      <c r="G23" s="212"/>
      <c r="H23" s="212"/>
      <c r="I23" s="159"/>
      <c r="J23" s="132"/>
      <c r="K23" s="132"/>
      <c r="L23" s="39"/>
    </row>
    <row r="24" spans="1:12" ht="11.25" customHeight="1">
      <c r="A24" s="25"/>
      <c r="B24" s="260"/>
      <c r="C24" s="259"/>
      <c r="D24" s="259"/>
      <c r="E24" s="259"/>
      <c r="F24" s="259"/>
      <c r="G24" s="212"/>
      <c r="H24" s="212"/>
      <c r="I24" s="159"/>
      <c r="J24" s="132"/>
      <c r="K24" s="132"/>
      <c r="L24" s="29"/>
    </row>
    <row r="25" spans="1:12" ht="11.25" customHeight="1">
      <c r="A25" s="25"/>
      <c r="B25" s="260"/>
      <c r="C25" s="259"/>
      <c r="D25" s="259"/>
      <c r="E25" s="259"/>
      <c r="F25" s="259"/>
      <c r="G25" s="212"/>
      <c r="H25" s="212"/>
      <c r="I25" s="159"/>
      <c r="J25" s="132"/>
      <c r="K25" s="132"/>
      <c r="L25" s="29"/>
    </row>
    <row r="26" spans="1:12" ht="11.25" customHeight="1">
      <c r="A26" s="25"/>
      <c r="B26" s="260"/>
      <c r="C26" s="259"/>
      <c r="D26" s="259"/>
      <c r="E26" s="259"/>
      <c r="F26" s="259"/>
      <c r="G26" s="212"/>
      <c r="H26" s="212"/>
      <c r="I26" s="159"/>
      <c r="J26" s="132"/>
      <c r="K26" s="132"/>
      <c r="L26" s="29"/>
    </row>
    <row r="27" spans="1:12" ht="11.25" customHeight="1">
      <c r="A27" s="25"/>
      <c r="B27" s="260"/>
      <c r="C27" s="259"/>
      <c r="D27" s="259"/>
      <c r="E27" s="259"/>
      <c r="F27" s="259"/>
      <c r="G27" s="212"/>
      <c r="H27" s="212"/>
      <c r="I27" s="159"/>
      <c r="J27" s="132"/>
      <c r="K27" s="132"/>
      <c r="L27" s="29"/>
    </row>
    <row r="28" spans="1:12" ht="11.25" customHeight="1">
      <c r="A28" s="25"/>
      <c r="B28" s="260"/>
      <c r="C28" s="259"/>
      <c r="D28" s="259"/>
      <c r="E28" s="259"/>
      <c r="F28" s="259"/>
      <c r="G28" s="212"/>
      <c r="H28" s="212"/>
      <c r="I28" s="159"/>
      <c r="J28" s="132"/>
      <c r="K28" s="132"/>
      <c r="L28" s="29"/>
    </row>
    <row r="29" spans="1:12" ht="11.25" customHeight="1">
      <c r="A29" s="25"/>
      <c r="B29" s="260"/>
      <c r="C29" s="259"/>
      <c r="D29" s="259"/>
      <c r="E29" s="259"/>
      <c r="F29" s="259"/>
      <c r="G29" s="212"/>
      <c r="H29" s="212"/>
      <c r="I29" s="159"/>
      <c r="J29" s="132"/>
      <c r="K29" s="132"/>
      <c r="L29" s="29"/>
    </row>
    <row r="30" spans="1:12" ht="11.25" customHeight="1">
      <c r="A30" s="25"/>
      <c r="B30" s="260"/>
      <c r="C30" s="259"/>
      <c r="D30" s="259"/>
      <c r="E30" s="259"/>
      <c r="F30" s="259"/>
      <c r="G30" s="212"/>
      <c r="H30" s="212"/>
      <c r="I30" s="159"/>
      <c r="J30" s="132"/>
      <c r="K30" s="132"/>
      <c r="L30" s="29"/>
    </row>
    <row r="31" spans="1:12" ht="11.25" customHeight="1">
      <c r="A31" s="25"/>
      <c r="B31" s="260"/>
      <c r="C31" s="259"/>
      <c r="D31" s="259"/>
      <c r="E31" s="259"/>
      <c r="F31" s="259"/>
      <c r="G31" s="212"/>
      <c r="H31" s="212"/>
      <c r="I31" s="159"/>
      <c r="J31" s="132"/>
      <c r="K31" s="132"/>
      <c r="L31" s="29"/>
    </row>
    <row r="32" spans="1:12" ht="11.25" customHeight="1">
      <c r="A32" s="25"/>
      <c r="B32" s="260"/>
      <c r="C32" s="259"/>
      <c r="D32" s="259"/>
      <c r="E32" s="259"/>
      <c r="F32" s="259"/>
      <c r="G32" s="212"/>
      <c r="H32" s="212"/>
      <c r="I32" s="159"/>
      <c r="J32" s="132"/>
      <c r="K32" s="132"/>
      <c r="L32" s="29"/>
    </row>
    <row r="33" spans="1:12" ht="11.25" customHeight="1">
      <c r="A33" s="25"/>
      <c r="B33" s="260"/>
      <c r="C33" s="259"/>
      <c r="D33" s="259"/>
      <c r="E33" s="259"/>
      <c r="F33" s="259"/>
      <c r="G33" s="212"/>
      <c r="H33" s="212"/>
      <c r="I33" s="159"/>
      <c r="J33" s="132"/>
      <c r="K33" s="132"/>
      <c r="L33" s="29"/>
    </row>
    <row r="34" spans="1:12" ht="11.25" customHeight="1">
      <c r="A34" s="25"/>
      <c r="B34" s="260"/>
      <c r="C34" s="259"/>
      <c r="D34" s="259"/>
      <c r="E34" s="259"/>
      <c r="F34" s="259"/>
      <c r="G34" s="212"/>
      <c r="H34" s="212"/>
      <c r="I34" s="159"/>
      <c r="J34" s="132"/>
      <c r="K34" s="132"/>
      <c r="L34" s="29"/>
    </row>
    <row r="35" spans="1:12" ht="23.25" customHeight="1">
      <c r="A35" s="986" t="s">
        <v>525</v>
      </c>
      <c r="B35" s="986"/>
      <c r="C35" s="986"/>
      <c r="D35" s="354"/>
      <c r="E35" s="989" t="s">
        <v>526</v>
      </c>
      <c r="F35" s="989"/>
      <c r="G35" s="989"/>
      <c r="H35" s="989"/>
      <c r="I35" s="989"/>
      <c r="J35" s="989"/>
      <c r="K35" s="261"/>
      <c r="L35" s="29"/>
    </row>
    <row r="36" spans="1:12" ht="11.25" customHeight="1">
      <c r="A36" s="25"/>
      <c r="B36" s="186"/>
      <c r="C36" s="186"/>
      <c r="D36" s="186"/>
      <c r="E36" s="186"/>
      <c r="F36" s="186"/>
      <c r="G36" s="217"/>
      <c r="H36" s="217"/>
      <c r="I36" s="217"/>
      <c r="J36" s="261"/>
      <c r="K36" s="261"/>
      <c r="L36" s="29"/>
    </row>
    <row r="37" spans="1:12" ht="6.75" customHeight="1">
      <c r="A37" s="25"/>
      <c r="B37" s="186"/>
      <c r="C37" s="186"/>
      <c r="D37" s="186"/>
      <c r="E37" s="186"/>
      <c r="F37" s="186"/>
      <c r="G37" s="217"/>
      <c r="H37" s="217"/>
      <c r="I37" s="217"/>
      <c r="J37" s="261"/>
      <c r="K37" s="261"/>
      <c r="L37" s="262"/>
    </row>
    <row r="38" spans="1:12" ht="11.25" customHeight="1">
      <c r="A38" s="988" t="str">
        <f>"ENERGIA INTERRUMPIDA APROXIMADA POR TIPO DE EQUIPO (MWh)  -  "&amp;UPPER('1. Resumen'!Q4)&amp;" "&amp;'1. Resumen'!Q5</f>
        <v>ENERGIA INTERRUMPIDA APROXIMADA POR TIPO DE EQUIPO (MWh)  -  DICIEMBRE 2018</v>
      </c>
      <c r="B38" s="988"/>
      <c r="C38" s="988"/>
      <c r="D38" s="988"/>
      <c r="E38" s="988"/>
      <c r="F38" s="988"/>
      <c r="G38" s="988"/>
      <c r="H38" s="988"/>
      <c r="I38" s="988"/>
      <c r="J38" s="988"/>
      <c r="K38" s="261"/>
      <c r="L38" s="263"/>
    </row>
    <row r="39" spans="1:12" ht="11.25" customHeight="1">
      <c r="A39" s="25"/>
      <c r="B39" s="186"/>
      <c r="C39" s="186"/>
      <c r="D39" s="186"/>
      <c r="E39" s="186"/>
      <c r="F39" s="186"/>
      <c r="G39" s="217"/>
      <c r="H39" s="217"/>
      <c r="I39" s="217"/>
      <c r="J39" s="261"/>
      <c r="K39" s="261"/>
      <c r="L39" s="263"/>
    </row>
    <row r="40" spans="1:12" ht="11.25" customHeight="1">
      <c r="A40" s="25"/>
      <c r="B40" s="186"/>
      <c r="C40" s="217"/>
      <c r="D40" s="217"/>
      <c r="E40" s="217"/>
      <c r="F40" s="217"/>
      <c r="G40" s="217"/>
      <c r="H40" s="217"/>
      <c r="I40" s="217"/>
      <c r="J40" s="261"/>
      <c r="K40" s="261"/>
      <c r="L40" s="263"/>
    </row>
    <row r="41" spans="1:12" ht="11.25" customHeight="1">
      <c r="A41" s="25"/>
      <c r="B41" s="186"/>
      <c r="C41" s="217"/>
      <c r="D41" s="217"/>
      <c r="E41" s="217"/>
      <c r="F41" s="217"/>
      <c r="G41" s="217"/>
      <c r="H41" s="217"/>
    </row>
    <row r="42" spans="1:12" ht="12.75">
      <c r="A42" s="25"/>
      <c r="B42" s="186"/>
      <c r="J42" s="261"/>
      <c r="K42" s="261"/>
      <c r="L42" s="263"/>
    </row>
    <row r="43" spans="1:12" ht="12.75">
      <c r="A43" s="25"/>
      <c r="B43" s="186"/>
      <c r="C43" s="186"/>
      <c r="D43" s="186"/>
      <c r="E43" s="186"/>
      <c r="F43" s="186"/>
      <c r="G43" s="217"/>
      <c r="H43" s="217"/>
      <c r="I43" s="217"/>
      <c r="J43" s="261"/>
      <c r="K43" s="261"/>
      <c r="L43" s="263"/>
    </row>
    <row r="44" spans="1:12" ht="12.75">
      <c r="A44" s="25"/>
      <c r="B44" s="186"/>
      <c r="C44" s="186"/>
      <c r="D44" s="186"/>
      <c r="E44" s="186"/>
      <c r="F44" s="186"/>
      <c r="G44" s="217"/>
      <c r="H44" s="217"/>
      <c r="I44" s="217"/>
      <c r="J44" s="261"/>
      <c r="K44" s="261"/>
      <c r="L44" s="263"/>
    </row>
    <row r="45" spans="1:12" ht="12.75">
      <c r="A45" s="25"/>
      <c r="B45" s="186"/>
      <c r="C45" s="186"/>
      <c r="D45" s="186"/>
      <c r="E45" s="186"/>
      <c r="F45" s="186"/>
      <c r="G45" s="217"/>
      <c r="H45" s="217"/>
      <c r="I45" s="217"/>
      <c r="J45" s="261"/>
      <c r="K45" s="261"/>
      <c r="L45" s="263"/>
    </row>
    <row r="46" spans="1:12" ht="12.75">
      <c r="A46" s="25"/>
      <c r="B46" s="186"/>
      <c r="C46" s="186"/>
      <c r="D46" s="186"/>
      <c r="E46" s="186"/>
      <c r="F46" s="186"/>
      <c r="G46" s="217"/>
      <c r="H46" s="217"/>
      <c r="I46" s="217"/>
      <c r="J46" s="261"/>
      <c r="K46" s="261"/>
      <c r="L46" s="263"/>
    </row>
    <row r="47" spans="1:12" ht="12.75">
      <c r="A47" s="192"/>
      <c r="B47" s="217"/>
      <c r="C47" s="217"/>
      <c r="D47" s="217"/>
      <c r="E47" s="217"/>
      <c r="F47" s="217"/>
      <c r="G47" s="217"/>
      <c r="H47" s="217"/>
      <c r="I47" s="217"/>
      <c r="J47" s="261"/>
      <c r="K47" s="261"/>
      <c r="L47" s="263"/>
    </row>
    <row r="48" spans="1:12" ht="12.75">
      <c r="A48" s="192"/>
      <c r="B48" s="217"/>
      <c r="C48" s="217"/>
      <c r="D48" s="217"/>
      <c r="E48" s="217"/>
      <c r="F48" s="217"/>
      <c r="G48" s="217"/>
      <c r="H48" s="217"/>
      <c r="I48" s="217"/>
      <c r="J48" s="261"/>
      <c r="K48" s="261"/>
      <c r="L48" s="263"/>
    </row>
    <row r="49" spans="1:12" ht="12.75">
      <c r="A49" s="192"/>
      <c r="B49" s="217"/>
      <c r="C49" s="217"/>
      <c r="D49" s="217"/>
      <c r="E49" s="217"/>
      <c r="F49" s="217"/>
      <c r="G49" s="217"/>
      <c r="H49" s="217"/>
      <c r="I49" s="217"/>
      <c r="J49" s="261"/>
      <c r="K49" s="261"/>
      <c r="L49" s="263"/>
    </row>
    <row r="50" spans="1:12" ht="12.75">
      <c r="A50" s="192"/>
      <c r="B50" s="217"/>
      <c r="C50" s="217"/>
      <c r="D50" s="217"/>
      <c r="E50" s="217"/>
      <c r="F50" s="217"/>
      <c r="G50" s="217"/>
      <c r="H50" s="217"/>
      <c r="I50" s="217"/>
      <c r="J50" s="261"/>
      <c r="K50" s="261"/>
      <c r="L50" s="263"/>
    </row>
    <row r="51" spans="1:12" ht="12.75">
      <c r="A51" s="192"/>
      <c r="B51" s="217"/>
      <c r="C51" s="217"/>
      <c r="D51" s="217"/>
      <c r="E51" s="217"/>
      <c r="F51" s="217"/>
      <c r="G51" s="217"/>
      <c r="H51" s="217"/>
      <c r="I51" s="217"/>
      <c r="J51" s="261"/>
      <c r="K51" s="261"/>
      <c r="L51" s="263"/>
    </row>
    <row r="52" spans="1:12" ht="12.75">
      <c r="A52" s="192"/>
      <c r="B52" s="217"/>
      <c r="C52" s="217"/>
      <c r="D52" s="217"/>
      <c r="E52" s="217"/>
      <c r="F52" s="217"/>
      <c r="G52" s="217"/>
      <c r="H52" s="217"/>
      <c r="I52" s="217"/>
      <c r="J52" s="261"/>
      <c r="K52" s="261"/>
      <c r="L52" s="263"/>
    </row>
    <row r="53" spans="1:12">
      <c r="A53" s="355" t="str">
        <f>"Gráfico N°26: Comparación de la energía interrumpida aproximada por tipo de equipo en "&amp;'1. Resumen'!Q4&amp;" "&amp;'1. Resumen'!Q5</f>
        <v>Gráfico N°26: Comparación de la energía interrumpida aproximada por tipo de equipo en diciembre 2018</v>
      </c>
      <c r="B53" s="217"/>
      <c r="C53" s="217"/>
      <c r="D53" s="217"/>
      <c r="E53" s="217"/>
      <c r="F53" s="217"/>
      <c r="G53" s="217"/>
      <c r="H53" s="217"/>
      <c r="I53" s="217"/>
      <c r="J53" s="261"/>
      <c r="K53" s="261"/>
      <c r="L53" s="263"/>
    </row>
    <row r="54" spans="1:12">
      <c r="A54" s="3"/>
      <c r="B54" s="217"/>
      <c r="C54" s="217"/>
      <c r="D54" s="217"/>
      <c r="E54" s="217"/>
      <c r="F54" s="217"/>
      <c r="G54" s="217"/>
      <c r="H54" s="217"/>
      <c r="I54" s="217"/>
      <c r="J54" s="261"/>
      <c r="K54" s="261"/>
      <c r="L54" s="263"/>
    </row>
    <row r="55" spans="1:12" ht="24.75" customHeight="1">
      <c r="A55" s="984" t="s">
        <v>218</v>
      </c>
      <c r="B55" s="984"/>
      <c r="C55" s="984"/>
      <c r="D55" s="984"/>
      <c r="E55" s="984"/>
      <c r="F55" s="984"/>
      <c r="G55" s="984"/>
      <c r="H55" s="984"/>
      <c r="I55" s="984"/>
      <c r="J55" s="984"/>
      <c r="K55" s="261"/>
      <c r="L55" s="263"/>
    </row>
    <row r="56" spans="1:12" ht="11.25" customHeight="1">
      <c r="A56" s="985" t="s">
        <v>219</v>
      </c>
      <c r="B56" s="985"/>
      <c r="C56" s="985"/>
      <c r="D56" s="985"/>
      <c r="E56" s="985"/>
      <c r="F56" s="985"/>
      <c r="G56" s="985"/>
      <c r="H56" s="985"/>
      <c r="I56" s="985"/>
      <c r="J56" s="985"/>
      <c r="K56" s="261"/>
      <c r="L56" s="263"/>
    </row>
    <row r="57" spans="1:12" ht="12.75">
      <c r="A57" s="192"/>
      <c r="B57" s="217"/>
      <c r="C57" s="217"/>
      <c r="D57" s="217"/>
      <c r="E57" s="217"/>
      <c r="F57" s="217"/>
      <c r="G57" s="217"/>
      <c r="H57" s="217"/>
      <c r="I57" s="217"/>
      <c r="J57" s="261"/>
      <c r="K57" s="261"/>
      <c r="L57" s="263"/>
    </row>
    <row r="58" spans="1:12" ht="12.75">
      <c r="A58" s="192"/>
      <c r="B58" s="217"/>
      <c r="C58" s="217"/>
      <c r="D58" s="217"/>
      <c r="E58" s="217"/>
      <c r="F58" s="217"/>
      <c r="G58" s="217"/>
      <c r="H58" s="217"/>
      <c r="I58" s="217"/>
      <c r="J58" s="261"/>
      <c r="K58" s="261"/>
      <c r="L58" s="263"/>
    </row>
    <row r="59" spans="1:12" ht="12.75">
      <c r="A59" s="192"/>
      <c r="B59" s="217"/>
      <c r="C59" s="217"/>
      <c r="D59" s="217"/>
      <c r="E59" s="217"/>
      <c r="F59" s="217"/>
      <c r="G59" s="217"/>
      <c r="H59" s="217"/>
      <c r="I59" s="217"/>
      <c r="J59" s="261"/>
      <c r="K59" s="261"/>
      <c r="L59" s="263"/>
    </row>
    <row r="60" spans="1:12" ht="12.75">
      <c r="A60" s="192"/>
      <c r="B60" s="217"/>
      <c r="C60" s="217"/>
      <c r="D60" s="217"/>
      <c r="E60" s="217"/>
      <c r="F60" s="217"/>
      <c r="G60" s="217"/>
      <c r="H60" s="217"/>
      <c r="I60" s="217"/>
      <c r="J60" s="261"/>
      <c r="K60" s="261"/>
      <c r="L60" s="263"/>
    </row>
    <row r="61" spans="1:12" ht="12.75">
      <c r="A61" s="192"/>
      <c r="B61" s="217"/>
      <c r="C61" s="217"/>
      <c r="D61" s="217"/>
      <c r="E61" s="217"/>
      <c r="F61" s="217"/>
      <c r="G61" s="217"/>
      <c r="H61" s="217"/>
      <c r="I61" s="217"/>
      <c r="J61" s="261"/>
      <c r="K61" s="261"/>
      <c r="L61" s="263"/>
    </row>
    <row r="62" spans="1:12" ht="12.75">
      <c r="A62" s="192"/>
      <c r="B62" s="217"/>
      <c r="C62" s="217"/>
      <c r="D62" s="217"/>
      <c r="E62" s="217"/>
      <c r="F62" s="217"/>
      <c r="G62" s="217"/>
      <c r="H62" s="217"/>
      <c r="I62" s="217"/>
      <c r="J62" s="261"/>
      <c r="K62" s="261"/>
      <c r="L62" s="263"/>
    </row>
    <row r="63" spans="1:12" ht="12.75">
      <c r="A63" s="192"/>
      <c r="B63" s="217"/>
      <c r="C63" s="217"/>
      <c r="D63" s="217"/>
      <c r="E63" s="217"/>
      <c r="F63" s="217"/>
      <c r="G63" s="217"/>
      <c r="H63" s="217"/>
      <c r="I63" s="217"/>
      <c r="J63" s="261"/>
      <c r="K63" s="261"/>
      <c r="L63" s="263"/>
    </row>
    <row r="64" spans="1:12" ht="12.75">
      <c r="A64" s="192"/>
      <c r="B64" s="217"/>
      <c r="C64" s="217"/>
      <c r="D64" s="217"/>
      <c r="E64" s="217"/>
      <c r="F64" s="217"/>
      <c r="G64" s="217"/>
      <c r="H64" s="217"/>
      <c r="I64" s="217"/>
      <c r="J64" s="261"/>
      <c r="K64" s="261"/>
      <c r="L64" s="263"/>
    </row>
    <row r="65" spans="1:12" ht="12.75">
      <c r="A65" s="192"/>
      <c r="B65" s="217"/>
      <c r="C65" s="217"/>
      <c r="D65" s="217"/>
      <c r="E65" s="217"/>
      <c r="F65" s="217"/>
      <c r="G65" s="217"/>
      <c r="H65" s="217"/>
      <c r="I65" s="217"/>
      <c r="J65" s="261"/>
      <c r="K65" s="261"/>
      <c r="L65" s="263"/>
    </row>
    <row r="66" spans="1:12" ht="12.75">
      <c r="A66" s="192"/>
      <c r="B66" s="217"/>
      <c r="C66" s="217"/>
      <c r="D66" s="217"/>
      <c r="E66" s="217"/>
      <c r="F66" s="217"/>
      <c r="G66" s="217"/>
      <c r="H66" s="217"/>
      <c r="I66" s="217"/>
      <c r="J66" s="261"/>
      <c r="K66" s="261"/>
      <c r="L66" s="263"/>
    </row>
    <row r="67" spans="1:12" ht="12.75">
      <c r="A67" s="192"/>
      <c r="B67" s="217"/>
      <c r="C67" s="3"/>
      <c r="D67" s="3"/>
      <c r="E67" s="3"/>
      <c r="F67" s="3"/>
      <c r="G67" s="3"/>
      <c r="H67" s="3"/>
      <c r="I67" s="3"/>
      <c r="J67" s="261"/>
      <c r="K67" s="261"/>
      <c r="L67" s="263"/>
    </row>
    <row r="68" spans="1:12" ht="12.75">
      <c r="A68" s="192"/>
      <c r="B68" s="217"/>
      <c r="C68" s="3"/>
      <c r="D68" s="3"/>
      <c r="E68" s="3"/>
      <c r="F68" s="3"/>
      <c r="G68" s="3"/>
      <c r="H68" s="3"/>
      <c r="I68" s="3"/>
      <c r="J68" s="261"/>
      <c r="K68" s="261"/>
      <c r="L68" s="263"/>
    </row>
    <row r="69" spans="1:12" ht="12.75">
      <c r="A69" s="192"/>
      <c r="B69" s="217"/>
      <c r="C69" s="3"/>
      <c r="D69" s="3"/>
      <c r="E69" s="3"/>
      <c r="F69" s="3"/>
      <c r="G69" s="3"/>
      <c r="H69" s="3"/>
      <c r="I69" s="3"/>
      <c r="J69" s="261"/>
      <c r="K69" s="261"/>
      <c r="L69" s="263"/>
    </row>
    <row r="70" spans="1:12" ht="12.75">
      <c r="A70" s="192"/>
      <c r="B70" s="217"/>
      <c r="C70" s="3"/>
      <c r="D70" s="3"/>
      <c r="E70" s="3"/>
      <c r="F70" s="3"/>
      <c r="G70" s="3"/>
      <c r="H70" s="3"/>
      <c r="I70" s="3"/>
      <c r="J70" s="261"/>
      <c r="K70" s="261"/>
      <c r="L70" s="263"/>
    </row>
    <row r="71" spans="1:12">
      <c r="B71" s="263"/>
      <c r="C71" s="263"/>
      <c r="D71" s="263"/>
      <c r="E71" s="263"/>
      <c r="F71" s="263"/>
      <c r="G71" s="263"/>
      <c r="H71" s="263"/>
      <c r="I71" s="263"/>
      <c r="J71" s="263"/>
      <c r="K71" s="263"/>
      <c r="L71" s="263"/>
    </row>
    <row r="72" spans="1:12">
      <c r="B72" s="263"/>
      <c r="C72" s="263"/>
      <c r="D72" s="263"/>
      <c r="E72" s="263"/>
      <c r="F72" s="263"/>
      <c r="G72" s="263"/>
      <c r="H72" s="263"/>
      <c r="I72" s="263"/>
      <c r="J72" s="263"/>
      <c r="K72" s="263"/>
      <c r="L72" s="263"/>
    </row>
    <row r="73" spans="1:12">
      <c r="B73" s="263"/>
      <c r="C73" s="263"/>
      <c r="D73" s="263"/>
      <c r="E73" s="263"/>
      <c r="F73" s="263"/>
      <c r="G73" s="263"/>
      <c r="H73" s="263"/>
      <c r="I73" s="263"/>
      <c r="J73" s="263"/>
      <c r="K73" s="263"/>
      <c r="L73" s="263"/>
    </row>
    <row r="74" spans="1:12">
      <c r="B74" s="263"/>
      <c r="C74" s="263"/>
      <c r="D74" s="263"/>
      <c r="E74" s="263"/>
      <c r="F74" s="263"/>
      <c r="G74" s="263"/>
      <c r="H74" s="263"/>
      <c r="I74" s="263"/>
      <c r="J74" s="263"/>
      <c r="K74" s="263"/>
      <c r="L74" s="263"/>
    </row>
    <row r="75" spans="1:12">
      <c r="B75" s="263"/>
      <c r="C75" s="263"/>
      <c r="D75" s="263"/>
      <c r="E75" s="263"/>
      <c r="F75" s="263"/>
      <c r="G75" s="263"/>
      <c r="H75" s="263"/>
      <c r="I75" s="263"/>
      <c r="J75" s="263"/>
      <c r="K75" s="263"/>
      <c r="L75" s="263"/>
    </row>
    <row r="76" spans="1:12">
      <c r="B76" s="263"/>
      <c r="C76" s="263"/>
      <c r="D76" s="263"/>
      <c r="E76" s="263"/>
      <c r="F76" s="263"/>
      <c r="G76" s="263"/>
      <c r="H76" s="263"/>
      <c r="I76" s="263"/>
      <c r="J76" s="263"/>
      <c r="K76" s="263"/>
      <c r="L76" s="263"/>
    </row>
    <row r="77" spans="1:12">
      <c r="B77" s="263"/>
      <c r="C77" s="263"/>
      <c r="D77" s="263"/>
      <c r="E77" s="263"/>
      <c r="F77" s="263"/>
      <c r="G77" s="263"/>
      <c r="H77" s="263"/>
      <c r="I77" s="263"/>
      <c r="J77" s="263"/>
      <c r="K77" s="263"/>
      <c r="L77" s="263"/>
    </row>
    <row r="78" spans="1:12">
      <c r="B78" s="263"/>
      <c r="C78" s="263"/>
      <c r="D78" s="263"/>
      <c r="E78" s="263"/>
      <c r="F78" s="263"/>
      <c r="G78" s="263"/>
      <c r="H78" s="263"/>
      <c r="I78" s="263"/>
      <c r="J78" s="263"/>
      <c r="K78" s="263"/>
      <c r="L78" s="263"/>
    </row>
    <row r="79" spans="1:12">
      <c r="B79" s="263"/>
      <c r="C79" s="263"/>
      <c r="D79" s="263"/>
      <c r="E79" s="263"/>
      <c r="F79" s="263"/>
      <c r="G79" s="263"/>
      <c r="H79" s="263"/>
      <c r="I79" s="263"/>
      <c r="J79" s="263"/>
      <c r="K79" s="263"/>
      <c r="L79" s="263"/>
    </row>
    <row r="80" spans="1:12">
      <c r="B80" s="263"/>
      <c r="C80" s="263"/>
      <c r="D80" s="263"/>
      <c r="E80" s="263"/>
      <c r="F80" s="263"/>
      <c r="G80" s="263"/>
      <c r="H80" s="263"/>
      <c r="I80" s="263"/>
      <c r="J80" s="263"/>
      <c r="K80" s="263"/>
      <c r="L80" s="263"/>
    </row>
    <row r="81" spans="2:12">
      <c r="B81" s="263"/>
      <c r="C81" s="263"/>
      <c r="D81" s="263"/>
      <c r="E81" s="263"/>
      <c r="F81" s="263"/>
      <c r="G81" s="263"/>
      <c r="H81" s="263"/>
      <c r="I81" s="263"/>
      <c r="J81" s="263"/>
      <c r="K81" s="263"/>
      <c r="L81" s="263"/>
    </row>
    <row r="82" spans="2:12">
      <c r="B82" s="263"/>
      <c r="C82" s="263"/>
      <c r="D82" s="263"/>
      <c r="E82" s="263"/>
      <c r="F82" s="263"/>
      <c r="G82" s="263"/>
      <c r="H82" s="263"/>
      <c r="I82" s="263"/>
      <c r="J82" s="263"/>
      <c r="K82" s="263"/>
      <c r="L82" s="263"/>
    </row>
    <row r="83" spans="2:12">
      <c r="B83" s="263"/>
      <c r="C83" s="263"/>
      <c r="D83" s="263"/>
      <c r="E83" s="263"/>
      <c r="F83" s="263"/>
      <c r="G83" s="263"/>
      <c r="H83" s="263"/>
      <c r="I83" s="263"/>
      <c r="J83" s="263"/>
      <c r="K83" s="263"/>
      <c r="L83" s="263"/>
    </row>
    <row r="84" spans="2:12">
      <c r="B84" s="263"/>
      <c r="C84" s="263"/>
      <c r="D84" s="263"/>
      <c r="E84" s="263"/>
      <c r="F84" s="263"/>
      <c r="G84" s="263"/>
      <c r="H84" s="263"/>
      <c r="I84" s="263"/>
      <c r="J84" s="263"/>
      <c r="K84" s="263"/>
      <c r="L84" s="263"/>
    </row>
    <row r="85" spans="2:12">
      <c r="B85" s="263"/>
      <c r="C85" s="263"/>
      <c r="D85" s="263"/>
      <c r="E85" s="263"/>
      <c r="F85" s="263"/>
      <c r="G85" s="263"/>
      <c r="H85" s="263"/>
      <c r="I85" s="263"/>
      <c r="J85" s="263"/>
      <c r="K85" s="263"/>
      <c r="L85" s="263"/>
    </row>
    <row r="86" spans="2:12">
      <c r="B86" s="263"/>
      <c r="C86" s="263"/>
      <c r="D86" s="263"/>
      <c r="E86" s="263"/>
      <c r="F86" s="263"/>
      <c r="G86" s="263"/>
      <c r="H86" s="263"/>
      <c r="I86" s="263"/>
      <c r="J86" s="263"/>
      <c r="K86" s="263"/>
      <c r="L86" s="263"/>
    </row>
    <row r="87" spans="2:12">
      <c r="B87" s="263"/>
      <c r="C87" s="263"/>
      <c r="D87" s="263"/>
      <c r="E87" s="263"/>
      <c r="F87" s="263"/>
      <c r="G87" s="263"/>
      <c r="H87" s="263"/>
      <c r="I87" s="263"/>
      <c r="J87" s="263"/>
      <c r="K87" s="263"/>
      <c r="L87" s="263"/>
    </row>
    <row r="88" spans="2:12">
      <c r="B88" s="263"/>
      <c r="C88" s="263"/>
      <c r="D88" s="263"/>
      <c r="E88" s="263"/>
      <c r="F88" s="263"/>
      <c r="G88" s="263"/>
      <c r="H88" s="263"/>
      <c r="I88" s="263"/>
      <c r="J88" s="263"/>
      <c r="K88" s="263"/>
      <c r="L88" s="263"/>
    </row>
    <row r="89" spans="2:12">
      <c r="B89" s="263"/>
      <c r="C89" s="263"/>
      <c r="D89" s="263"/>
      <c r="E89" s="263"/>
      <c r="F89" s="263"/>
      <c r="G89" s="263"/>
      <c r="H89" s="263"/>
      <c r="I89" s="263"/>
      <c r="J89" s="263"/>
      <c r="K89" s="263"/>
      <c r="L89" s="263"/>
    </row>
    <row r="90" spans="2:12">
      <c r="B90" s="263"/>
      <c r="C90" s="263"/>
      <c r="D90" s="263"/>
      <c r="E90" s="263"/>
      <c r="F90" s="263"/>
      <c r="G90" s="263"/>
      <c r="H90" s="263"/>
      <c r="I90" s="263"/>
      <c r="J90" s="263"/>
      <c r="K90" s="263"/>
      <c r="L90" s="263"/>
    </row>
    <row r="91" spans="2:12">
      <c r="B91" s="263"/>
      <c r="C91" s="263"/>
      <c r="D91" s="263"/>
      <c r="E91" s="263"/>
      <c r="F91" s="263"/>
      <c r="G91" s="263"/>
      <c r="H91" s="263"/>
      <c r="I91" s="263"/>
      <c r="J91" s="263"/>
      <c r="K91" s="263"/>
      <c r="L91" s="263"/>
    </row>
    <row r="92" spans="2:12">
      <c r="B92" s="263"/>
      <c r="C92" s="263"/>
      <c r="D92" s="263"/>
      <c r="E92" s="263"/>
      <c r="F92" s="263"/>
      <c r="G92" s="263"/>
      <c r="H92" s="263"/>
      <c r="I92" s="263"/>
      <c r="J92" s="263"/>
      <c r="K92" s="263"/>
      <c r="L92" s="263"/>
    </row>
    <row r="93" spans="2:12">
      <c r="B93" s="263"/>
      <c r="C93" s="263"/>
      <c r="D93" s="263"/>
      <c r="E93" s="263"/>
      <c r="F93" s="263"/>
      <c r="G93" s="263"/>
      <c r="H93" s="263"/>
      <c r="I93" s="263"/>
      <c r="J93" s="263"/>
      <c r="K93" s="263"/>
      <c r="L93" s="263"/>
    </row>
    <row r="94" spans="2:12">
      <c r="B94" s="263"/>
      <c r="C94" s="263"/>
      <c r="D94" s="263"/>
      <c r="E94" s="263"/>
      <c r="F94" s="263"/>
      <c r="G94" s="263"/>
      <c r="H94" s="263"/>
      <c r="I94" s="263"/>
      <c r="J94" s="263"/>
      <c r="K94" s="263"/>
      <c r="L94" s="263"/>
    </row>
    <row r="95" spans="2:12">
      <c r="B95" s="263"/>
      <c r="C95" s="263"/>
      <c r="D95" s="263"/>
      <c r="E95" s="263"/>
      <c r="F95" s="263"/>
      <c r="G95" s="263"/>
      <c r="H95" s="263"/>
      <c r="I95" s="263"/>
      <c r="J95" s="263"/>
      <c r="K95" s="263"/>
      <c r="L95" s="263"/>
    </row>
    <row r="96" spans="2:12">
      <c r="B96" s="263"/>
      <c r="C96" s="263"/>
      <c r="D96" s="263"/>
      <c r="E96" s="263"/>
      <c r="F96" s="263"/>
      <c r="G96" s="263"/>
      <c r="H96" s="263"/>
      <c r="I96" s="263"/>
      <c r="J96" s="263"/>
      <c r="K96" s="263"/>
      <c r="L96" s="263"/>
    </row>
    <row r="97" spans="2:12">
      <c r="B97" s="263"/>
      <c r="C97" s="263"/>
      <c r="D97" s="263"/>
      <c r="E97" s="263"/>
      <c r="F97" s="263"/>
      <c r="G97" s="263"/>
      <c r="H97" s="263"/>
      <c r="I97" s="263"/>
      <c r="J97" s="263"/>
      <c r="K97" s="263"/>
      <c r="L97" s="263"/>
    </row>
    <row r="98" spans="2:12">
      <c r="B98" s="263"/>
      <c r="C98" s="263"/>
      <c r="D98" s="263"/>
      <c r="E98" s="263"/>
      <c r="F98" s="263"/>
      <c r="G98" s="263"/>
      <c r="H98" s="263"/>
      <c r="I98" s="263"/>
      <c r="J98" s="263"/>
      <c r="K98" s="263"/>
      <c r="L98" s="263"/>
    </row>
    <row r="99" spans="2:12">
      <c r="B99" s="263"/>
      <c r="C99" s="263"/>
      <c r="D99" s="263"/>
      <c r="E99" s="263"/>
      <c r="F99" s="263"/>
      <c r="G99" s="263"/>
      <c r="H99" s="263"/>
      <c r="I99" s="263"/>
      <c r="J99" s="263"/>
      <c r="K99" s="263"/>
      <c r="L99" s="263"/>
    </row>
    <row r="100" spans="2:12">
      <c r="B100" s="263"/>
      <c r="C100" s="263"/>
      <c r="D100" s="263"/>
      <c r="E100" s="263"/>
      <c r="F100" s="263"/>
      <c r="G100" s="263"/>
      <c r="H100" s="263"/>
      <c r="I100" s="263"/>
      <c r="J100" s="263"/>
      <c r="K100" s="263"/>
      <c r="L100" s="263"/>
    </row>
    <row r="101" spans="2:12">
      <c r="B101" s="263"/>
      <c r="C101" s="263"/>
      <c r="D101" s="263"/>
      <c r="E101" s="263"/>
      <c r="F101" s="263"/>
      <c r="G101" s="263"/>
      <c r="H101" s="263"/>
      <c r="I101" s="263"/>
      <c r="J101" s="263"/>
      <c r="K101" s="263"/>
      <c r="L101" s="263"/>
    </row>
    <row r="102" spans="2:12">
      <c r="B102" s="263"/>
      <c r="C102" s="263"/>
      <c r="D102" s="263"/>
      <c r="E102" s="263"/>
      <c r="F102" s="263"/>
      <c r="G102" s="263"/>
      <c r="H102" s="263"/>
      <c r="I102" s="263"/>
      <c r="J102" s="263"/>
      <c r="K102" s="263"/>
      <c r="L102" s="263"/>
    </row>
    <row r="103" spans="2:12">
      <c r="B103" s="263"/>
      <c r="C103" s="263"/>
      <c r="D103" s="263"/>
      <c r="E103" s="263"/>
      <c r="F103" s="263"/>
      <c r="G103" s="263"/>
      <c r="H103" s="263"/>
      <c r="I103" s="263"/>
      <c r="J103" s="263"/>
      <c r="K103" s="263"/>
      <c r="L103" s="263"/>
    </row>
    <row r="104" spans="2:12">
      <c r="B104" s="263"/>
      <c r="C104" s="263"/>
      <c r="D104" s="263"/>
      <c r="E104" s="263"/>
      <c r="F104" s="263"/>
      <c r="G104" s="263"/>
      <c r="H104" s="263"/>
      <c r="I104" s="263"/>
      <c r="J104" s="263"/>
      <c r="K104" s="263"/>
      <c r="L104" s="263"/>
    </row>
    <row r="105" spans="2:12">
      <c r="B105" s="263"/>
      <c r="C105" s="263"/>
      <c r="D105" s="263"/>
      <c r="E105" s="263"/>
      <c r="F105" s="263"/>
      <c r="G105" s="263"/>
      <c r="H105" s="263"/>
      <c r="I105" s="263"/>
      <c r="J105" s="263"/>
      <c r="K105" s="263"/>
      <c r="L105" s="263"/>
    </row>
    <row r="106" spans="2:12">
      <c r="B106" s="263"/>
      <c r="C106" s="263"/>
      <c r="D106" s="263"/>
      <c r="E106" s="263"/>
      <c r="F106" s="263"/>
      <c r="G106" s="263"/>
      <c r="H106" s="263"/>
      <c r="I106" s="263"/>
      <c r="J106" s="263"/>
      <c r="K106" s="263"/>
      <c r="L106" s="263"/>
    </row>
    <row r="107" spans="2:12">
      <c r="B107" s="263"/>
      <c r="C107" s="263"/>
      <c r="D107" s="263"/>
      <c r="E107" s="263"/>
      <c r="F107" s="263"/>
      <c r="G107" s="263"/>
      <c r="H107" s="263"/>
      <c r="I107" s="263"/>
      <c r="J107" s="263"/>
      <c r="K107" s="263"/>
      <c r="L107" s="263"/>
    </row>
    <row r="108" spans="2:12">
      <c r="B108" s="263"/>
      <c r="C108" s="263"/>
      <c r="D108" s="263"/>
      <c r="E108" s="263"/>
      <c r="F108" s="263"/>
      <c r="G108" s="263"/>
      <c r="H108" s="263"/>
      <c r="I108" s="263"/>
      <c r="J108" s="263"/>
      <c r="K108" s="263"/>
      <c r="L108" s="263"/>
    </row>
    <row r="109" spans="2:12">
      <c r="B109" s="263"/>
      <c r="C109" s="263"/>
      <c r="D109" s="263"/>
      <c r="E109" s="263"/>
      <c r="F109" s="263"/>
      <c r="G109" s="263"/>
      <c r="H109" s="263"/>
      <c r="I109" s="263"/>
      <c r="J109" s="263"/>
      <c r="K109" s="263"/>
      <c r="L109" s="263"/>
    </row>
    <row r="110" spans="2:12">
      <c r="B110" s="263"/>
      <c r="C110" s="263"/>
      <c r="D110" s="263"/>
      <c r="E110" s="263"/>
      <c r="F110" s="263"/>
      <c r="G110" s="263"/>
      <c r="H110" s="263"/>
      <c r="I110" s="263"/>
      <c r="J110" s="263"/>
      <c r="K110" s="263"/>
      <c r="L110" s="263"/>
    </row>
    <row r="111" spans="2:12">
      <c r="B111" s="263"/>
      <c r="C111" s="263"/>
      <c r="D111" s="263"/>
      <c r="E111" s="263"/>
      <c r="F111" s="263"/>
      <c r="G111" s="263"/>
      <c r="H111" s="263"/>
      <c r="I111" s="263"/>
      <c r="J111" s="263"/>
      <c r="K111" s="263"/>
      <c r="L111" s="263"/>
    </row>
    <row r="112" spans="2:12">
      <c r="B112" s="263"/>
      <c r="C112" s="263"/>
      <c r="D112" s="263"/>
      <c r="E112" s="263"/>
      <c r="F112" s="263"/>
      <c r="G112" s="263"/>
      <c r="H112" s="263"/>
      <c r="I112" s="263"/>
      <c r="J112" s="263"/>
      <c r="K112" s="263"/>
      <c r="L112" s="263"/>
    </row>
    <row r="113" spans="2:12">
      <c r="B113" s="263"/>
      <c r="C113" s="263"/>
      <c r="D113" s="263"/>
      <c r="E113" s="263"/>
      <c r="F113" s="263"/>
      <c r="G113" s="263"/>
      <c r="H113" s="263"/>
      <c r="I113" s="263"/>
      <c r="J113" s="263"/>
      <c r="K113" s="263"/>
      <c r="L113" s="263"/>
    </row>
    <row r="114" spans="2:12">
      <c r="B114" s="263"/>
      <c r="C114" s="263"/>
      <c r="D114" s="263"/>
      <c r="E114" s="263"/>
      <c r="F114" s="263"/>
      <c r="G114" s="263"/>
      <c r="H114" s="263"/>
      <c r="I114" s="263"/>
      <c r="J114" s="263"/>
      <c r="K114" s="263"/>
      <c r="L114" s="263"/>
    </row>
    <row r="115" spans="2:12">
      <c r="B115" s="263"/>
      <c r="C115" s="263"/>
      <c r="D115" s="263"/>
      <c r="E115" s="263"/>
      <c r="F115" s="263"/>
      <c r="G115" s="263"/>
      <c r="H115" s="263"/>
      <c r="I115" s="263"/>
      <c r="J115" s="263"/>
      <c r="K115" s="263"/>
      <c r="L115" s="263"/>
    </row>
    <row r="116" spans="2:12">
      <c r="B116" s="263"/>
      <c r="C116" s="263"/>
      <c r="D116" s="263"/>
      <c r="E116" s="263"/>
      <c r="F116" s="263"/>
      <c r="G116" s="263"/>
      <c r="H116" s="263"/>
      <c r="I116" s="263"/>
      <c r="J116" s="263"/>
      <c r="K116" s="263"/>
      <c r="L116" s="263"/>
    </row>
    <row r="117" spans="2:12">
      <c r="B117" s="263"/>
      <c r="C117" s="263"/>
      <c r="D117" s="263"/>
      <c r="E117" s="263"/>
      <c r="F117" s="263"/>
      <c r="G117" s="263"/>
      <c r="H117" s="263"/>
      <c r="I117" s="263"/>
      <c r="J117" s="263"/>
      <c r="K117" s="263"/>
      <c r="L117" s="263"/>
    </row>
    <row r="118" spans="2:12">
      <c r="B118" s="263"/>
      <c r="C118" s="263"/>
      <c r="D118" s="263"/>
      <c r="E118" s="263"/>
      <c r="F118" s="263"/>
      <c r="G118" s="263"/>
      <c r="H118" s="263"/>
      <c r="I118" s="263"/>
      <c r="J118" s="263"/>
      <c r="K118" s="263"/>
      <c r="L118" s="263"/>
    </row>
    <row r="119" spans="2:12">
      <c r="B119" s="263"/>
      <c r="C119" s="263"/>
      <c r="D119" s="263"/>
      <c r="E119" s="263"/>
      <c r="F119" s="263"/>
      <c r="G119" s="263"/>
      <c r="H119" s="263"/>
      <c r="I119" s="263"/>
      <c r="J119" s="263"/>
      <c r="K119" s="263"/>
      <c r="L119" s="263"/>
    </row>
    <row r="120" spans="2:12">
      <c r="B120" s="263"/>
      <c r="C120" s="263"/>
      <c r="D120" s="263"/>
      <c r="E120" s="263"/>
      <c r="F120" s="263"/>
      <c r="G120" s="263"/>
      <c r="H120" s="263"/>
      <c r="I120" s="263"/>
      <c r="J120" s="263"/>
      <c r="K120" s="263"/>
      <c r="L120" s="263"/>
    </row>
    <row r="121" spans="2:12">
      <c r="B121" s="263"/>
      <c r="C121" s="263"/>
      <c r="D121" s="263"/>
      <c r="E121" s="263"/>
      <c r="F121" s="263"/>
      <c r="G121" s="263"/>
      <c r="H121" s="263"/>
      <c r="I121" s="263"/>
      <c r="J121" s="263"/>
      <c r="K121" s="263"/>
      <c r="L121" s="263"/>
    </row>
    <row r="122" spans="2:12">
      <c r="B122" s="263"/>
      <c r="C122" s="263"/>
      <c r="D122" s="263"/>
      <c r="E122" s="263"/>
      <c r="F122" s="263"/>
      <c r="G122" s="263"/>
      <c r="H122" s="263"/>
      <c r="I122" s="263"/>
      <c r="J122" s="263"/>
      <c r="K122" s="263"/>
      <c r="L122" s="263"/>
    </row>
    <row r="123" spans="2:12">
      <c r="B123" s="263"/>
      <c r="C123" s="263"/>
      <c r="D123" s="263"/>
      <c r="E123" s="263"/>
      <c r="F123" s="263"/>
      <c r="G123" s="263"/>
      <c r="H123" s="263"/>
      <c r="I123" s="263"/>
      <c r="J123" s="263"/>
      <c r="K123" s="263"/>
      <c r="L123" s="263"/>
    </row>
    <row r="124" spans="2:12">
      <c r="B124" s="263"/>
      <c r="C124" s="263"/>
      <c r="D124" s="263"/>
      <c r="E124" s="263"/>
      <c r="F124" s="263"/>
      <c r="G124" s="263"/>
      <c r="H124" s="263"/>
      <c r="I124" s="263"/>
      <c r="J124" s="263"/>
      <c r="K124" s="263"/>
      <c r="L124" s="263"/>
    </row>
    <row r="125" spans="2:12">
      <c r="B125" s="263"/>
      <c r="C125" s="263"/>
      <c r="D125" s="263"/>
      <c r="E125" s="263"/>
      <c r="F125" s="263"/>
      <c r="G125" s="263"/>
      <c r="H125" s="263"/>
      <c r="I125" s="263"/>
      <c r="J125" s="263"/>
      <c r="K125" s="263"/>
      <c r="L125" s="263"/>
    </row>
    <row r="126" spans="2:12">
      <c r="B126" s="263"/>
      <c r="C126" s="263"/>
      <c r="D126" s="263"/>
      <c r="E126" s="263"/>
      <c r="F126" s="263"/>
      <c r="G126" s="263"/>
      <c r="H126" s="263"/>
      <c r="I126" s="263"/>
      <c r="J126" s="263"/>
      <c r="K126" s="263"/>
      <c r="L126" s="263"/>
    </row>
    <row r="127" spans="2:12">
      <c r="B127" s="263"/>
      <c r="C127" s="263"/>
      <c r="D127" s="263"/>
      <c r="E127" s="263"/>
      <c r="F127" s="263"/>
      <c r="G127" s="263"/>
      <c r="H127" s="263"/>
      <c r="I127" s="263"/>
      <c r="J127" s="263"/>
      <c r="K127" s="263"/>
      <c r="L127" s="263"/>
    </row>
    <row r="128" spans="2:12">
      <c r="B128" s="263"/>
      <c r="C128" s="263"/>
      <c r="D128" s="263"/>
      <c r="E128" s="263"/>
      <c r="F128" s="263"/>
      <c r="G128" s="263"/>
      <c r="H128" s="263"/>
      <c r="I128" s="263"/>
      <c r="J128" s="263"/>
      <c r="K128" s="263"/>
      <c r="L128" s="263"/>
    </row>
    <row r="129" spans="2:12">
      <c r="B129" s="263"/>
      <c r="C129" s="263"/>
      <c r="D129" s="263"/>
      <c r="E129" s="263"/>
      <c r="F129" s="263"/>
      <c r="G129" s="263"/>
      <c r="H129" s="263"/>
      <c r="I129" s="263"/>
      <c r="J129" s="263"/>
      <c r="K129" s="263"/>
      <c r="L129" s="263"/>
    </row>
    <row r="130" spans="2:12">
      <c r="B130" s="263"/>
      <c r="C130" s="263"/>
      <c r="D130" s="263"/>
      <c r="E130" s="263"/>
      <c r="F130" s="263"/>
      <c r="G130" s="263"/>
      <c r="H130" s="263"/>
      <c r="I130" s="263"/>
      <c r="J130" s="263"/>
      <c r="K130" s="263"/>
      <c r="L130" s="263"/>
    </row>
    <row r="131" spans="2:12">
      <c r="B131" s="263"/>
      <c r="C131" s="263"/>
      <c r="D131" s="263"/>
      <c r="E131" s="263"/>
      <c r="F131" s="263"/>
      <c r="G131" s="263"/>
      <c r="H131" s="263"/>
      <c r="I131" s="263"/>
      <c r="J131" s="263"/>
      <c r="K131" s="263"/>
      <c r="L131" s="263"/>
    </row>
    <row r="132" spans="2:12">
      <c r="B132" s="263"/>
      <c r="C132" s="263"/>
      <c r="D132" s="263"/>
      <c r="E132" s="263"/>
      <c r="F132" s="263"/>
      <c r="G132" s="263"/>
      <c r="H132" s="263"/>
      <c r="I132" s="263"/>
      <c r="J132" s="263"/>
      <c r="K132" s="263"/>
      <c r="L132" s="263"/>
    </row>
    <row r="133" spans="2:12">
      <c r="B133" s="263"/>
      <c r="C133" s="263"/>
      <c r="D133" s="263"/>
      <c r="E133" s="263"/>
      <c r="F133" s="263"/>
      <c r="G133" s="263"/>
      <c r="H133" s="263"/>
      <c r="I133" s="263"/>
      <c r="J133" s="263"/>
      <c r="K133" s="263"/>
      <c r="L133" s="263"/>
    </row>
    <row r="134" spans="2:12">
      <c r="B134" s="263"/>
      <c r="C134" s="263"/>
      <c r="D134" s="263"/>
      <c r="E134" s="263"/>
      <c r="F134" s="263"/>
      <c r="G134" s="263"/>
      <c r="H134" s="263"/>
      <c r="I134" s="263"/>
      <c r="J134" s="263"/>
      <c r="K134" s="263"/>
      <c r="L134" s="263"/>
    </row>
    <row r="135" spans="2:12">
      <c r="B135" s="263"/>
      <c r="C135" s="263"/>
      <c r="D135" s="263"/>
      <c r="E135" s="263"/>
      <c r="F135" s="263"/>
      <c r="G135" s="263"/>
      <c r="H135" s="263"/>
      <c r="I135" s="263"/>
      <c r="J135" s="263"/>
      <c r="K135" s="263"/>
      <c r="L135" s="263"/>
    </row>
    <row r="136" spans="2:12">
      <c r="B136" s="263"/>
      <c r="C136" s="263"/>
      <c r="D136" s="263"/>
      <c r="E136" s="263"/>
      <c r="F136" s="263"/>
      <c r="G136" s="263"/>
      <c r="H136" s="263"/>
      <c r="I136" s="263"/>
      <c r="J136" s="263"/>
      <c r="K136" s="263"/>
      <c r="L136" s="263"/>
    </row>
    <row r="137" spans="2:12">
      <c r="B137" s="263"/>
      <c r="C137" s="263"/>
      <c r="D137" s="263"/>
      <c r="E137" s="263"/>
      <c r="F137" s="263"/>
      <c r="G137" s="263"/>
      <c r="H137" s="263"/>
      <c r="I137" s="263"/>
      <c r="J137" s="263"/>
      <c r="K137" s="263"/>
      <c r="L137" s="263"/>
    </row>
    <row r="138" spans="2:12">
      <c r="B138" s="263"/>
      <c r="C138" s="263"/>
      <c r="D138" s="263"/>
      <c r="E138" s="263"/>
      <c r="F138" s="263"/>
      <c r="G138" s="263"/>
      <c r="H138" s="263"/>
      <c r="I138" s="263"/>
      <c r="J138" s="263"/>
      <c r="K138" s="263"/>
      <c r="L138" s="263"/>
    </row>
    <row r="139" spans="2:12">
      <c r="B139" s="263"/>
      <c r="C139" s="263"/>
      <c r="D139" s="263"/>
      <c r="E139" s="263"/>
      <c r="F139" s="263"/>
      <c r="G139" s="263"/>
      <c r="H139" s="263"/>
      <c r="I139" s="263"/>
      <c r="J139" s="263"/>
      <c r="K139" s="263"/>
      <c r="L139" s="263"/>
    </row>
    <row r="140" spans="2:12">
      <c r="B140" s="263"/>
      <c r="C140" s="263"/>
      <c r="D140" s="263"/>
      <c r="E140" s="263"/>
      <c r="F140" s="263"/>
      <c r="G140" s="263"/>
      <c r="H140" s="263"/>
      <c r="I140" s="263"/>
      <c r="J140" s="263"/>
      <c r="K140" s="263"/>
      <c r="L140" s="263"/>
    </row>
    <row r="141" spans="2:12">
      <c r="B141" s="263"/>
      <c r="C141" s="263"/>
      <c r="D141" s="263"/>
      <c r="E141" s="263"/>
      <c r="F141" s="263"/>
      <c r="G141" s="263"/>
      <c r="H141" s="263"/>
      <c r="I141" s="263"/>
      <c r="J141" s="263"/>
      <c r="K141" s="263"/>
      <c r="L141" s="263"/>
    </row>
    <row r="142" spans="2:12">
      <c r="B142" s="263"/>
      <c r="C142" s="263"/>
      <c r="D142" s="263"/>
      <c r="E142" s="263"/>
      <c r="F142" s="263"/>
      <c r="G142" s="263"/>
      <c r="H142" s="263"/>
      <c r="I142" s="263"/>
      <c r="J142" s="263"/>
      <c r="K142" s="263"/>
      <c r="L142" s="263"/>
    </row>
    <row r="143" spans="2:12">
      <c r="B143" s="263"/>
      <c r="C143" s="263"/>
      <c r="D143" s="263"/>
      <c r="E143" s="263"/>
      <c r="F143" s="263"/>
      <c r="G143" s="263"/>
      <c r="H143" s="263"/>
      <c r="I143" s="263"/>
      <c r="J143" s="263"/>
      <c r="K143" s="263"/>
      <c r="L143" s="263"/>
    </row>
    <row r="144" spans="2:12">
      <c r="B144" s="263"/>
      <c r="C144" s="263"/>
      <c r="D144" s="263"/>
      <c r="E144" s="263"/>
      <c r="F144" s="263"/>
      <c r="G144" s="263"/>
      <c r="H144" s="263"/>
      <c r="I144" s="263"/>
      <c r="J144" s="263"/>
      <c r="K144" s="263"/>
      <c r="L144" s="263"/>
    </row>
    <row r="145" spans="2:12">
      <c r="B145" s="263"/>
      <c r="C145" s="263"/>
      <c r="D145" s="263"/>
      <c r="E145" s="263"/>
      <c r="F145" s="263"/>
      <c r="G145" s="263"/>
      <c r="H145" s="263"/>
      <c r="I145" s="263"/>
      <c r="J145" s="263"/>
      <c r="K145" s="263"/>
      <c r="L145" s="263"/>
    </row>
    <row r="146" spans="2:12">
      <c r="B146" s="263"/>
      <c r="C146" s="263"/>
      <c r="D146" s="263"/>
      <c r="E146" s="263"/>
      <c r="F146" s="263"/>
      <c r="G146" s="263"/>
      <c r="H146" s="263"/>
      <c r="I146" s="263"/>
      <c r="J146" s="263"/>
      <c r="K146" s="263"/>
      <c r="L146" s="263"/>
    </row>
    <row r="147" spans="2:12">
      <c r="B147" s="263"/>
      <c r="C147" s="263"/>
      <c r="D147" s="263"/>
      <c r="E147" s="263"/>
      <c r="F147" s="263"/>
      <c r="G147" s="263"/>
      <c r="H147" s="263"/>
      <c r="I147" s="263"/>
      <c r="J147" s="263"/>
      <c r="K147" s="263"/>
      <c r="L147" s="263"/>
    </row>
    <row r="148" spans="2:12">
      <c r="B148" s="263"/>
      <c r="C148" s="263"/>
      <c r="D148" s="263"/>
      <c r="E148" s="263"/>
      <c r="F148" s="263"/>
      <c r="G148" s="263"/>
      <c r="H148" s="263"/>
      <c r="I148" s="263"/>
      <c r="J148" s="263"/>
      <c r="K148" s="263"/>
      <c r="L148" s="263"/>
    </row>
    <row r="149" spans="2:12">
      <c r="B149" s="263"/>
      <c r="C149" s="263"/>
      <c r="D149" s="263"/>
      <c r="E149" s="263"/>
      <c r="F149" s="263"/>
      <c r="G149" s="263"/>
      <c r="H149" s="263"/>
      <c r="I149" s="263"/>
      <c r="J149" s="263"/>
      <c r="K149" s="263"/>
      <c r="L149" s="263"/>
    </row>
    <row r="150" spans="2:12">
      <c r="B150" s="263"/>
      <c r="C150" s="263"/>
      <c r="D150" s="263"/>
      <c r="E150" s="263"/>
      <c r="F150" s="263"/>
      <c r="G150" s="263"/>
      <c r="H150" s="263"/>
      <c r="I150" s="263"/>
      <c r="J150" s="263"/>
      <c r="K150" s="263"/>
      <c r="L150" s="263"/>
    </row>
    <row r="151" spans="2:12">
      <c r="B151" s="263"/>
      <c r="C151" s="263"/>
      <c r="D151" s="263"/>
      <c r="E151" s="263"/>
      <c r="F151" s="263"/>
      <c r="G151" s="263"/>
      <c r="H151" s="263"/>
      <c r="I151" s="263"/>
      <c r="J151" s="263"/>
      <c r="K151" s="263"/>
      <c r="L151" s="263"/>
    </row>
    <row r="152" spans="2:12">
      <c r="B152" s="263"/>
      <c r="C152" s="263"/>
      <c r="D152" s="263"/>
      <c r="E152" s="263"/>
      <c r="F152" s="263"/>
      <c r="G152" s="263"/>
      <c r="H152" s="263"/>
      <c r="I152" s="263"/>
      <c r="J152" s="263"/>
      <c r="K152" s="263"/>
      <c r="L152" s="263"/>
    </row>
    <row r="153" spans="2:12">
      <c r="B153" s="263"/>
      <c r="C153" s="263"/>
      <c r="D153" s="263"/>
      <c r="E153" s="263"/>
      <c r="F153" s="263"/>
      <c r="G153" s="263"/>
      <c r="H153" s="263"/>
      <c r="I153" s="263"/>
      <c r="J153" s="263"/>
      <c r="K153" s="263"/>
      <c r="L153" s="263"/>
    </row>
    <row r="154" spans="2:12">
      <c r="B154" s="263"/>
      <c r="C154" s="263"/>
      <c r="D154" s="263"/>
      <c r="E154" s="263"/>
      <c r="F154" s="263"/>
      <c r="G154" s="263"/>
      <c r="H154" s="263"/>
      <c r="I154" s="263"/>
      <c r="J154" s="263"/>
      <c r="K154" s="263"/>
      <c r="L154" s="263"/>
    </row>
    <row r="155" spans="2:12">
      <c r="B155" s="263"/>
      <c r="C155" s="263"/>
      <c r="D155" s="263"/>
      <c r="E155" s="263"/>
      <c r="F155" s="263"/>
      <c r="G155" s="263"/>
      <c r="H155" s="263"/>
      <c r="I155" s="263"/>
      <c r="J155" s="263"/>
      <c r="K155" s="263"/>
      <c r="L155" s="263"/>
    </row>
    <row r="156" spans="2:12">
      <c r="B156" s="263"/>
      <c r="C156" s="263"/>
      <c r="D156" s="263"/>
      <c r="E156" s="263"/>
      <c r="F156" s="263"/>
      <c r="G156" s="263"/>
      <c r="H156" s="263"/>
      <c r="I156" s="263"/>
      <c r="J156" s="263"/>
      <c r="K156" s="263"/>
      <c r="L156" s="263"/>
    </row>
    <row r="157" spans="2:12">
      <c r="B157" s="263"/>
      <c r="C157" s="263"/>
      <c r="D157" s="263"/>
      <c r="E157" s="263"/>
      <c r="F157" s="263"/>
      <c r="G157" s="263"/>
      <c r="H157" s="263"/>
      <c r="I157" s="263"/>
      <c r="J157" s="263"/>
      <c r="K157" s="263"/>
      <c r="L157" s="263"/>
    </row>
    <row r="158" spans="2:12">
      <c r="B158" s="263"/>
      <c r="C158" s="263"/>
      <c r="D158" s="263"/>
      <c r="E158" s="263"/>
      <c r="F158" s="263"/>
      <c r="G158" s="263"/>
      <c r="H158" s="263"/>
      <c r="I158" s="263"/>
      <c r="J158" s="263"/>
      <c r="K158" s="263"/>
      <c r="L158" s="263"/>
    </row>
    <row r="159" spans="2:12">
      <c r="B159" s="263"/>
      <c r="C159" s="263"/>
      <c r="D159" s="263"/>
      <c r="E159" s="263"/>
      <c r="F159" s="263"/>
      <c r="G159" s="263"/>
      <c r="H159" s="263"/>
      <c r="I159" s="263"/>
      <c r="J159" s="263"/>
      <c r="K159" s="263"/>
      <c r="L159" s="263"/>
    </row>
    <row r="160" spans="2:12">
      <c r="B160" s="263"/>
      <c r="C160" s="263"/>
      <c r="D160" s="263"/>
      <c r="E160" s="263"/>
      <c r="F160" s="263"/>
      <c r="G160" s="263"/>
      <c r="H160" s="263"/>
      <c r="I160" s="263"/>
      <c r="J160" s="263"/>
      <c r="K160" s="263"/>
      <c r="L160" s="263"/>
    </row>
    <row r="161" spans="2:12">
      <c r="B161" s="263"/>
      <c r="C161" s="263"/>
      <c r="D161" s="263"/>
      <c r="E161" s="263"/>
      <c r="F161" s="263"/>
      <c r="G161" s="263"/>
      <c r="H161" s="263"/>
      <c r="I161" s="263"/>
      <c r="J161" s="263"/>
      <c r="K161" s="263"/>
      <c r="L161" s="263"/>
    </row>
    <row r="162" spans="2:12">
      <c r="B162" s="263"/>
      <c r="C162" s="263"/>
      <c r="D162" s="263"/>
      <c r="E162" s="263"/>
      <c r="F162" s="263"/>
      <c r="G162" s="263"/>
      <c r="H162" s="263"/>
      <c r="I162" s="263"/>
      <c r="J162" s="263"/>
      <c r="K162" s="263"/>
      <c r="L162" s="263"/>
    </row>
    <row r="163" spans="2:12">
      <c r="B163" s="263"/>
      <c r="C163" s="263"/>
      <c r="D163" s="263"/>
      <c r="E163" s="263"/>
      <c r="F163" s="263"/>
      <c r="G163" s="263"/>
      <c r="H163" s="263"/>
      <c r="I163" s="263"/>
      <c r="J163" s="263"/>
      <c r="K163" s="263"/>
      <c r="L163" s="263"/>
    </row>
    <row r="164" spans="2:12">
      <c r="B164" s="263"/>
      <c r="C164" s="263"/>
      <c r="D164" s="263"/>
      <c r="E164" s="263"/>
      <c r="F164" s="263"/>
      <c r="G164" s="263"/>
      <c r="H164" s="263"/>
      <c r="I164" s="263"/>
      <c r="J164" s="263"/>
      <c r="K164" s="263"/>
      <c r="L164" s="263"/>
    </row>
    <row r="165" spans="2:12">
      <c r="B165" s="263"/>
      <c r="C165" s="263"/>
      <c r="D165" s="263"/>
      <c r="E165" s="263"/>
      <c r="F165" s="263"/>
      <c r="G165" s="263"/>
      <c r="H165" s="263"/>
      <c r="I165" s="263"/>
      <c r="J165" s="263"/>
      <c r="K165" s="263"/>
      <c r="L165" s="263"/>
    </row>
    <row r="166" spans="2:12">
      <c r="B166" s="263"/>
      <c r="C166" s="263"/>
      <c r="D166" s="263"/>
      <c r="E166" s="263"/>
      <c r="F166" s="263"/>
      <c r="G166" s="263"/>
      <c r="H166" s="263"/>
      <c r="I166" s="263"/>
      <c r="J166" s="263"/>
      <c r="K166" s="263"/>
      <c r="L166" s="263"/>
    </row>
    <row r="167" spans="2:12">
      <c r="B167" s="263"/>
      <c r="C167" s="263"/>
      <c r="D167" s="263"/>
      <c r="E167" s="263"/>
      <c r="F167" s="263"/>
      <c r="G167" s="263"/>
      <c r="H167" s="263"/>
      <c r="I167" s="263"/>
      <c r="J167" s="263"/>
      <c r="K167" s="263"/>
      <c r="L167" s="263"/>
    </row>
    <row r="168" spans="2:12">
      <c r="B168" s="263"/>
      <c r="C168" s="263"/>
      <c r="D168" s="263"/>
      <c r="E168" s="263"/>
      <c r="F168" s="263"/>
      <c r="G168" s="263"/>
      <c r="H168" s="263"/>
      <c r="I168" s="263"/>
      <c r="J168" s="263"/>
      <c r="K168" s="263"/>
      <c r="L168" s="263"/>
    </row>
    <row r="169" spans="2:12">
      <c r="B169" s="263"/>
      <c r="C169" s="263"/>
      <c r="D169" s="263"/>
      <c r="E169" s="263"/>
      <c r="F169" s="263"/>
      <c r="G169" s="263"/>
      <c r="H169" s="263"/>
      <c r="I169" s="263"/>
      <c r="J169" s="263"/>
      <c r="K169" s="263"/>
      <c r="L169" s="263"/>
    </row>
    <row r="170" spans="2:12">
      <c r="B170" s="263"/>
      <c r="C170" s="263"/>
      <c r="D170" s="263"/>
      <c r="E170" s="263"/>
      <c r="F170" s="263"/>
      <c r="G170" s="263"/>
      <c r="H170" s="263"/>
      <c r="I170" s="263"/>
      <c r="J170" s="263"/>
      <c r="K170" s="263"/>
      <c r="L170" s="263"/>
    </row>
    <row r="171" spans="2:12">
      <c r="B171" s="263"/>
      <c r="C171" s="263"/>
      <c r="D171" s="263"/>
      <c r="E171" s="263"/>
      <c r="F171" s="263"/>
      <c r="G171" s="263"/>
      <c r="H171" s="263"/>
      <c r="I171" s="263"/>
      <c r="J171" s="263"/>
      <c r="K171" s="263"/>
      <c r="L171" s="263"/>
    </row>
    <row r="172" spans="2:12">
      <c r="B172" s="263"/>
      <c r="C172" s="263"/>
      <c r="D172" s="263"/>
      <c r="E172" s="263"/>
      <c r="F172" s="263"/>
      <c r="G172" s="263"/>
      <c r="H172" s="263"/>
      <c r="I172" s="263"/>
      <c r="J172" s="263"/>
      <c r="K172" s="263"/>
      <c r="L172" s="263"/>
    </row>
    <row r="173" spans="2:12">
      <c r="B173" s="263"/>
      <c r="C173" s="263"/>
      <c r="D173" s="263"/>
      <c r="E173" s="263"/>
      <c r="F173" s="263"/>
      <c r="G173" s="263"/>
      <c r="H173" s="263"/>
      <c r="I173" s="263"/>
      <c r="J173" s="263"/>
      <c r="K173" s="263"/>
      <c r="L173" s="263"/>
    </row>
    <row r="174" spans="2:12">
      <c r="B174" s="263"/>
      <c r="C174" s="263"/>
      <c r="D174" s="263"/>
      <c r="E174" s="263"/>
      <c r="F174" s="263"/>
      <c r="G174" s="263"/>
      <c r="H174" s="263"/>
      <c r="I174" s="263"/>
      <c r="J174" s="263"/>
      <c r="K174" s="263"/>
      <c r="L174" s="263"/>
    </row>
    <row r="175" spans="2:12">
      <c r="B175" s="263"/>
      <c r="C175" s="263"/>
      <c r="D175" s="263"/>
      <c r="E175" s="263"/>
      <c r="F175" s="263"/>
      <c r="G175" s="263"/>
      <c r="H175" s="263"/>
      <c r="I175" s="263"/>
      <c r="J175" s="263"/>
      <c r="K175" s="263"/>
      <c r="L175" s="263"/>
    </row>
    <row r="176" spans="2:12">
      <c r="B176" s="263"/>
      <c r="C176" s="263"/>
      <c r="D176" s="263"/>
      <c r="E176" s="263"/>
      <c r="F176" s="263"/>
      <c r="G176" s="263"/>
      <c r="H176" s="263"/>
      <c r="I176" s="263"/>
      <c r="J176" s="263"/>
      <c r="K176" s="263"/>
      <c r="L176" s="263"/>
    </row>
    <row r="177" spans="2:12">
      <c r="B177" s="263"/>
      <c r="C177" s="263"/>
      <c r="D177" s="263"/>
      <c r="E177" s="263"/>
      <c r="F177" s="263"/>
      <c r="G177" s="263"/>
      <c r="H177" s="263"/>
      <c r="I177" s="263"/>
      <c r="J177" s="263"/>
      <c r="K177" s="263"/>
      <c r="L177" s="263"/>
    </row>
    <row r="178" spans="2:12">
      <c r="B178" s="263"/>
      <c r="C178" s="263"/>
      <c r="D178" s="263"/>
      <c r="E178" s="263"/>
      <c r="F178" s="263"/>
      <c r="G178" s="263"/>
      <c r="H178" s="263"/>
      <c r="I178" s="263"/>
      <c r="J178" s="263"/>
      <c r="K178" s="263"/>
      <c r="L178" s="263"/>
    </row>
    <row r="179" spans="2:12">
      <c r="B179" s="263"/>
      <c r="C179" s="263"/>
      <c r="D179" s="263"/>
      <c r="E179" s="263"/>
      <c r="F179" s="263"/>
      <c r="G179" s="263"/>
      <c r="H179" s="263"/>
      <c r="I179" s="263"/>
      <c r="J179" s="263"/>
      <c r="K179" s="263"/>
      <c r="L179" s="263"/>
    </row>
    <row r="180" spans="2:12">
      <c r="B180" s="263"/>
      <c r="C180" s="263"/>
      <c r="D180" s="263"/>
      <c r="E180" s="263"/>
      <c r="F180" s="263"/>
      <c r="G180" s="263"/>
      <c r="H180" s="263"/>
      <c r="I180" s="263"/>
      <c r="J180" s="263"/>
      <c r="K180" s="263"/>
      <c r="L180" s="263"/>
    </row>
    <row r="181" spans="2:12">
      <c r="B181" s="263"/>
      <c r="C181" s="263"/>
      <c r="D181" s="263"/>
      <c r="E181" s="263"/>
      <c r="F181" s="263"/>
      <c r="G181" s="263"/>
      <c r="H181" s="263"/>
      <c r="I181" s="263"/>
      <c r="J181" s="263"/>
      <c r="K181" s="263"/>
      <c r="L181" s="263"/>
    </row>
    <row r="182" spans="2:12">
      <c r="B182" s="263"/>
      <c r="C182" s="263"/>
      <c r="D182" s="263"/>
      <c r="E182" s="263"/>
      <c r="F182" s="263"/>
      <c r="G182" s="263"/>
      <c r="H182" s="263"/>
      <c r="I182" s="263"/>
      <c r="J182" s="263"/>
      <c r="K182" s="263"/>
      <c r="L182" s="263"/>
    </row>
    <row r="183" spans="2:12">
      <c r="B183" s="263"/>
      <c r="C183" s="263"/>
      <c r="D183" s="263"/>
      <c r="E183" s="263"/>
      <c r="F183" s="263"/>
      <c r="G183" s="263"/>
      <c r="H183" s="263"/>
      <c r="I183" s="263"/>
      <c r="J183" s="263"/>
      <c r="K183" s="263"/>
      <c r="L183" s="263"/>
    </row>
    <row r="184" spans="2:12">
      <c r="B184" s="263"/>
      <c r="C184" s="263"/>
      <c r="D184" s="263"/>
      <c r="E184" s="263"/>
      <c r="F184" s="263"/>
      <c r="G184" s="263"/>
      <c r="H184" s="263"/>
      <c r="I184" s="263"/>
      <c r="J184" s="263"/>
      <c r="K184" s="263"/>
      <c r="L184" s="263"/>
    </row>
    <row r="185" spans="2:12">
      <c r="B185" s="263"/>
      <c r="C185" s="263"/>
      <c r="D185" s="263"/>
      <c r="E185" s="263"/>
      <c r="F185" s="263"/>
      <c r="G185" s="263"/>
      <c r="H185" s="263"/>
      <c r="I185" s="263"/>
      <c r="J185" s="263"/>
      <c r="K185" s="263"/>
      <c r="L185" s="263"/>
    </row>
    <row r="186" spans="2:12">
      <c r="B186" s="263"/>
      <c r="C186" s="263"/>
      <c r="D186" s="263"/>
      <c r="E186" s="263"/>
      <c r="F186" s="263"/>
      <c r="G186" s="263"/>
      <c r="H186" s="263"/>
      <c r="I186" s="263"/>
      <c r="J186" s="263"/>
      <c r="K186" s="263"/>
      <c r="L186" s="263"/>
    </row>
    <row r="187" spans="2:12">
      <c r="B187" s="263"/>
      <c r="C187" s="263"/>
      <c r="D187" s="263"/>
      <c r="E187" s="263"/>
      <c r="F187" s="263"/>
      <c r="G187" s="263"/>
      <c r="H187" s="263"/>
      <c r="I187" s="263"/>
      <c r="J187" s="263"/>
      <c r="K187" s="263"/>
      <c r="L187" s="263"/>
    </row>
    <row r="188" spans="2:12">
      <c r="B188" s="263"/>
      <c r="C188" s="263"/>
      <c r="D188" s="263"/>
      <c r="E188" s="263"/>
      <c r="F188" s="263"/>
      <c r="G188" s="263"/>
      <c r="H188" s="263"/>
      <c r="I188" s="263"/>
      <c r="J188" s="263"/>
      <c r="K188" s="263"/>
      <c r="L188" s="263"/>
    </row>
    <row r="189" spans="2:12">
      <c r="B189" s="263"/>
      <c r="C189" s="263"/>
      <c r="D189" s="263"/>
      <c r="E189" s="263"/>
      <c r="F189" s="263"/>
      <c r="G189" s="263"/>
      <c r="H189" s="263"/>
      <c r="I189" s="263"/>
      <c r="J189" s="263"/>
      <c r="K189" s="263"/>
      <c r="L189" s="263"/>
    </row>
    <row r="190" spans="2:12">
      <c r="B190" s="263"/>
      <c r="C190" s="263"/>
      <c r="D190" s="263"/>
      <c r="E190" s="263"/>
      <c r="F190" s="263"/>
      <c r="G190" s="263"/>
      <c r="H190" s="263"/>
      <c r="I190" s="263"/>
      <c r="J190" s="263"/>
      <c r="K190" s="263"/>
      <c r="L190" s="263"/>
    </row>
    <row r="191" spans="2:12">
      <c r="B191" s="263"/>
      <c r="C191" s="263"/>
      <c r="D191" s="263"/>
      <c r="E191" s="263"/>
      <c r="F191" s="263"/>
      <c r="G191" s="263"/>
      <c r="H191" s="263"/>
      <c r="I191" s="263"/>
      <c r="J191" s="263"/>
      <c r="K191" s="263"/>
      <c r="L191" s="263"/>
    </row>
    <row r="192" spans="2:12">
      <c r="B192" s="263"/>
      <c r="C192" s="263"/>
      <c r="D192" s="263"/>
      <c r="E192" s="263"/>
      <c r="F192" s="263"/>
      <c r="G192" s="263"/>
      <c r="H192" s="263"/>
      <c r="I192" s="263"/>
      <c r="J192" s="263"/>
      <c r="K192" s="263"/>
      <c r="L192" s="263"/>
    </row>
    <row r="193" spans="2:12">
      <c r="B193" s="263"/>
      <c r="C193" s="263"/>
      <c r="D193" s="263"/>
      <c r="E193" s="263"/>
      <c r="F193" s="263"/>
      <c r="G193" s="263"/>
      <c r="H193" s="263"/>
      <c r="I193" s="263"/>
      <c r="J193" s="263"/>
      <c r="K193" s="263"/>
      <c r="L193" s="263"/>
    </row>
    <row r="194" spans="2:12">
      <c r="B194" s="263"/>
      <c r="C194" s="263"/>
      <c r="D194" s="263"/>
      <c r="E194" s="263"/>
      <c r="F194" s="263"/>
      <c r="G194" s="263"/>
      <c r="H194" s="263"/>
      <c r="I194" s="263"/>
      <c r="J194" s="263"/>
      <c r="K194" s="263"/>
      <c r="L194" s="263"/>
    </row>
    <row r="195" spans="2:12">
      <c r="B195" s="263"/>
      <c r="C195" s="263"/>
      <c r="D195" s="263"/>
      <c r="E195" s="263"/>
      <c r="F195" s="263"/>
      <c r="G195" s="263"/>
      <c r="H195" s="263"/>
      <c r="I195" s="263"/>
      <c r="J195" s="263"/>
      <c r="K195" s="263"/>
      <c r="L195" s="263"/>
    </row>
    <row r="196" spans="2:12">
      <c r="B196" s="263"/>
      <c r="C196" s="263"/>
      <c r="D196" s="263"/>
      <c r="E196" s="263"/>
      <c r="F196" s="263"/>
      <c r="G196" s="263"/>
      <c r="H196" s="263"/>
      <c r="I196" s="263"/>
      <c r="J196" s="263"/>
      <c r="K196" s="263"/>
      <c r="L196" s="263"/>
    </row>
    <row r="197" spans="2:12">
      <c r="B197" s="263"/>
      <c r="C197" s="263"/>
      <c r="D197" s="263"/>
      <c r="E197" s="263"/>
      <c r="F197" s="263"/>
      <c r="G197" s="263"/>
      <c r="H197" s="263"/>
      <c r="I197" s="263"/>
      <c r="J197" s="263"/>
      <c r="K197" s="263"/>
      <c r="L197" s="263"/>
    </row>
    <row r="198" spans="2:12">
      <c r="B198" s="263"/>
      <c r="C198" s="263"/>
      <c r="D198" s="263"/>
      <c r="E198" s="263"/>
      <c r="F198" s="263"/>
      <c r="G198" s="263"/>
      <c r="H198" s="263"/>
      <c r="I198" s="263"/>
      <c r="J198" s="263"/>
      <c r="K198" s="263"/>
      <c r="L198" s="263"/>
    </row>
    <row r="199" spans="2:12">
      <c r="B199" s="263"/>
      <c r="C199" s="263"/>
      <c r="D199" s="263"/>
      <c r="E199" s="263"/>
      <c r="F199" s="263"/>
      <c r="G199" s="263"/>
      <c r="H199" s="263"/>
      <c r="I199" s="263"/>
      <c r="J199" s="263"/>
      <c r="K199" s="263"/>
      <c r="L199" s="263"/>
    </row>
    <row r="200" spans="2:12">
      <c r="B200" s="263"/>
      <c r="C200" s="263"/>
      <c r="D200" s="263"/>
      <c r="E200" s="263"/>
      <c r="F200" s="263"/>
      <c r="G200" s="263"/>
      <c r="H200" s="263"/>
      <c r="I200" s="263"/>
      <c r="J200" s="263"/>
      <c r="K200" s="263"/>
      <c r="L200" s="263"/>
    </row>
    <row r="201" spans="2:12">
      <c r="B201" s="263"/>
      <c r="C201" s="263"/>
      <c r="D201" s="263"/>
      <c r="E201" s="263"/>
      <c r="F201" s="263"/>
      <c r="G201" s="263"/>
      <c r="H201" s="263"/>
      <c r="I201" s="263"/>
      <c r="J201" s="263"/>
      <c r="K201" s="263"/>
      <c r="L201" s="263"/>
    </row>
    <row r="202" spans="2:12">
      <c r="B202" s="263"/>
      <c r="C202" s="263"/>
      <c r="D202" s="263"/>
      <c r="E202" s="263"/>
      <c r="F202" s="263"/>
      <c r="G202" s="263"/>
      <c r="H202" s="263"/>
      <c r="I202" s="263"/>
      <c r="J202" s="263"/>
      <c r="K202" s="263"/>
      <c r="L202" s="263"/>
    </row>
    <row r="203" spans="2:12">
      <c r="B203" s="263"/>
      <c r="C203" s="263"/>
      <c r="D203" s="263"/>
      <c r="E203" s="263"/>
      <c r="F203" s="263"/>
      <c r="G203" s="263"/>
      <c r="H203" s="263"/>
      <c r="I203" s="263"/>
      <c r="J203" s="263"/>
      <c r="K203" s="263"/>
      <c r="L203" s="263"/>
    </row>
    <row r="204" spans="2:12">
      <c r="B204" s="263"/>
      <c r="C204" s="263"/>
      <c r="D204" s="263"/>
      <c r="E204" s="263"/>
      <c r="F204" s="263"/>
      <c r="G204" s="263"/>
      <c r="H204" s="263"/>
      <c r="I204" s="263"/>
      <c r="J204" s="263"/>
      <c r="K204" s="263"/>
      <c r="L204" s="263"/>
    </row>
    <row r="205" spans="2:12">
      <c r="B205" s="263"/>
      <c r="C205" s="263"/>
      <c r="D205" s="263"/>
      <c r="E205" s="263"/>
      <c r="F205" s="263"/>
      <c r="G205" s="263"/>
      <c r="H205" s="263"/>
      <c r="I205" s="263"/>
      <c r="J205" s="263"/>
      <c r="K205" s="263"/>
      <c r="L205" s="263"/>
    </row>
    <row r="206" spans="2:12">
      <c r="B206" s="263"/>
      <c r="C206" s="263"/>
      <c r="D206" s="263"/>
      <c r="E206" s="263"/>
      <c r="F206" s="263"/>
      <c r="G206" s="263"/>
      <c r="H206" s="263"/>
      <c r="I206" s="263"/>
      <c r="J206" s="263"/>
      <c r="K206" s="263"/>
      <c r="L206" s="263"/>
    </row>
    <row r="207" spans="2:12">
      <c r="B207" s="263"/>
      <c r="C207" s="263"/>
      <c r="D207" s="263"/>
      <c r="E207" s="263"/>
      <c r="F207" s="263"/>
      <c r="G207" s="263"/>
      <c r="H207" s="263"/>
      <c r="I207" s="263"/>
      <c r="J207" s="263"/>
      <c r="K207" s="263"/>
      <c r="L207" s="263"/>
    </row>
    <row r="208" spans="2:12">
      <c r="B208" s="263"/>
      <c r="C208" s="263"/>
      <c r="D208" s="263"/>
      <c r="E208" s="263"/>
      <c r="F208" s="263"/>
      <c r="G208" s="263"/>
      <c r="H208" s="263"/>
      <c r="I208" s="263"/>
      <c r="J208" s="263"/>
      <c r="K208" s="263"/>
      <c r="L208" s="263"/>
    </row>
    <row r="209" spans="2:12">
      <c r="B209" s="263"/>
      <c r="C209" s="263"/>
      <c r="D209" s="263"/>
      <c r="E209" s="263"/>
      <c r="F209" s="263"/>
      <c r="G209" s="263"/>
      <c r="H209" s="263"/>
      <c r="I209" s="263"/>
      <c r="J209" s="263"/>
      <c r="K209" s="263"/>
      <c r="L209" s="263"/>
    </row>
    <row r="210" spans="2:12">
      <c r="B210" s="263"/>
      <c r="C210" s="263"/>
      <c r="D210" s="263"/>
      <c r="E210" s="263"/>
      <c r="F210" s="263"/>
      <c r="G210" s="263"/>
      <c r="H210" s="263"/>
      <c r="I210" s="263"/>
      <c r="J210" s="263"/>
      <c r="K210" s="263"/>
      <c r="L210" s="263"/>
    </row>
    <row r="211" spans="2:12">
      <c r="B211" s="263"/>
      <c r="C211" s="263"/>
      <c r="D211" s="263"/>
      <c r="E211" s="263"/>
      <c r="F211" s="263"/>
      <c r="G211" s="263"/>
      <c r="H211" s="263"/>
      <c r="I211" s="263"/>
      <c r="J211" s="263"/>
      <c r="K211" s="263"/>
      <c r="L211" s="263"/>
    </row>
    <row r="212" spans="2:12">
      <c r="B212" s="263"/>
      <c r="C212" s="263"/>
      <c r="D212" s="263"/>
      <c r="E212" s="263"/>
      <c r="F212" s="263"/>
      <c r="G212" s="263"/>
      <c r="H212" s="263"/>
      <c r="I212" s="263"/>
      <c r="J212" s="263"/>
      <c r="K212" s="263"/>
      <c r="L212" s="263"/>
    </row>
    <row r="213" spans="2:12">
      <c r="B213" s="263"/>
      <c r="C213" s="263"/>
      <c r="D213" s="263"/>
      <c r="E213" s="263"/>
      <c r="F213" s="263"/>
      <c r="G213" s="263"/>
      <c r="H213" s="263"/>
      <c r="I213" s="263"/>
      <c r="J213" s="263"/>
      <c r="K213" s="263"/>
      <c r="L213" s="263"/>
    </row>
    <row r="214" spans="2:12">
      <c r="B214" s="263"/>
      <c r="C214" s="263"/>
      <c r="D214" s="263"/>
      <c r="E214" s="263"/>
      <c r="F214" s="263"/>
      <c r="G214" s="263"/>
      <c r="H214" s="263"/>
      <c r="I214" s="263"/>
      <c r="J214" s="263"/>
      <c r="K214" s="263"/>
      <c r="L214" s="263"/>
    </row>
    <row r="215" spans="2:12">
      <c r="B215" s="263"/>
      <c r="C215" s="263"/>
      <c r="D215" s="263"/>
      <c r="E215" s="263"/>
      <c r="F215" s="263"/>
      <c r="G215" s="263"/>
      <c r="H215" s="263"/>
      <c r="I215" s="263"/>
      <c r="J215" s="263"/>
      <c r="K215" s="263"/>
      <c r="L215" s="263"/>
    </row>
    <row r="216" spans="2:12">
      <c r="B216" s="263"/>
      <c r="C216" s="263"/>
      <c r="D216" s="263"/>
      <c r="E216" s="263"/>
      <c r="F216" s="263"/>
      <c r="G216" s="263"/>
      <c r="H216" s="263"/>
      <c r="I216" s="263"/>
      <c r="J216" s="263"/>
      <c r="K216" s="263"/>
      <c r="L216" s="263"/>
    </row>
    <row r="217" spans="2:12">
      <c r="B217" s="263"/>
      <c r="C217" s="263"/>
      <c r="D217" s="263"/>
      <c r="E217" s="263"/>
      <c r="F217" s="263"/>
      <c r="G217" s="263"/>
      <c r="H217" s="263"/>
      <c r="I217" s="263"/>
      <c r="J217" s="263"/>
      <c r="K217" s="263"/>
      <c r="L217" s="263"/>
    </row>
    <row r="218" spans="2:12">
      <c r="B218" s="263"/>
      <c r="C218" s="263"/>
      <c r="D218" s="263"/>
      <c r="E218" s="263"/>
      <c r="F218" s="263"/>
      <c r="G218" s="263"/>
      <c r="H218" s="263"/>
      <c r="I218" s="263"/>
      <c r="J218" s="263"/>
      <c r="K218" s="263"/>
      <c r="L218" s="263"/>
    </row>
    <row r="219" spans="2:12">
      <c r="B219" s="263"/>
      <c r="C219" s="263"/>
      <c r="D219" s="263"/>
      <c r="E219" s="263"/>
      <c r="F219" s="263"/>
      <c r="G219" s="263"/>
      <c r="H219" s="263"/>
      <c r="I219" s="263"/>
      <c r="J219" s="263"/>
      <c r="K219" s="263"/>
      <c r="L219" s="263"/>
    </row>
    <row r="220" spans="2:12">
      <c r="B220" s="263"/>
      <c r="C220" s="263"/>
      <c r="D220" s="263"/>
      <c r="E220" s="263"/>
      <c r="F220" s="263"/>
      <c r="G220" s="263"/>
      <c r="H220" s="263"/>
      <c r="I220" s="263"/>
      <c r="J220" s="263"/>
      <c r="K220" s="263"/>
      <c r="L220" s="263"/>
    </row>
    <row r="221" spans="2:12">
      <c r="B221" s="263"/>
      <c r="C221" s="263"/>
      <c r="D221" s="263"/>
      <c r="E221" s="263"/>
      <c r="F221" s="263"/>
      <c r="G221" s="263"/>
      <c r="H221" s="263"/>
      <c r="I221" s="263"/>
      <c r="J221" s="263"/>
      <c r="K221" s="263"/>
      <c r="L221" s="263"/>
    </row>
    <row r="222" spans="2:12">
      <c r="B222" s="263"/>
      <c r="C222" s="263"/>
      <c r="D222" s="263"/>
      <c r="E222" s="263"/>
      <c r="F222" s="263"/>
      <c r="G222" s="263"/>
      <c r="H222" s="263"/>
      <c r="I222" s="263"/>
      <c r="J222" s="263"/>
      <c r="K222" s="263"/>
      <c r="L222" s="263"/>
    </row>
    <row r="223" spans="2:12">
      <c r="B223" s="263"/>
      <c r="C223" s="263"/>
      <c r="D223" s="263"/>
      <c r="E223" s="263"/>
      <c r="F223" s="263"/>
      <c r="G223" s="263"/>
      <c r="H223" s="263"/>
      <c r="I223" s="263"/>
      <c r="J223" s="263"/>
      <c r="K223" s="263"/>
      <c r="L223" s="263"/>
    </row>
    <row r="224" spans="2:12">
      <c r="B224" s="263"/>
      <c r="C224" s="263"/>
      <c r="D224" s="263"/>
      <c r="E224" s="263"/>
      <c r="F224" s="263"/>
      <c r="G224" s="263"/>
      <c r="H224" s="263"/>
      <c r="I224" s="263"/>
      <c r="J224" s="263"/>
      <c r="K224" s="263"/>
      <c r="L224" s="263"/>
    </row>
    <row r="225" spans="2:12">
      <c r="B225" s="263"/>
      <c r="C225" s="263"/>
      <c r="D225" s="263"/>
      <c r="E225" s="263"/>
      <c r="F225" s="263"/>
      <c r="G225" s="263"/>
      <c r="H225" s="263"/>
      <c r="I225" s="263"/>
      <c r="J225" s="263"/>
      <c r="K225" s="263"/>
      <c r="L225" s="263"/>
    </row>
    <row r="226" spans="2:12">
      <c r="B226" s="263"/>
      <c r="C226" s="263"/>
      <c r="D226" s="263"/>
      <c r="E226" s="263"/>
      <c r="F226" s="263"/>
      <c r="G226" s="263"/>
      <c r="H226" s="263"/>
      <c r="I226" s="263"/>
      <c r="J226" s="263"/>
      <c r="K226" s="263"/>
      <c r="L226" s="263"/>
    </row>
    <row r="227" spans="2:12">
      <c r="B227" s="263"/>
      <c r="C227" s="263"/>
      <c r="D227" s="263"/>
      <c r="E227" s="263"/>
      <c r="F227" s="263"/>
      <c r="G227" s="263"/>
      <c r="H227" s="263"/>
      <c r="I227" s="263"/>
      <c r="J227" s="263"/>
      <c r="K227" s="263"/>
      <c r="L227" s="263"/>
    </row>
    <row r="228" spans="2:12">
      <c r="B228" s="263"/>
      <c r="C228" s="263"/>
      <c r="D228" s="263"/>
      <c r="E228" s="263"/>
      <c r="F228" s="263"/>
      <c r="G228" s="263"/>
      <c r="H228" s="263"/>
      <c r="I228" s="263"/>
      <c r="J228" s="263"/>
      <c r="K228" s="263"/>
      <c r="L228" s="263"/>
    </row>
    <row r="229" spans="2:12">
      <c r="B229" s="263"/>
      <c r="C229" s="263"/>
      <c r="D229" s="263"/>
      <c r="E229" s="263"/>
      <c r="F229" s="263"/>
      <c r="G229" s="263"/>
      <c r="H229" s="263"/>
      <c r="I229" s="263"/>
      <c r="J229" s="263"/>
      <c r="K229" s="263"/>
      <c r="L229" s="263"/>
    </row>
    <row r="230" spans="2:12">
      <c r="B230" s="263"/>
      <c r="C230" s="263"/>
      <c r="D230" s="263"/>
      <c r="E230" s="263"/>
      <c r="F230" s="263"/>
      <c r="G230" s="263"/>
      <c r="H230" s="263"/>
      <c r="I230" s="263"/>
      <c r="J230" s="263"/>
      <c r="K230" s="263"/>
      <c r="L230" s="263"/>
    </row>
    <row r="231" spans="2:12">
      <c r="B231" s="263"/>
      <c r="C231" s="263"/>
      <c r="D231" s="263"/>
      <c r="E231" s="263"/>
      <c r="F231" s="263"/>
      <c r="G231" s="263"/>
      <c r="H231" s="263"/>
      <c r="I231" s="263"/>
      <c r="J231" s="263"/>
      <c r="K231" s="263"/>
      <c r="L231" s="263"/>
    </row>
    <row r="232" spans="2:12">
      <c r="B232" s="263"/>
      <c r="C232" s="263"/>
      <c r="D232" s="263"/>
      <c r="E232" s="263"/>
      <c r="F232" s="263"/>
      <c r="G232" s="263"/>
      <c r="H232" s="263"/>
      <c r="I232" s="263"/>
      <c r="J232" s="263"/>
      <c r="K232" s="263"/>
      <c r="L232" s="263"/>
    </row>
    <row r="233" spans="2:12">
      <c r="B233" s="263"/>
      <c r="C233" s="263"/>
      <c r="D233" s="263"/>
      <c r="E233" s="263"/>
      <c r="F233" s="263"/>
      <c r="G233" s="263"/>
      <c r="H233" s="263"/>
      <c r="I233" s="263"/>
      <c r="J233" s="263"/>
      <c r="K233" s="263"/>
      <c r="L233" s="263"/>
    </row>
    <row r="234" spans="2:12">
      <c r="B234" s="263"/>
      <c r="C234" s="263"/>
      <c r="D234" s="263"/>
      <c r="E234" s="263"/>
      <c r="F234" s="263"/>
      <c r="G234" s="263"/>
      <c r="H234" s="263"/>
      <c r="I234" s="263"/>
      <c r="J234" s="263"/>
      <c r="K234" s="263"/>
      <c r="L234" s="263"/>
    </row>
    <row r="235" spans="2:12">
      <c r="B235" s="263"/>
      <c r="C235" s="263"/>
      <c r="D235" s="263"/>
      <c r="E235" s="263"/>
      <c r="F235" s="263"/>
      <c r="G235" s="263"/>
      <c r="H235" s="263"/>
      <c r="I235" s="263"/>
      <c r="J235" s="263"/>
      <c r="K235" s="263"/>
      <c r="L235" s="263"/>
    </row>
    <row r="236" spans="2:12">
      <c r="B236" s="263"/>
      <c r="C236" s="263"/>
      <c r="D236" s="263"/>
      <c r="E236" s="263"/>
      <c r="F236" s="263"/>
      <c r="G236" s="263"/>
      <c r="H236" s="263"/>
      <c r="I236" s="263"/>
      <c r="J236" s="263"/>
      <c r="K236" s="263"/>
      <c r="L236" s="263"/>
    </row>
    <row r="237" spans="2:12">
      <c r="B237" s="263"/>
      <c r="C237" s="263"/>
      <c r="D237" s="263"/>
      <c r="E237" s="263"/>
      <c r="F237" s="263"/>
      <c r="G237" s="263"/>
      <c r="H237" s="263"/>
      <c r="I237" s="263"/>
      <c r="J237" s="263"/>
      <c r="K237" s="263"/>
      <c r="L237" s="263"/>
    </row>
    <row r="238" spans="2:12">
      <c r="B238" s="263"/>
      <c r="C238" s="263"/>
      <c r="D238" s="263"/>
      <c r="E238" s="263"/>
      <c r="F238" s="263"/>
      <c r="G238" s="263"/>
      <c r="H238" s="263"/>
      <c r="I238" s="263"/>
      <c r="J238" s="263"/>
      <c r="K238" s="263"/>
      <c r="L238" s="263"/>
    </row>
    <row r="239" spans="2:12">
      <c r="B239" s="263"/>
      <c r="C239" s="263"/>
      <c r="D239" s="263"/>
      <c r="E239" s="263"/>
      <c r="F239" s="263"/>
      <c r="G239" s="263"/>
      <c r="H239" s="263"/>
      <c r="I239" s="263"/>
      <c r="J239" s="263"/>
      <c r="K239" s="263"/>
      <c r="L239" s="263"/>
    </row>
    <row r="240" spans="2:12">
      <c r="B240" s="263"/>
      <c r="C240" s="263"/>
      <c r="D240" s="263"/>
      <c r="E240" s="263"/>
      <c r="F240" s="263"/>
      <c r="G240" s="263"/>
      <c r="H240" s="263"/>
      <c r="I240" s="263"/>
      <c r="J240" s="263"/>
      <c r="K240" s="263"/>
      <c r="L240" s="263"/>
    </row>
    <row r="241" spans="2:12">
      <c r="B241" s="263"/>
      <c r="C241" s="263"/>
      <c r="D241" s="263"/>
      <c r="E241" s="263"/>
      <c r="F241" s="263"/>
      <c r="G241" s="263"/>
      <c r="H241" s="263"/>
      <c r="I241" s="263"/>
      <c r="J241" s="263"/>
      <c r="K241" s="263"/>
      <c r="L241" s="263"/>
    </row>
    <row r="242" spans="2:12">
      <c r="B242" s="263"/>
      <c r="C242" s="263"/>
      <c r="D242" s="263"/>
      <c r="E242" s="263"/>
      <c r="F242" s="263"/>
      <c r="G242" s="263"/>
      <c r="H242" s="263"/>
      <c r="I242" s="263"/>
      <c r="J242" s="263"/>
      <c r="K242" s="263"/>
      <c r="L242" s="263"/>
    </row>
    <row r="243" spans="2:12">
      <c r="B243" s="263"/>
      <c r="C243" s="263"/>
      <c r="D243" s="263"/>
      <c r="E243" s="263"/>
      <c r="F243" s="263"/>
      <c r="G243" s="263"/>
      <c r="H243" s="263"/>
      <c r="I243" s="263"/>
      <c r="J243" s="263"/>
      <c r="K243" s="263"/>
      <c r="L243" s="263"/>
    </row>
    <row r="244" spans="2:12">
      <c r="B244" s="263"/>
      <c r="C244" s="263"/>
      <c r="D244" s="263"/>
      <c r="E244" s="263"/>
      <c r="F244" s="263"/>
      <c r="G244" s="263"/>
      <c r="H244" s="263"/>
      <c r="I244" s="263"/>
      <c r="J244" s="263"/>
      <c r="K244" s="263"/>
      <c r="L244" s="263"/>
    </row>
    <row r="245" spans="2:12">
      <c r="B245" s="263"/>
      <c r="C245" s="263"/>
      <c r="D245" s="263"/>
      <c r="E245" s="263"/>
      <c r="F245" s="263"/>
      <c r="G245" s="263"/>
      <c r="H245" s="263"/>
      <c r="I245" s="263"/>
      <c r="J245" s="263"/>
      <c r="K245" s="263"/>
      <c r="L245" s="263"/>
    </row>
    <row r="246" spans="2:12">
      <c r="B246" s="263"/>
      <c r="C246" s="263"/>
      <c r="D246" s="263"/>
      <c r="E246" s="263"/>
      <c r="F246" s="263"/>
      <c r="G246" s="263"/>
      <c r="H246" s="263"/>
      <c r="I246" s="263"/>
      <c r="J246" s="263"/>
      <c r="K246" s="263"/>
      <c r="L246" s="263"/>
    </row>
    <row r="247" spans="2:12">
      <c r="B247" s="263"/>
      <c r="C247" s="263"/>
      <c r="D247" s="263"/>
      <c r="E247" s="263"/>
      <c r="F247" s="263"/>
      <c r="G247" s="263"/>
      <c r="H247" s="263"/>
      <c r="I247" s="263"/>
      <c r="J247" s="263"/>
      <c r="K247" s="263"/>
      <c r="L247" s="263"/>
    </row>
    <row r="248" spans="2:12">
      <c r="B248" s="263"/>
      <c r="C248" s="263"/>
      <c r="D248" s="263"/>
      <c r="E248" s="263"/>
      <c r="F248" s="263"/>
      <c r="G248" s="263"/>
      <c r="H248" s="263"/>
      <c r="I248" s="263"/>
      <c r="J248" s="263"/>
      <c r="K248" s="263"/>
      <c r="L248" s="263"/>
    </row>
    <row r="249" spans="2:12">
      <c r="B249" s="263"/>
      <c r="C249" s="263"/>
      <c r="D249" s="263"/>
      <c r="E249" s="263"/>
      <c r="F249" s="263"/>
      <c r="G249" s="263"/>
      <c r="H249" s="263"/>
      <c r="I249" s="263"/>
      <c r="J249" s="263"/>
      <c r="K249" s="263"/>
      <c r="L249" s="263"/>
    </row>
    <row r="250" spans="2:12">
      <c r="B250" s="263"/>
      <c r="C250" s="263"/>
      <c r="D250" s="263"/>
      <c r="E250" s="263"/>
      <c r="F250" s="263"/>
      <c r="G250" s="263"/>
      <c r="H250" s="263"/>
      <c r="I250" s="263"/>
      <c r="J250" s="263"/>
      <c r="K250" s="263"/>
      <c r="L250" s="263"/>
    </row>
  </sheetData>
  <mergeCells count="12">
    <mergeCell ref="A5:A6"/>
    <mergeCell ref="A2:J2"/>
    <mergeCell ref="A4:J4"/>
    <mergeCell ref="A15:J15"/>
    <mergeCell ref="A13:J13"/>
    <mergeCell ref="A55:J55"/>
    <mergeCell ref="A56:J56"/>
    <mergeCell ref="A35:C35"/>
    <mergeCell ref="A17:D17"/>
    <mergeCell ref="E17:J17"/>
    <mergeCell ref="A38:J38"/>
    <mergeCell ref="E35:J35"/>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130" zoomScaleNormal="130" zoomScaleSheetLayoutView="130" zoomScalePageLayoutView="130" workbookViewId="0">
      <selection activeCell="D4" sqref="D4"/>
    </sheetView>
  </sheetViews>
  <sheetFormatPr defaultColWidth="9.33203125"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96" t="s">
        <v>0</v>
      </c>
      <c r="B3" s="896"/>
      <c r="C3" s="896"/>
      <c r="D3" s="896"/>
      <c r="E3" s="896"/>
      <c r="F3" s="896"/>
      <c r="G3" s="896"/>
      <c r="H3" s="896"/>
      <c r="I3" s="896"/>
      <c r="J3" s="896"/>
      <c r="K3" s="896"/>
      <c r="L3" s="896"/>
    </row>
    <row r="4" spans="1:16">
      <c r="A4" s="896"/>
      <c r="B4" s="896"/>
      <c r="C4" s="896"/>
      <c r="D4" s="896"/>
      <c r="E4" s="896"/>
      <c r="F4" s="896"/>
      <c r="G4" s="896"/>
      <c r="H4" s="896"/>
      <c r="I4" s="896"/>
      <c r="J4" s="896"/>
      <c r="K4" s="896"/>
      <c r="L4" s="896"/>
    </row>
    <row r="5" spans="1:16" ht="12">
      <c r="A5" s="46"/>
      <c r="B5" s="264"/>
      <c r="C5" s="4"/>
      <c r="D5" s="4"/>
      <c r="E5" s="47"/>
      <c r="F5" s="4"/>
      <c r="G5" s="4"/>
      <c r="H5" s="4"/>
      <c r="I5" s="4"/>
      <c r="J5" s="4"/>
      <c r="K5" s="4"/>
      <c r="L5" s="10" t="s">
        <v>1</v>
      </c>
    </row>
    <row r="6" spans="1:16" ht="12">
      <c r="A6" s="46"/>
      <c r="B6" s="264"/>
      <c r="C6" s="4"/>
      <c r="D6" s="4"/>
      <c r="E6" s="47"/>
      <c r="F6" s="4"/>
      <c r="G6" s="4"/>
      <c r="H6" s="4"/>
      <c r="I6" s="4"/>
      <c r="J6" s="4"/>
      <c r="K6" s="4"/>
      <c r="L6" s="7"/>
    </row>
    <row r="7" spans="1:16" ht="19.5" customHeight="1">
      <c r="A7" s="27" t="s">
        <v>495</v>
      </c>
      <c r="B7" s="265"/>
      <c r="C7" s="32"/>
      <c r="D7" s="32"/>
      <c r="E7" s="32"/>
      <c r="F7" s="32"/>
      <c r="G7" s="32"/>
      <c r="H7" s="32"/>
      <c r="I7" s="32"/>
      <c r="J7" s="32"/>
      <c r="K7" s="32"/>
      <c r="L7" s="32"/>
    </row>
    <row r="8" spans="1:16" ht="17.25" customHeight="1">
      <c r="A8" s="266"/>
      <c r="B8" s="32" t="s">
        <v>709</v>
      </c>
      <c r="C8" s="30"/>
      <c r="D8" s="30"/>
      <c r="E8" s="30"/>
      <c r="F8" s="30"/>
      <c r="G8" s="30"/>
      <c r="H8" s="30"/>
      <c r="I8" s="30"/>
      <c r="J8" s="32"/>
      <c r="K8" s="28"/>
      <c r="L8" s="31">
        <v>1</v>
      </c>
    </row>
    <row r="9" spans="1:16" ht="9.75" customHeight="1">
      <c r="A9" s="266"/>
      <c r="B9" s="32"/>
      <c r="C9" s="30"/>
      <c r="D9" s="30"/>
      <c r="E9" s="30"/>
      <c r="F9" s="30"/>
      <c r="G9" s="30"/>
      <c r="H9" s="30"/>
      <c r="I9" s="30"/>
      <c r="J9" s="32"/>
      <c r="K9" s="30"/>
      <c r="L9" s="31"/>
    </row>
    <row r="10" spans="1:16" ht="19.5" customHeight="1">
      <c r="A10" s="27" t="s">
        <v>458</v>
      </c>
      <c r="B10" s="267"/>
      <c r="C10" s="32"/>
      <c r="D10" s="32"/>
      <c r="E10" s="32"/>
      <c r="F10" s="32"/>
      <c r="G10" s="32"/>
      <c r="H10" s="32"/>
      <c r="I10" s="32"/>
      <c r="J10" s="32"/>
      <c r="K10" s="32"/>
      <c r="L10" s="34"/>
    </row>
    <row r="11" spans="1:16" ht="19.5" customHeight="1">
      <c r="A11" s="35"/>
      <c r="B11" s="32" t="s">
        <v>244</v>
      </c>
      <c r="C11" s="32"/>
      <c r="D11" s="32"/>
      <c r="E11" s="32"/>
      <c r="F11" s="28"/>
      <c r="G11" s="28"/>
      <c r="H11" s="28"/>
      <c r="I11" s="28"/>
      <c r="J11" s="28"/>
      <c r="K11" s="28"/>
      <c r="L11" s="29" t="s">
        <v>2</v>
      </c>
    </row>
    <row r="12" spans="1:16" ht="19.5" customHeight="1">
      <c r="A12" s="35"/>
      <c r="B12" s="37" t="s">
        <v>470</v>
      </c>
      <c r="C12" s="32"/>
      <c r="D12" s="32"/>
      <c r="E12" s="28"/>
      <c r="F12" s="28"/>
      <c r="G12" s="28"/>
      <c r="H12" s="28"/>
      <c r="I12" s="28"/>
      <c r="J12" s="28"/>
      <c r="K12" s="28"/>
      <c r="L12" s="29" t="s">
        <v>2</v>
      </c>
    </row>
    <row r="13" spans="1:16" ht="10.5" customHeight="1">
      <c r="A13" s="266"/>
      <c r="B13" s="30"/>
      <c r="C13" s="30"/>
      <c r="D13" s="30"/>
      <c r="E13" s="30"/>
      <c r="F13" s="30"/>
      <c r="G13" s="30"/>
      <c r="H13" s="30"/>
      <c r="I13" s="30"/>
      <c r="J13" s="30"/>
      <c r="K13" s="30"/>
      <c r="L13" s="31"/>
    </row>
    <row r="14" spans="1:16" ht="19.5" customHeight="1">
      <c r="A14" s="27" t="s">
        <v>485</v>
      </c>
      <c r="B14" s="37"/>
      <c r="C14" s="32"/>
      <c r="D14" s="32"/>
      <c r="E14" s="32"/>
      <c r="F14" s="32"/>
      <c r="G14" s="32"/>
      <c r="H14" s="32"/>
      <c r="I14" s="32"/>
      <c r="J14" s="32"/>
      <c r="K14" s="32"/>
      <c r="L14" s="34"/>
    </row>
    <row r="15" spans="1:16" ht="19.5" customHeight="1">
      <c r="A15" s="35"/>
      <c r="B15" s="32" t="s">
        <v>459</v>
      </c>
      <c r="C15" s="32"/>
      <c r="D15" s="32"/>
      <c r="E15" s="32"/>
      <c r="F15" s="28"/>
      <c r="G15" s="28"/>
      <c r="H15" s="28"/>
      <c r="I15" s="28"/>
      <c r="J15" s="28"/>
      <c r="K15" s="28"/>
      <c r="L15" s="29" t="s">
        <v>3</v>
      </c>
    </row>
    <row r="16" spans="1:16" ht="19.5" customHeight="1">
      <c r="A16" s="35"/>
      <c r="B16" s="37" t="s">
        <v>468</v>
      </c>
      <c r="C16" s="32"/>
      <c r="D16" s="32"/>
      <c r="E16" s="32"/>
      <c r="F16" s="32"/>
      <c r="G16" s="28"/>
      <c r="H16" s="28"/>
      <c r="I16" s="28"/>
      <c r="J16" s="28"/>
      <c r="K16" s="28"/>
      <c r="L16" s="29" t="s">
        <v>4</v>
      </c>
    </row>
    <row r="17" spans="1:12" ht="19.5" customHeight="1">
      <c r="A17" s="35"/>
      <c r="B17" s="37" t="s">
        <v>460</v>
      </c>
      <c r="C17" s="32"/>
      <c r="D17" s="32"/>
      <c r="E17" s="32"/>
      <c r="F17" s="32"/>
      <c r="G17" s="28"/>
      <c r="H17" s="28"/>
      <c r="I17" s="28"/>
      <c r="J17" s="28"/>
      <c r="K17" s="28"/>
      <c r="L17" s="29" t="s">
        <v>5</v>
      </c>
    </row>
    <row r="18" spans="1:12" ht="19.5" customHeight="1">
      <c r="A18" s="35"/>
      <c r="B18" s="37" t="s">
        <v>461</v>
      </c>
      <c r="C18" s="32"/>
      <c r="D18" s="32"/>
      <c r="E18" s="32"/>
      <c r="F18" s="28"/>
      <c r="G18" s="28"/>
      <c r="H18" s="28"/>
      <c r="I18" s="28"/>
      <c r="J18" s="28"/>
      <c r="K18" s="28"/>
      <c r="L18" s="29" t="s">
        <v>6</v>
      </c>
    </row>
    <row r="19" spans="1:12" ht="19.5" customHeight="1">
      <c r="A19" s="35"/>
      <c r="B19" s="268" t="s">
        <v>462</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484</v>
      </c>
      <c r="B21" s="266"/>
      <c r="C21" s="37"/>
      <c r="D21" s="32"/>
      <c r="E21" s="32"/>
      <c r="F21" s="32"/>
      <c r="G21" s="32"/>
      <c r="H21" s="32"/>
      <c r="I21" s="32"/>
      <c r="J21" s="32"/>
      <c r="K21" s="32"/>
      <c r="L21" s="39"/>
    </row>
    <row r="22" spans="1:12" ht="19.5" customHeight="1">
      <c r="A22" s="266"/>
      <c r="B22" s="32" t="s">
        <v>486</v>
      </c>
      <c r="C22" s="32"/>
      <c r="D22" s="32"/>
      <c r="E22" s="32"/>
      <c r="F22" s="32"/>
      <c r="G22" s="28"/>
      <c r="H22" s="28"/>
      <c r="I22" s="28"/>
      <c r="J22" s="28"/>
      <c r="K22" s="28"/>
      <c r="L22" s="29" t="s">
        <v>9</v>
      </c>
    </row>
    <row r="23" spans="1:12" ht="19.5" customHeight="1">
      <c r="A23" s="40"/>
      <c r="B23" s="32" t="s">
        <v>487</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282</v>
      </c>
      <c r="B25" s="266"/>
      <c r="C25" s="37"/>
      <c r="D25" s="32"/>
      <c r="E25" s="32"/>
      <c r="F25" s="32"/>
      <c r="G25" s="32"/>
      <c r="H25" s="32"/>
      <c r="I25" s="32"/>
      <c r="J25" s="32"/>
      <c r="K25" s="32"/>
      <c r="L25" s="39"/>
    </row>
    <row r="26" spans="1:12" ht="19.5" customHeight="1">
      <c r="A26" s="266"/>
      <c r="B26" s="32" t="s">
        <v>489</v>
      </c>
      <c r="C26" s="32"/>
      <c r="D26" s="32"/>
      <c r="E26" s="32"/>
      <c r="F26" s="28"/>
      <c r="G26" s="28"/>
      <c r="H26" s="28"/>
      <c r="I26" s="28"/>
      <c r="J26" s="28"/>
      <c r="K26" s="42"/>
      <c r="L26" s="29" t="s">
        <v>11</v>
      </c>
    </row>
    <row r="27" spans="1:12" ht="19.5" customHeight="1">
      <c r="A27" s="266"/>
      <c r="B27" s="32" t="s">
        <v>463</v>
      </c>
      <c r="C27" s="32"/>
      <c r="D27" s="32"/>
      <c r="E27" s="32"/>
      <c r="F27" s="32"/>
      <c r="G27" s="28"/>
      <c r="H27" s="28"/>
      <c r="I27" s="28"/>
      <c r="J27" s="28"/>
      <c r="K27" s="42"/>
      <c r="L27" s="29" t="s">
        <v>11</v>
      </c>
    </row>
    <row r="28" spans="1:12" ht="19.5" customHeight="1">
      <c r="A28" s="40"/>
      <c r="B28" s="32" t="s">
        <v>488</v>
      </c>
      <c r="C28" s="32"/>
      <c r="D28" s="32"/>
      <c r="E28" s="32"/>
      <c r="F28" s="28"/>
      <c r="G28" s="28"/>
      <c r="H28" s="42"/>
      <c r="I28" s="42"/>
      <c r="J28" s="42"/>
      <c r="K28" s="42"/>
      <c r="L28" s="29" t="s">
        <v>12</v>
      </c>
    </row>
    <row r="29" spans="1:12" ht="19.5" customHeight="1">
      <c r="A29" s="40"/>
      <c r="B29" s="32" t="s">
        <v>469</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476</v>
      </c>
      <c r="B31" s="32"/>
      <c r="C31" s="32"/>
      <c r="D31" s="32"/>
      <c r="E31" s="32"/>
      <c r="F31" s="32"/>
      <c r="G31" s="32"/>
      <c r="H31" s="32"/>
      <c r="I31" s="32"/>
      <c r="J31" s="32"/>
      <c r="K31" s="32"/>
      <c r="L31" s="29"/>
    </row>
    <row r="32" spans="1:12" ht="19.5" customHeight="1">
      <c r="A32" s="40"/>
      <c r="B32" s="32" t="s">
        <v>490</v>
      </c>
      <c r="C32" s="32"/>
      <c r="D32" s="32"/>
      <c r="E32" s="32"/>
      <c r="F32" s="32"/>
      <c r="G32" s="28"/>
      <c r="H32" s="28"/>
      <c r="I32" s="28"/>
      <c r="J32" s="28"/>
      <c r="K32" s="28"/>
      <c r="L32" s="29" t="s">
        <v>13</v>
      </c>
    </row>
    <row r="33" spans="1:12" ht="19.5" customHeight="1">
      <c r="A33" s="40"/>
      <c r="B33" s="32" t="s">
        <v>464</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465</v>
      </c>
      <c r="B35" s="33"/>
      <c r="C35" s="41"/>
      <c r="D35" s="33"/>
      <c r="E35" s="33"/>
      <c r="F35" s="33"/>
      <c r="G35" s="33"/>
      <c r="H35" s="33"/>
      <c r="I35" s="33"/>
      <c r="J35" s="33"/>
      <c r="K35" s="33"/>
      <c r="L35" s="29"/>
    </row>
    <row r="36" spans="1:12" ht="19.5" customHeight="1">
      <c r="A36" s="35"/>
      <c r="B36" s="32" t="s">
        <v>491</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466</v>
      </c>
      <c r="B38" s="44"/>
      <c r="C38" s="32"/>
      <c r="D38" s="32"/>
      <c r="E38" s="32"/>
      <c r="F38" s="32"/>
      <c r="G38" s="32"/>
      <c r="H38" s="32"/>
      <c r="I38" s="32"/>
      <c r="J38" s="32"/>
      <c r="K38" s="32"/>
      <c r="L38" s="48"/>
    </row>
    <row r="39" spans="1:12" ht="19.5" customHeight="1">
      <c r="A39" s="35"/>
      <c r="B39" s="32" t="s">
        <v>467</v>
      </c>
      <c r="C39" s="32"/>
      <c r="D39" s="32"/>
      <c r="E39" s="32"/>
      <c r="F39" s="32"/>
      <c r="G39" s="32"/>
      <c r="H39" s="28"/>
      <c r="I39" s="28"/>
      <c r="J39" s="28"/>
      <c r="K39" s="28"/>
      <c r="L39" s="29" t="s">
        <v>16</v>
      </c>
    </row>
    <row r="40" spans="1:12" ht="10.5" customHeight="1">
      <c r="A40" s="266"/>
      <c r="B40" s="32"/>
      <c r="C40" s="32"/>
      <c r="D40" s="32"/>
      <c r="E40" s="32"/>
      <c r="F40" s="32"/>
      <c r="G40" s="32"/>
      <c r="H40" s="32"/>
      <c r="I40" s="32"/>
      <c r="J40" s="32"/>
      <c r="K40" s="32"/>
      <c r="L40" s="29"/>
    </row>
    <row r="41" spans="1:12" ht="19.5" customHeight="1">
      <c r="A41" s="27" t="s">
        <v>220</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492</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74"/>
  <sheetViews>
    <sheetView showGridLines="0" view="pageBreakPreview" zoomScale="130" zoomScaleNormal="100" zoomScaleSheetLayoutView="130" zoomScalePageLayoutView="145" workbookViewId="0">
      <selection activeCell="D4" sqref="D4"/>
    </sheetView>
  </sheetViews>
  <sheetFormatPr defaultColWidth="9.33203125"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8" width="9.33203125" style="50"/>
    <col min="9" max="9" width="18.6640625" style="50" customWidth="1"/>
    <col min="10" max="10" width="19.5" style="50" customWidth="1"/>
    <col min="11" max="11" width="9.33203125" style="50" customWidth="1"/>
    <col min="12" max="13" width="9.33203125" style="50"/>
    <col min="14" max="16384" width="9.33203125" style="3"/>
  </cols>
  <sheetData>
    <row r="1" spans="1:12" ht="11.25" customHeight="1">
      <c r="A1" s="357" t="s">
        <v>306</v>
      </c>
      <c r="B1" s="356"/>
      <c r="C1" s="356"/>
      <c r="D1" s="356"/>
      <c r="E1" s="356"/>
      <c r="F1" s="356"/>
      <c r="G1" s="356"/>
    </row>
    <row r="2" spans="1:12" ht="14.25" customHeight="1">
      <c r="A2" s="996" t="s">
        <v>279</v>
      </c>
      <c r="B2" s="999" t="s">
        <v>56</v>
      </c>
      <c r="C2" s="1002" t="str">
        <f>"ENERGÍA PRODUCIDA "&amp;UPPER('1. Resumen'!Q4)&amp;" "&amp;'1. Resumen'!Q5</f>
        <v>ENERGÍA PRODUCIDA DICIEMBRE 2018</v>
      </c>
      <c r="D2" s="1002"/>
      <c r="E2" s="1002"/>
      <c r="F2" s="1002"/>
      <c r="G2" s="753" t="s">
        <v>307</v>
      </c>
      <c r="H2" s="243"/>
      <c r="I2" s="243"/>
      <c r="J2" s="243"/>
      <c r="K2" s="243"/>
    </row>
    <row r="3" spans="1:12" ht="11.25" customHeight="1">
      <c r="A3" s="997"/>
      <c r="B3" s="1000"/>
      <c r="C3" s="1003" t="s">
        <v>308</v>
      </c>
      <c r="D3" s="1003"/>
      <c r="E3" s="1003"/>
      <c r="F3" s="1004" t="str">
        <f>"TOTAL 
"&amp;UPPER('1. Resumen'!Q4)</f>
        <v>TOTAL 
DICIEMBRE</v>
      </c>
      <c r="G3" s="754" t="s">
        <v>309</v>
      </c>
      <c r="H3" s="233"/>
      <c r="I3" s="233"/>
      <c r="J3" s="233"/>
      <c r="K3" s="233"/>
      <c r="L3" s="234"/>
    </row>
    <row r="4" spans="1:12" ht="12.75" customHeight="1">
      <c r="A4" s="997"/>
      <c r="B4" s="1000"/>
      <c r="C4" s="755" t="s">
        <v>233</v>
      </c>
      <c r="D4" s="755" t="s">
        <v>234</v>
      </c>
      <c r="E4" s="755" t="s">
        <v>310</v>
      </c>
      <c r="F4" s="1005"/>
      <c r="G4" s="754">
        <v>2018</v>
      </c>
      <c r="H4" s="236"/>
      <c r="I4" s="235"/>
      <c r="J4" s="235"/>
      <c r="K4" s="235"/>
      <c r="L4" s="234"/>
    </row>
    <row r="5" spans="1:12" ht="11.25" customHeight="1">
      <c r="A5" s="998"/>
      <c r="B5" s="1001"/>
      <c r="C5" s="756" t="s">
        <v>311</v>
      </c>
      <c r="D5" s="756" t="s">
        <v>311</v>
      </c>
      <c r="E5" s="756" t="s">
        <v>311</v>
      </c>
      <c r="F5" s="756" t="s">
        <v>311</v>
      </c>
      <c r="G5" s="757" t="s">
        <v>217</v>
      </c>
      <c r="H5" s="236"/>
      <c r="I5" s="236"/>
      <c r="J5" s="236"/>
      <c r="K5" s="236"/>
      <c r="L5" s="12"/>
    </row>
    <row r="6" spans="1:12" ht="9.75" customHeight="1">
      <c r="A6" s="639" t="s">
        <v>126</v>
      </c>
      <c r="B6" s="640" t="s">
        <v>90</v>
      </c>
      <c r="C6" s="641"/>
      <c r="D6" s="641"/>
      <c r="E6" s="641">
        <v>4234.6610950000004</v>
      </c>
      <c r="F6" s="642">
        <v>4234.6610950000004</v>
      </c>
      <c r="G6" s="643">
        <v>4234.6610950000004</v>
      </c>
      <c r="H6" s="236"/>
      <c r="I6" s="805"/>
      <c r="J6" s="805"/>
      <c r="K6" s="236"/>
      <c r="L6" s="236"/>
    </row>
    <row r="7" spans="1:12" ht="9.75" customHeight="1">
      <c r="A7" s="788" t="s">
        <v>312</v>
      </c>
      <c r="B7" s="789"/>
      <c r="C7" s="790"/>
      <c r="D7" s="790"/>
      <c r="E7" s="790">
        <v>4234.6610950000004</v>
      </c>
      <c r="F7" s="791">
        <v>4234.6610950000004</v>
      </c>
      <c r="G7" s="792">
        <v>4234.6610950000004</v>
      </c>
      <c r="H7" s="236"/>
      <c r="I7" s="805"/>
      <c r="J7" s="805"/>
      <c r="K7" s="236"/>
      <c r="L7" s="236"/>
    </row>
    <row r="8" spans="1:12" ht="9.75" customHeight="1">
      <c r="A8" s="849" t="s">
        <v>125</v>
      </c>
      <c r="B8" s="640" t="s">
        <v>65</v>
      </c>
      <c r="C8" s="641"/>
      <c r="D8" s="641"/>
      <c r="E8" s="641">
        <v>11337.685907499999</v>
      </c>
      <c r="F8" s="642">
        <v>11337.685907499999</v>
      </c>
      <c r="G8" s="643">
        <v>98082.459622499999</v>
      </c>
      <c r="H8" s="236"/>
      <c r="I8" s="805"/>
      <c r="J8" s="805"/>
      <c r="K8" s="236"/>
      <c r="L8" s="236"/>
    </row>
    <row r="9" spans="1:12" ht="9.75" customHeight="1">
      <c r="A9" s="788" t="s">
        <v>313</v>
      </c>
      <c r="B9" s="789"/>
      <c r="C9" s="790"/>
      <c r="D9" s="790"/>
      <c r="E9" s="790">
        <v>11337.685907499999</v>
      </c>
      <c r="F9" s="791">
        <v>11337.685907499999</v>
      </c>
      <c r="G9" s="792">
        <v>98082.459622499999</v>
      </c>
      <c r="H9" s="236"/>
      <c r="I9" s="805"/>
      <c r="J9" s="805"/>
      <c r="K9" s="236"/>
      <c r="L9" s="236"/>
    </row>
    <row r="10" spans="1:12" ht="9.75" customHeight="1">
      <c r="A10" s="654" t="s">
        <v>110</v>
      </c>
      <c r="B10" s="644" t="s">
        <v>87</v>
      </c>
      <c r="C10" s="645"/>
      <c r="D10" s="645"/>
      <c r="E10" s="645">
        <v>6660.0184074999997</v>
      </c>
      <c r="F10" s="646">
        <v>6660.0184074999997</v>
      </c>
      <c r="G10" s="647">
        <v>89577.4000925</v>
      </c>
      <c r="H10" s="236"/>
      <c r="I10" s="805"/>
      <c r="J10" s="805"/>
      <c r="K10" s="236"/>
      <c r="L10" s="236"/>
    </row>
    <row r="11" spans="1:12" ht="9.75" customHeight="1">
      <c r="A11" s="788" t="s">
        <v>314</v>
      </c>
      <c r="B11" s="789"/>
      <c r="C11" s="790"/>
      <c r="D11" s="790"/>
      <c r="E11" s="790">
        <v>6660.0184074999997</v>
      </c>
      <c r="F11" s="791">
        <v>6660.0184074999997</v>
      </c>
      <c r="G11" s="792">
        <v>89577.4000925</v>
      </c>
      <c r="H11" s="236"/>
      <c r="I11" s="805"/>
      <c r="J11" s="805"/>
      <c r="K11" s="236"/>
      <c r="L11" s="236"/>
    </row>
    <row r="12" spans="1:12" ht="9.75" customHeight="1">
      <c r="A12" s="654" t="s">
        <v>596</v>
      </c>
      <c r="B12" s="644" t="s">
        <v>783</v>
      </c>
      <c r="C12" s="646"/>
      <c r="D12" s="646"/>
      <c r="E12" s="646">
        <v>7959.7405325</v>
      </c>
      <c r="F12" s="646">
        <v>7959.7405325</v>
      </c>
      <c r="G12" s="647">
        <v>13472.173675</v>
      </c>
      <c r="H12" s="236"/>
      <c r="I12" s="805"/>
      <c r="J12" s="805"/>
      <c r="K12" s="236"/>
      <c r="L12" s="236"/>
    </row>
    <row r="13" spans="1:12" ht="9.75" customHeight="1">
      <c r="A13" s="788" t="s">
        <v>600</v>
      </c>
      <c r="B13" s="789"/>
      <c r="C13" s="790"/>
      <c r="D13" s="790"/>
      <c r="E13" s="790">
        <v>7959.7405325</v>
      </c>
      <c r="F13" s="791">
        <v>7959.7405325</v>
      </c>
      <c r="G13" s="792">
        <v>13472.173675</v>
      </c>
      <c r="H13" s="236"/>
      <c r="I13" s="805"/>
      <c r="J13" s="805"/>
      <c r="K13" s="236"/>
      <c r="L13" s="236"/>
    </row>
    <row r="14" spans="1:12" ht="9.75" customHeight="1">
      <c r="A14" s="654" t="s">
        <v>98</v>
      </c>
      <c r="B14" s="644" t="s">
        <v>315</v>
      </c>
      <c r="C14" s="645">
        <v>55115.172632500005</v>
      </c>
      <c r="D14" s="645"/>
      <c r="E14" s="645"/>
      <c r="F14" s="646">
        <v>55115.172632500005</v>
      </c>
      <c r="G14" s="647">
        <v>1126369.4000474999</v>
      </c>
      <c r="H14" s="236"/>
      <c r="I14" s="805"/>
      <c r="J14" s="805"/>
      <c r="K14" s="236"/>
      <c r="L14" s="236"/>
    </row>
    <row r="15" spans="1:12" ht="9.75" customHeight="1">
      <c r="A15" s="788" t="s">
        <v>316</v>
      </c>
      <c r="B15" s="789"/>
      <c r="C15" s="790">
        <v>55115.172632500005</v>
      </c>
      <c r="D15" s="790"/>
      <c r="E15" s="790"/>
      <c r="F15" s="791">
        <v>55115.172632500005</v>
      </c>
      <c r="G15" s="792">
        <v>1126369.4000474999</v>
      </c>
      <c r="H15" s="236"/>
      <c r="I15" s="805"/>
      <c r="J15" s="805"/>
      <c r="K15" s="236"/>
      <c r="L15" s="236"/>
    </row>
    <row r="16" spans="1:12" ht="10.5" customHeight="1">
      <c r="A16" s="654" t="s">
        <v>262</v>
      </c>
      <c r="B16" s="644" t="s">
        <v>317</v>
      </c>
      <c r="C16" s="646"/>
      <c r="D16" s="646">
        <v>0</v>
      </c>
      <c r="E16" s="646"/>
      <c r="F16" s="646">
        <v>0</v>
      </c>
      <c r="G16" s="647">
        <v>4616.1936425000004</v>
      </c>
      <c r="H16" s="236"/>
      <c r="I16" s="805"/>
      <c r="J16" s="805"/>
      <c r="K16" s="236"/>
      <c r="L16" s="236"/>
    </row>
    <row r="17" spans="1:12" ht="10.5" customHeight="1">
      <c r="A17" s="788" t="s">
        <v>318</v>
      </c>
      <c r="B17" s="789"/>
      <c r="C17" s="790"/>
      <c r="D17" s="790">
        <v>0</v>
      </c>
      <c r="E17" s="790"/>
      <c r="F17" s="791">
        <v>0</v>
      </c>
      <c r="G17" s="792">
        <v>4616.1936425000004</v>
      </c>
      <c r="H17" s="236"/>
      <c r="I17" s="805"/>
      <c r="J17" s="805"/>
      <c r="K17" s="236"/>
      <c r="L17" s="236"/>
    </row>
    <row r="18" spans="1:12" ht="9.75" customHeight="1">
      <c r="A18" s="654" t="s">
        <v>97</v>
      </c>
      <c r="B18" s="644" t="s">
        <v>319</v>
      </c>
      <c r="C18" s="645">
        <v>88044.718540000002</v>
      </c>
      <c r="D18" s="645"/>
      <c r="E18" s="645"/>
      <c r="F18" s="646">
        <v>88044.718540000002</v>
      </c>
      <c r="G18" s="647">
        <v>983884.81952250004</v>
      </c>
      <c r="H18" s="236"/>
      <c r="I18" s="805"/>
      <c r="J18" s="805"/>
      <c r="K18" s="236"/>
      <c r="L18" s="236"/>
    </row>
    <row r="19" spans="1:12" ht="9.75" customHeight="1">
      <c r="A19" s="654"/>
      <c r="B19" s="850" t="s">
        <v>320</v>
      </c>
      <c r="C19" s="851">
        <v>19539.7595225</v>
      </c>
      <c r="D19" s="851"/>
      <c r="E19" s="851"/>
      <c r="F19" s="852">
        <v>19539.7595225</v>
      </c>
      <c r="G19" s="853">
        <v>264391.2298575</v>
      </c>
      <c r="H19" s="236"/>
      <c r="I19" s="805"/>
      <c r="J19" s="805"/>
      <c r="K19" s="236"/>
      <c r="L19" s="236"/>
    </row>
    <row r="20" spans="1:12" ht="9.75" customHeight="1">
      <c r="A20" s="788" t="s">
        <v>321</v>
      </c>
      <c r="B20" s="789"/>
      <c r="C20" s="790">
        <v>107584.4780625</v>
      </c>
      <c r="D20" s="790"/>
      <c r="E20" s="790"/>
      <c r="F20" s="791">
        <v>107584.4780625</v>
      </c>
      <c r="G20" s="792">
        <v>1248276.04938</v>
      </c>
      <c r="H20" s="236"/>
      <c r="I20" s="805"/>
      <c r="J20" s="805"/>
      <c r="K20" s="236"/>
      <c r="L20" s="236"/>
    </row>
    <row r="21" spans="1:12" ht="9.75" customHeight="1">
      <c r="A21" s="654" t="s">
        <v>95</v>
      </c>
      <c r="B21" s="644" t="s">
        <v>322</v>
      </c>
      <c r="C21" s="645">
        <v>1249.6843899999999</v>
      </c>
      <c r="D21" s="645"/>
      <c r="E21" s="645"/>
      <c r="F21" s="646">
        <v>1249.6843899999999</v>
      </c>
      <c r="G21" s="647">
        <v>13994.659812499998</v>
      </c>
      <c r="H21" s="236"/>
      <c r="I21" s="805"/>
      <c r="J21" s="805"/>
      <c r="K21" s="236"/>
      <c r="L21" s="236"/>
    </row>
    <row r="22" spans="1:12" ht="9.75" customHeight="1">
      <c r="A22" s="654"/>
      <c r="B22" s="850" t="s">
        <v>323</v>
      </c>
      <c r="C22" s="851">
        <v>425.00294000000008</v>
      </c>
      <c r="D22" s="851"/>
      <c r="E22" s="851"/>
      <c r="F22" s="852">
        <v>425.00294000000008</v>
      </c>
      <c r="G22" s="853">
        <v>4964.5708975000007</v>
      </c>
      <c r="H22" s="236"/>
      <c r="I22" s="805"/>
      <c r="J22" s="805"/>
      <c r="K22" s="236"/>
      <c r="L22" s="236"/>
    </row>
    <row r="23" spans="1:12" ht="9.75" customHeight="1">
      <c r="A23" s="654"/>
      <c r="B23" s="644" t="s">
        <v>324</v>
      </c>
      <c r="C23" s="645">
        <v>3392.6956325000001</v>
      </c>
      <c r="D23" s="645"/>
      <c r="E23" s="645"/>
      <c r="F23" s="646">
        <v>3392.6956325000001</v>
      </c>
      <c r="G23" s="647">
        <v>39405.69068</v>
      </c>
      <c r="H23" s="236"/>
      <c r="I23" s="805"/>
      <c r="J23" s="805"/>
      <c r="K23" s="236"/>
      <c r="L23" s="236"/>
    </row>
    <row r="24" spans="1:12" ht="9.75" customHeight="1">
      <c r="A24" s="654"/>
      <c r="B24" s="644" t="s">
        <v>325</v>
      </c>
      <c r="C24" s="645">
        <v>9489.362000000001</v>
      </c>
      <c r="D24" s="645"/>
      <c r="E24" s="645"/>
      <c r="F24" s="646">
        <v>9489.362000000001</v>
      </c>
      <c r="G24" s="647">
        <v>109067.13750499999</v>
      </c>
      <c r="H24" s="236"/>
      <c r="I24" s="805"/>
      <c r="J24" s="805"/>
      <c r="K24" s="236"/>
      <c r="L24" s="236"/>
    </row>
    <row r="25" spans="1:12" ht="9.75" customHeight="1">
      <c r="A25" s="654"/>
      <c r="B25" s="644" t="s">
        <v>326</v>
      </c>
      <c r="C25" s="645">
        <v>57876.761112499997</v>
      </c>
      <c r="D25" s="645"/>
      <c r="E25" s="645"/>
      <c r="F25" s="646">
        <v>57876.761112499997</v>
      </c>
      <c r="G25" s="647">
        <v>722130.03726749995</v>
      </c>
      <c r="H25" s="236"/>
      <c r="I25" s="805"/>
      <c r="J25" s="805"/>
      <c r="K25" s="236"/>
      <c r="L25" s="236"/>
    </row>
    <row r="26" spans="1:12" ht="9.75" customHeight="1">
      <c r="A26" s="654"/>
      <c r="B26" s="644" t="s">
        <v>327</v>
      </c>
      <c r="C26" s="645">
        <v>5831.024915</v>
      </c>
      <c r="D26" s="645"/>
      <c r="E26" s="645"/>
      <c r="F26" s="646">
        <v>5831.024915</v>
      </c>
      <c r="G26" s="647">
        <v>65998.712070000009</v>
      </c>
      <c r="H26" s="236"/>
      <c r="I26" s="805"/>
      <c r="J26" s="805"/>
      <c r="K26" s="236"/>
      <c r="L26" s="236"/>
    </row>
    <row r="27" spans="1:12" ht="9.75" customHeight="1">
      <c r="A27" s="654"/>
      <c r="B27" s="644" t="s">
        <v>328</v>
      </c>
      <c r="C27" s="645"/>
      <c r="D27" s="645">
        <v>14.290917500000001</v>
      </c>
      <c r="E27" s="645"/>
      <c r="F27" s="646">
        <v>14.290917500000001</v>
      </c>
      <c r="G27" s="647">
        <v>839.14320250000003</v>
      </c>
      <c r="H27" s="236"/>
      <c r="I27" s="805"/>
      <c r="J27" s="805"/>
      <c r="K27" s="236"/>
      <c r="L27" s="236"/>
    </row>
    <row r="28" spans="1:12" ht="9.75" customHeight="1">
      <c r="A28" s="654"/>
      <c r="B28" s="644" t="s">
        <v>329</v>
      </c>
      <c r="C28" s="645"/>
      <c r="D28" s="645">
        <v>1.0982775</v>
      </c>
      <c r="E28" s="645"/>
      <c r="F28" s="646">
        <v>1.0982775</v>
      </c>
      <c r="G28" s="647">
        <v>551.46646499999997</v>
      </c>
      <c r="H28" s="236"/>
      <c r="I28" s="805"/>
      <c r="J28" s="805"/>
      <c r="K28" s="236"/>
      <c r="L28" s="236"/>
    </row>
    <row r="29" spans="1:12" ht="9.75" customHeight="1">
      <c r="A29" s="654"/>
      <c r="B29" s="644" t="s">
        <v>330</v>
      </c>
      <c r="C29" s="645"/>
      <c r="D29" s="645">
        <v>12801.086859999999</v>
      </c>
      <c r="E29" s="645"/>
      <c r="F29" s="646">
        <v>12801.086859999999</v>
      </c>
      <c r="G29" s="647">
        <v>84632.631417500001</v>
      </c>
      <c r="H29" s="236"/>
      <c r="I29" s="805"/>
      <c r="J29" s="805"/>
      <c r="K29" s="236"/>
      <c r="L29" s="236"/>
    </row>
    <row r="30" spans="1:12" ht="9.75" customHeight="1">
      <c r="A30" s="788" t="s">
        <v>331</v>
      </c>
      <c r="B30" s="789"/>
      <c r="C30" s="790">
        <v>78264.530989999999</v>
      </c>
      <c r="D30" s="790">
        <v>12816.476054999999</v>
      </c>
      <c r="E30" s="790"/>
      <c r="F30" s="791">
        <v>91081.007044999991</v>
      </c>
      <c r="G30" s="792">
        <v>1041584.0493174999</v>
      </c>
      <c r="H30" s="236"/>
      <c r="I30" s="805"/>
      <c r="J30" s="805"/>
      <c r="K30" s="236"/>
      <c r="L30" s="236"/>
    </row>
    <row r="31" spans="1:12" ht="9.75" customHeight="1">
      <c r="A31" s="654" t="s">
        <v>118</v>
      </c>
      <c r="B31" s="644" t="s">
        <v>72</v>
      </c>
      <c r="C31" s="645"/>
      <c r="D31" s="645"/>
      <c r="E31" s="645">
        <v>3170.1163150000002</v>
      </c>
      <c r="F31" s="646">
        <v>3170.1163150000002</v>
      </c>
      <c r="G31" s="647">
        <v>32547.9283025</v>
      </c>
      <c r="H31" s="236"/>
      <c r="I31" s="805"/>
      <c r="J31" s="805"/>
      <c r="K31" s="236"/>
      <c r="L31" s="236"/>
    </row>
    <row r="32" spans="1:12" ht="9.75" customHeight="1">
      <c r="A32" s="788" t="s">
        <v>332</v>
      </c>
      <c r="B32" s="789"/>
      <c r="C32" s="790"/>
      <c r="D32" s="790"/>
      <c r="E32" s="790">
        <v>3170.1163150000002</v>
      </c>
      <c r="F32" s="791">
        <v>3170.1163150000002</v>
      </c>
      <c r="G32" s="792">
        <v>32547.9283025</v>
      </c>
      <c r="H32" s="236"/>
      <c r="I32" s="805"/>
      <c r="J32" s="805"/>
      <c r="K32" s="236"/>
      <c r="L32" s="236"/>
    </row>
    <row r="33" spans="1:12" ht="9.75" customHeight="1">
      <c r="A33" s="654" t="s">
        <v>96</v>
      </c>
      <c r="B33" s="644" t="s">
        <v>333</v>
      </c>
      <c r="C33" s="645">
        <v>118453.55536</v>
      </c>
      <c r="D33" s="645"/>
      <c r="E33" s="645"/>
      <c r="F33" s="646">
        <v>118453.55536</v>
      </c>
      <c r="G33" s="647">
        <v>1285442.9953999999</v>
      </c>
      <c r="H33" s="236"/>
      <c r="I33" s="805"/>
      <c r="J33" s="805"/>
      <c r="K33" s="236"/>
      <c r="L33" s="236"/>
    </row>
    <row r="34" spans="1:12" ht="9.75" customHeight="1">
      <c r="A34" s="788" t="s">
        <v>334</v>
      </c>
      <c r="B34" s="789"/>
      <c r="C34" s="790">
        <v>118453.55536</v>
      </c>
      <c r="D34" s="790"/>
      <c r="E34" s="790"/>
      <c r="F34" s="791">
        <v>118453.55536</v>
      </c>
      <c r="G34" s="792">
        <v>1285442.9953999999</v>
      </c>
      <c r="H34" s="236"/>
      <c r="I34" s="805"/>
      <c r="J34" s="805"/>
      <c r="K34" s="236"/>
      <c r="L34" s="236"/>
    </row>
    <row r="35" spans="1:12" ht="9.75" customHeight="1">
      <c r="A35" s="654" t="s">
        <v>105</v>
      </c>
      <c r="B35" s="644" t="s">
        <v>335</v>
      </c>
      <c r="C35" s="645">
        <v>5603.4225000000006</v>
      </c>
      <c r="D35" s="645"/>
      <c r="E35" s="645"/>
      <c r="F35" s="646">
        <v>5603.4225000000006</v>
      </c>
      <c r="G35" s="647">
        <v>66287.967482500011</v>
      </c>
      <c r="H35" s="236"/>
      <c r="I35" s="805"/>
      <c r="J35" s="805"/>
      <c r="K35" s="236"/>
      <c r="L35" s="236"/>
    </row>
    <row r="36" spans="1:12" ht="9.75" customHeight="1">
      <c r="A36" s="654"/>
      <c r="B36" s="850" t="s">
        <v>336</v>
      </c>
      <c r="C36" s="851">
        <v>3727.5929999999998</v>
      </c>
      <c r="D36" s="851"/>
      <c r="E36" s="851"/>
      <c r="F36" s="852">
        <v>3727.5929999999998</v>
      </c>
      <c r="G36" s="853">
        <v>44916.353570000007</v>
      </c>
      <c r="H36" s="236"/>
      <c r="I36" s="805"/>
      <c r="J36" s="805"/>
      <c r="K36" s="236"/>
      <c r="L36" s="236"/>
    </row>
    <row r="37" spans="1:12" ht="9.75" customHeight="1">
      <c r="A37" s="654"/>
      <c r="B37" s="644" t="s">
        <v>337</v>
      </c>
      <c r="C37" s="645"/>
      <c r="D37" s="645">
        <v>13717.718024999998</v>
      </c>
      <c r="E37" s="645"/>
      <c r="F37" s="646">
        <v>13717.718024999998</v>
      </c>
      <c r="G37" s="647">
        <v>147966.41182499999</v>
      </c>
      <c r="H37" s="236"/>
      <c r="I37" s="805"/>
      <c r="J37" s="805"/>
      <c r="K37" s="236"/>
      <c r="L37" s="236"/>
    </row>
    <row r="38" spans="1:12" ht="9.75" customHeight="1">
      <c r="A38" s="788" t="s">
        <v>338</v>
      </c>
      <c r="B38" s="789"/>
      <c r="C38" s="790">
        <v>9331.0155000000013</v>
      </c>
      <c r="D38" s="790">
        <v>13717.718024999998</v>
      </c>
      <c r="E38" s="790"/>
      <c r="F38" s="791">
        <v>23048.733525</v>
      </c>
      <c r="G38" s="792">
        <v>259170.73287750001</v>
      </c>
      <c r="H38" s="236"/>
      <c r="I38" s="805"/>
      <c r="J38" s="805"/>
      <c r="K38" s="236"/>
      <c r="L38" s="236"/>
    </row>
    <row r="39" spans="1:12" ht="9.75" customHeight="1">
      <c r="A39" s="654" t="s">
        <v>123</v>
      </c>
      <c r="B39" s="644" t="s">
        <v>77</v>
      </c>
      <c r="C39" s="645"/>
      <c r="D39" s="645"/>
      <c r="E39" s="645">
        <v>210.18762000000001</v>
      </c>
      <c r="F39" s="646">
        <v>210.18762000000001</v>
      </c>
      <c r="G39" s="647">
        <v>2420.8189275</v>
      </c>
      <c r="H39" s="236"/>
      <c r="I39" s="805"/>
      <c r="J39" s="805"/>
      <c r="K39" s="236"/>
      <c r="L39" s="236"/>
    </row>
    <row r="40" spans="1:12" ht="9.75" customHeight="1">
      <c r="A40" s="788" t="s">
        <v>339</v>
      </c>
      <c r="B40" s="789"/>
      <c r="C40" s="790"/>
      <c r="D40" s="790"/>
      <c r="E40" s="790">
        <v>210.18762000000001</v>
      </c>
      <c r="F40" s="791">
        <v>210.18762000000001</v>
      </c>
      <c r="G40" s="792">
        <v>2420.8189275</v>
      </c>
      <c r="H40" s="236"/>
      <c r="I40" s="805"/>
      <c r="J40" s="805"/>
      <c r="K40" s="236"/>
      <c r="L40" s="236"/>
    </row>
    <row r="41" spans="1:12" ht="9.75" customHeight="1">
      <c r="A41" s="654" t="s">
        <v>119</v>
      </c>
      <c r="B41" s="644" t="s">
        <v>75</v>
      </c>
      <c r="C41" s="645"/>
      <c r="D41" s="645"/>
      <c r="E41" s="645">
        <v>2110.5086425</v>
      </c>
      <c r="F41" s="646">
        <v>2110.5086425</v>
      </c>
      <c r="G41" s="647">
        <v>25131.3606525</v>
      </c>
      <c r="H41" s="236"/>
      <c r="I41" s="805"/>
      <c r="J41" s="805"/>
      <c r="K41" s="236"/>
      <c r="L41" s="236"/>
    </row>
    <row r="42" spans="1:12" ht="9.75" customHeight="1">
      <c r="A42" s="788" t="s">
        <v>340</v>
      </c>
      <c r="B42" s="789"/>
      <c r="C42" s="790"/>
      <c r="D42" s="790"/>
      <c r="E42" s="790">
        <v>2110.5086425</v>
      </c>
      <c r="F42" s="791">
        <v>2110.5086425</v>
      </c>
      <c r="G42" s="792">
        <v>25131.3606525</v>
      </c>
      <c r="H42" s="236"/>
      <c r="I42" s="805"/>
      <c r="J42" s="805"/>
      <c r="K42" s="236"/>
      <c r="L42" s="236"/>
    </row>
    <row r="43" spans="1:12" ht="9.75" customHeight="1">
      <c r="A43" s="654" t="s">
        <v>714</v>
      </c>
      <c r="B43" s="644" t="s">
        <v>786</v>
      </c>
      <c r="C43" s="645"/>
      <c r="D43" s="645"/>
      <c r="E43" s="645">
        <v>6.5083374999999997</v>
      </c>
      <c r="F43" s="646">
        <v>6.5083374999999997</v>
      </c>
      <c r="G43" s="647">
        <v>6.5083374999999997</v>
      </c>
      <c r="H43" s="236"/>
      <c r="I43" s="805"/>
      <c r="J43" s="805"/>
      <c r="K43" s="236"/>
      <c r="L43" s="236"/>
    </row>
    <row r="44" spans="1:12" ht="9.75" customHeight="1">
      <c r="A44" s="788" t="s">
        <v>715</v>
      </c>
      <c r="B44" s="789"/>
      <c r="C44" s="790"/>
      <c r="D44" s="790"/>
      <c r="E44" s="790">
        <v>6.5083374999999997</v>
      </c>
      <c r="F44" s="791">
        <v>6.5083374999999997</v>
      </c>
      <c r="G44" s="792">
        <v>6.5083374999999997</v>
      </c>
      <c r="H44" s="236"/>
      <c r="I44" s="805"/>
      <c r="J44" s="805"/>
      <c r="K44" s="236"/>
      <c r="L44" s="236"/>
    </row>
    <row r="45" spans="1:12" ht="9.75" customHeight="1">
      <c r="A45" s="654" t="s">
        <v>93</v>
      </c>
      <c r="B45" s="644" t="s">
        <v>341</v>
      </c>
      <c r="C45" s="645">
        <v>420706.57919999998</v>
      </c>
      <c r="D45" s="645"/>
      <c r="E45" s="645"/>
      <c r="F45" s="646">
        <v>420706.57919999998</v>
      </c>
      <c r="G45" s="647">
        <v>5249304.5820000004</v>
      </c>
      <c r="H45" s="236"/>
      <c r="I45" s="805"/>
      <c r="J45" s="805"/>
      <c r="K45" s="236"/>
      <c r="L45" s="236"/>
    </row>
    <row r="46" spans="1:12" ht="9.75" customHeight="1">
      <c r="A46" s="654"/>
      <c r="B46" s="644" t="s">
        <v>342</v>
      </c>
      <c r="C46" s="645">
        <v>135683.18976000001</v>
      </c>
      <c r="D46" s="645"/>
      <c r="E46" s="645"/>
      <c r="F46" s="646">
        <v>135683.18976000001</v>
      </c>
      <c r="G46" s="647">
        <v>1657770.07632</v>
      </c>
      <c r="H46" s="236"/>
      <c r="I46" s="805"/>
      <c r="J46" s="805"/>
      <c r="K46" s="236"/>
      <c r="L46" s="236"/>
    </row>
    <row r="47" spans="1:12" ht="9.75" customHeight="1">
      <c r="A47" s="654"/>
      <c r="B47" s="644" t="s">
        <v>343</v>
      </c>
      <c r="C47" s="645"/>
      <c r="D47" s="645">
        <v>0</v>
      </c>
      <c r="E47" s="645"/>
      <c r="F47" s="646">
        <v>0</v>
      </c>
      <c r="G47" s="647">
        <v>2657.1829250000001</v>
      </c>
      <c r="H47" s="236"/>
      <c r="I47" s="805"/>
      <c r="J47" s="805"/>
      <c r="K47" s="236"/>
      <c r="L47" s="236"/>
    </row>
    <row r="48" spans="1:12" ht="9.75" customHeight="1">
      <c r="A48" s="788" t="s">
        <v>344</v>
      </c>
      <c r="B48" s="789"/>
      <c r="C48" s="790">
        <v>556389.76896000002</v>
      </c>
      <c r="D48" s="790">
        <v>0</v>
      </c>
      <c r="E48" s="790"/>
      <c r="F48" s="791">
        <v>556389.76896000002</v>
      </c>
      <c r="G48" s="792">
        <v>6909731.8412450003</v>
      </c>
      <c r="H48" s="236"/>
      <c r="I48" s="805"/>
      <c r="J48" s="805"/>
      <c r="K48" s="236"/>
      <c r="L48" s="236"/>
    </row>
    <row r="49" spans="1:12" ht="9.75" customHeight="1">
      <c r="A49" s="654" t="s">
        <v>263</v>
      </c>
      <c r="B49" s="644" t="s">
        <v>345</v>
      </c>
      <c r="C49" s="645">
        <v>240460.37540250001</v>
      </c>
      <c r="D49" s="645"/>
      <c r="E49" s="645"/>
      <c r="F49" s="646">
        <v>240460.37540250001</v>
      </c>
      <c r="G49" s="647">
        <v>2430530.7243224997</v>
      </c>
      <c r="H49" s="236"/>
      <c r="I49" s="805"/>
      <c r="J49" s="805"/>
      <c r="K49" s="236"/>
      <c r="L49" s="236"/>
    </row>
    <row r="50" spans="1:12" ht="9.75" customHeight="1">
      <c r="A50" s="654"/>
      <c r="B50" s="644" t="s">
        <v>346</v>
      </c>
      <c r="C50" s="645">
        <v>4333.6866600000003</v>
      </c>
      <c r="D50" s="645"/>
      <c r="E50" s="645"/>
      <c r="F50" s="646">
        <v>4333.6866600000003</v>
      </c>
      <c r="G50" s="647">
        <v>37393.836244999999</v>
      </c>
      <c r="H50" s="236"/>
      <c r="I50" s="805"/>
      <c r="J50" s="805"/>
      <c r="K50" s="236"/>
      <c r="L50" s="236"/>
    </row>
    <row r="51" spans="1:12" ht="9.75" customHeight="1">
      <c r="A51" s="788" t="s">
        <v>347</v>
      </c>
      <c r="B51" s="789"/>
      <c r="C51" s="790">
        <v>244794.06206250002</v>
      </c>
      <c r="D51" s="790"/>
      <c r="E51" s="790"/>
      <c r="F51" s="791">
        <v>244794.06206250002</v>
      </c>
      <c r="G51" s="792">
        <v>2467924.5605674996</v>
      </c>
      <c r="H51" s="236"/>
      <c r="I51" s="805"/>
      <c r="J51" s="805"/>
      <c r="K51" s="236"/>
      <c r="L51" s="236"/>
    </row>
    <row r="52" spans="1:12" ht="9.75" customHeight="1">
      <c r="A52" s="654" t="s">
        <v>264</v>
      </c>
      <c r="B52" s="644" t="s">
        <v>348</v>
      </c>
      <c r="C52" s="645">
        <v>32575.901772500001</v>
      </c>
      <c r="D52" s="645"/>
      <c r="E52" s="645"/>
      <c r="F52" s="646">
        <v>32575.901772500001</v>
      </c>
      <c r="G52" s="647">
        <v>392629.90590499999</v>
      </c>
      <c r="H52" s="236"/>
      <c r="I52" s="805"/>
      <c r="J52" s="805"/>
      <c r="K52" s="236"/>
      <c r="L52" s="236"/>
    </row>
    <row r="53" spans="1:12" ht="9.75" customHeight="1">
      <c r="A53" s="788" t="s">
        <v>349</v>
      </c>
      <c r="B53" s="789"/>
      <c r="C53" s="790">
        <v>32575.901772500001</v>
      </c>
      <c r="D53" s="790"/>
      <c r="E53" s="790"/>
      <c r="F53" s="791">
        <v>32575.901772500001</v>
      </c>
      <c r="G53" s="792">
        <v>392629.90590499999</v>
      </c>
      <c r="H53" s="132"/>
      <c r="I53" s="672"/>
      <c r="J53" s="805"/>
      <c r="K53" s="236"/>
      <c r="L53" s="236"/>
    </row>
    <row r="54" spans="1:12" ht="9.75" customHeight="1">
      <c r="A54" s="654" t="s">
        <v>265</v>
      </c>
      <c r="B54" s="644" t="s">
        <v>62</v>
      </c>
      <c r="C54" s="645"/>
      <c r="D54" s="645"/>
      <c r="E54" s="645">
        <v>10417.13996</v>
      </c>
      <c r="F54" s="646">
        <v>10417.13996</v>
      </c>
      <c r="G54" s="647">
        <v>106073.22572999999</v>
      </c>
      <c r="H54" s="132"/>
      <c r="I54" s="672"/>
      <c r="J54" s="805"/>
      <c r="K54" s="236"/>
      <c r="L54" s="236"/>
    </row>
    <row r="55" spans="1:12" ht="9.75" customHeight="1">
      <c r="A55" s="654"/>
      <c r="B55" s="644" t="s">
        <v>59</v>
      </c>
      <c r="C55" s="645"/>
      <c r="D55" s="645"/>
      <c r="E55" s="645">
        <v>12804.2831425</v>
      </c>
      <c r="F55" s="646">
        <v>12804.2831425</v>
      </c>
      <c r="G55" s="647">
        <v>133806.74156000002</v>
      </c>
      <c r="H55" s="132"/>
      <c r="I55" s="672"/>
      <c r="J55" s="805"/>
      <c r="K55" s="236"/>
      <c r="L55" s="236"/>
    </row>
    <row r="56" spans="1:12" ht="9.75" customHeight="1">
      <c r="A56" s="788" t="s">
        <v>350</v>
      </c>
      <c r="B56" s="789"/>
      <c r="C56" s="790"/>
      <c r="D56" s="790"/>
      <c r="E56" s="790">
        <v>23221.423102500001</v>
      </c>
      <c r="F56" s="791">
        <v>23221.423102500001</v>
      </c>
      <c r="G56" s="792">
        <v>239879.96729</v>
      </c>
      <c r="H56" s="132"/>
      <c r="I56" s="672"/>
      <c r="J56" s="805"/>
      <c r="K56" s="236"/>
      <c r="L56" s="236"/>
    </row>
    <row r="57" spans="1:12" ht="9.75" customHeight="1">
      <c r="A57" s="654" t="s">
        <v>92</v>
      </c>
      <c r="B57" s="644" t="s">
        <v>351</v>
      </c>
      <c r="C57" s="645">
        <v>20440.679075</v>
      </c>
      <c r="D57" s="645"/>
      <c r="E57" s="645"/>
      <c r="F57" s="646">
        <v>20440.679075</v>
      </c>
      <c r="G57" s="647">
        <v>227103.06193000003</v>
      </c>
      <c r="H57" s="132"/>
      <c r="I57" s="672"/>
      <c r="J57" s="805"/>
      <c r="K57" s="236"/>
      <c r="L57" s="236"/>
    </row>
    <row r="58" spans="1:12" ht="9.75" customHeight="1">
      <c r="A58" s="654"/>
      <c r="B58" s="644" t="s">
        <v>352</v>
      </c>
      <c r="C58" s="645">
        <v>92898.984434999991</v>
      </c>
      <c r="D58" s="645"/>
      <c r="E58" s="645"/>
      <c r="F58" s="646">
        <v>92898.984434999991</v>
      </c>
      <c r="G58" s="647">
        <v>1148103.3367875</v>
      </c>
      <c r="H58" s="237"/>
      <c r="I58" s="805"/>
      <c r="J58" s="805"/>
      <c r="K58" s="236"/>
      <c r="L58" s="236"/>
    </row>
    <row r="59" spans="1:12" ht="9.75" customHeight="1">
      <c r="A59" s="654"/>
      <c r="B59" s="644" t="s">
        <v>353</v>
      </c>
      <c r="C59" s="645">
        <v>62925.245170000002</v>
      </c>
      <c r="D59" s="645"/>
      <c r="E59" s="645"/>
      <c r="F59" s="646">
        <v>62925.245170000002</v>
      </c>
      <c r="G59" s="647">
        <v>869118.21053500008</v>
      </c>
      <c r="H59" s="237"/>
      <c r="I59" s="805"/>
      <c r="J59" s="805"/>
      <c r="K59" s="236"/>
      <c r="L59" s="236"/>
    </row>
    <row r="60" spans="1:12" ht="9.75" customHeight="1">
      <c r="A60" s="654"/>
      <c r="B60" s="644" t="s">
        <v>354</v>
      </c>
      <c r="C60" s="645">
        <v>33643.343520000002</v>
      </c>
      <c r="D60" s="645"/>
      <c r="E60" s="645"/>
      <c r="F60" s="646">
        <v>33643.343520000002</v>
      </c>
      <c r="G60" s="647">
        <v>403489.42917499994</v>
      </c>
      <c r="H60" s="237"/>
      <c r="I60" s="805"/>
      <c r="J60" s="805"/>
      <c r="K60" s="236"/>
      <c r="L60" s="236"/>
    </row>
    <row r="61" spans="1:12" ht="9.75" customHeight="1">
      <c r="A61" s="654"/>
      <c r="B61" s="644" t="s">
        <v>355</v>
      </c>
      <c r="C61" s="645"/>
      <c r="D61" s="645">
        <v>7049.9721300000001</v>
      </c>
      <c r="E61" s="645"/>
      <c r="F61" s="646">
        <v>7049.9721300000001</v>
      </c>
      <c r="G61" s="647">
        <v>70626.742832499993</v>
      </c>
      <c r="H61" s="237"/>
      <c r="I61" s="805"/>
      <c r="J61" s="805"/>
      <c r="K61" s="236"/>
      <c r="L61" s="236"/>
    </row>
    <row r="62" spans="1:12" ht="9.75" customHeight="1">
      <c r="A62" s="654"/>
      <c r="B62" s="644" t="s">
        <v>356</v>
      </c>
      <c r="C62" s="645"/>
      <c r="D62" s="645">
        <v>38937.782352499999</v>
      </c>
      <c r="E62" s="645"/>
      <c r="F62" s="646">
        <v>38937.782352499999</v>
      </c>
      <c r="G62" s="647">
        <v>565355.01119999995</v>
      </c>
      <c r="H62" s="237"/>
      <c r="I62" s="805"/>
      <c r="J62" s="805"/>
      <c r="K62" s="236"/>
      <c r="L62" s="236"/>
    </row>
    <row r="63" spans="1:12" ht="9.75" customHeight="1">
      <c r="A63" s="654"/>
      <c r="B63" s="644" t="s">
        <v>357</v>
      </c>
      <c r="C63" s="645"/>
      <c r="D63" s="645">
        <v>302707.57307000004</v>
      </c>
      <c r="E63" s="645"/>
      <c r="F63" s="646">
        <v>302707.57307000004</v>
      </c>
      <c r="G63" s="647">
        <v>3097305.1036824998</v>
      </c>
      <c r="H63" s="237"/>
      <c r="I63" s="805"/>
      <c r="J63" s="805"/>
      <c r="K63" s="236"/>
      <c r="L63" s="236"/>
    </row>
    <row r="64" spans="1:12" ht="9.75" customHeight="1">
      <c r="A64" s="654"/>
      <c r="B64" s="644" t="s">
        <v>779</v>
      </c>
      <c r="C64" s="645"/>
      <c r="D64" s="645"/>
      <c r="E64" s="645">
        <v>77.484752499999999</v>
      </c>
      <c r="F64" s="646">
        <v>77.484752499999999</v>
      </c>
      <c r="G64" s="647">
        <v>1657.8723525</v>
      </c>
      <c r="I64" s="649"/>
      <c r="J64" s="805"/>
      <c r="K64" s="236"/>
      <c r="L64" s="236"/>
    </row>
    <row r="65" spans="1:12" ht="9.75" customHeight="1">
      <c r="A65" s="788" t="s">
        <v>358</v>
      </c>
      <c r="B65" s="789"/>
      <c r="C65" s="790">
        <v>209908.25219999999</v>
      </c>
      <c r="D65" s="790">
        <v>348695.32755250006</v>
      </c>
      <c r="E65" s="790">
        <v>77.484752499999999</v>
      </c>
      <c r="F65" s="791">
        <v>558681.06450500002</v>
      </c>
      <c r="G65" s="792">
        <v>6382758.768495</v>
      </c>
      <c r="I65" s="649"/>
      <c r="J65" s="805"/>
      <c r="K65" s="236"/>
      <c r="L65" s="236"/>
    </row>
    <row r="66" spans="1:12" ht="9.75" customHeight="1">
      <c r="A66" s="654" t="s">
        <v>100</v>
      </c>
      <c r="B66" s="644" t="s">
        <v>359</v>
      </c>
      <c r="C66" s="645"/>
      <c r="D66" s="645">
        <v>347.38934499999999</v>
      </c>
      <c r="E66" s="645"/>
      <c r="F66" s="646">
        <v>347.38934499999999</v>
      </c>
      <c r="G66" s="647">
        <v>133354.20713999998</v>
      </c>
      <c r="I66" s="649"/>
      <c r="J66" s="805"/>
      <c r="K66" s="236"/>
      <c r="L66" s="236"/>
    </row>
    <row r="67" spans="1:12" ht="9.75" customHeight="1">
      <c r="A67" s="654"/>
      <c r="B67" s="644" t="s">
        <v>360</v>
      </c>
      <c r="C67" s="645"/>
      <c r="D67" s="645">
        <v>60833.651919999997</v>
      </c>
      <c r="E67" s="645"/>
      <c r="F67" s="646">
        <v>60833.651919999997</v>
      </c>
      <c r="G67" s="647">
        <v>348628.79721250001</v>
      </c>
      <c r="I67" s="649"/>
      <c r="J67" s="805"/>
      <c r="K67" s="236"/>
      <c r="L67" s="236"/>
    </row>
    <row r="68" spans="1:12" ht="9.75" customHeight="1">
      <c r="A68" s="654"/>
      <c r="B68" s="644" t="s">
        <v>361</v>
      </c>
      <c r="C68" s="645"/>
      <c r="D68" s="645">
        <v>1243.128925</v>
      </c>
      <c r="E68" s="645"/>
      <c r="F68" s="646">
        <v>1243.128925</v>
      </c>
      <c r="G68" s="647">
        <v>126219.14741749999</v>
      </c>
      <c r="I68" s="649"/>
      <c r="J68" s="805"/>
      <c r="K68" s="236"/>
      <c r="L68" s="236"/>
    </row>
    <row r="69" spans="1:12" ht="9.75" customHeight="1">
      <c r="A69" s="788" t="s">
        <v>362</v>
      </c>
      <c r="B69" s="789"/>
      <c r="C69" s="790"/>
      <c r="D69" s="790">
        <v>62424.170189999997</v>
      </c>
      <c r="E69" s="790"/>
      <c r="F69" s="791">
        <v>62424.170189999997</v>
      </c>
      <c r="G69" s="792">
        <v>608202.15177</v>
      </c>
      <c r="I69" s="649"/>
      <c r="J69" s="805"/>
      <c r="K69" s="236"/>
      <c r="L69" s="236"/>
    </row>
    <row r="70" spans="1:12" ht="9.75" customHeight="1">
      <c r="A70" s="654" t="s">
        <v>102</v>
      </c>
      <c r="B70" s="651" t="s">
        <v>770</v>
      </c>
      <c r="C70" s="652"/>
      <c r="D70" s="652"/>
      <c r="E70" s="652">
        <v>43407.9994075</v>
      </c>
      <c r="F70" s="651">
        <v>43407.9994075</v>
      </c>
      <c r="G70" s="653">
        <v>424221.56995750003</v>
      </c>
      <c r="I70" s="649"/>
      <c r="J70" s="805"/>
      <c r="K70" s="236"/>
      <c r="L70" s="236"/>
    </row>
    <row r="71" spans="1:12" ht="9.75" customHeight="1">
      <c r="A71" s="654"/>
      <c r="B71" s="651" t="s">
        <v>771</v>
      </c>
      <c r="C71" s="652"/>
      <c r="D71" s="652"/>
      <c r="E71" s="652">
        <v>47959.606782499999</v>
      </c>
      <c r="F71" s="651">
        <v>47959.606782499999</v>
      </c>
      <c r="G71" s="653">
        <v>471970.04452</v>
      </c>
      <c r="I71" s="649"/>
      <c r="J71" s="805"/>
      <c r="K71" s="236"/>
      <c r="L71" s="236"/>
    </row>
    <row r="72" spans="1:12" ht="9.75" customHeight="1">
      <c r="A72" s="788" t="s">
        <v>363</v>
      </c>
      <c r="B72" s="789"/>
      <c r="C72" s="790"/>
      <c r="D72" s="790"/>
      <c r="E72" s="790">
        <v>91367.606189999991</v>
      </c>
      <c r="F72" s="791">
        <v>91367.606189999991</v>
      </c>
      <c r="G72" s="792">
        <v>896191.61447750009</v>
      </c>
      <c r="I72" s="649"/>
      <c r="J72" s="805"/>
      <c r="K72" s="236"/>
      <c r="L72" s="236"/>
    </row>
    <row r="73" spans="1:12" ht="9.75" customHeight="1">
      <c r="A73" s="654" t="s">
        <v>101</v>
      </c>
      <c r="B73" s="651" t="s">
        <v>80</v>
      </c>
      <c r="C73" s="652"/>
      <c r="D73" s="652"/>
      <c r="E73" s="652">
        <v>26311.7866225</v>
      </c>
      <c r="F73" s="651">
        <v>26311.7866225</v>
      </c>
      <c r="G73" s="653">
        <v>284477.177715</v>
      </c>
      <c r="I73" s="649"/>
      <c r="J73" s="805"/>
      <c r="K73" s="236"/>
      <c r="L73" s="236"/>
    </row>
    <row r="74" spans="1:12" ht="9.75" customHeight="1">
      <c r="A74" s="654"/>
      <c r="B74" s="651" t="s">
        <v>82</v>
      </c>
      <c r="C74" s="652"/>
      <c r="D74" s="652"/>
      <c r="E74" s="652">
        <v>11211.140322499999</v>
      </c>
      <c r="F74" s="651">
        <v>11211.140322499999</v>
      </c>
      <c r="G74" s="653">
        <v>123112.18160999999</v>
      </c>
      <c r="I74" s="649"/>
      <c r="J74" s="805"/>
      <c r="K74" s="236"/>
      <c r="L74" s="236"/>
    </row>
    <row r="75" spans="1:12" ht="9.75" customHeight="1">
      <c r="A75" s="788" t="s">
        <v>364</v>
      </c>
      <c r="B75" s="789"/>
      <c r="C75" s="790"/>
      <c r="D75" s="790"/>
      <c r="E75" s="790">
        <v>37522.926944999999</v>
      </c>
      <c r="F75" s="791">
        <v>37522.926944999999</v>
      </c>
      <c r="G75" s="792">
        <v>407589.35932499997</v>
      </c>
      <c r="I75" s="649"/>
      <c r="J75" s="805"/>
      <c r="K75" s="236"/>
      <c r="L75" s="236"/>
    </row>
    <row r="76" spans="1:12" ht="9.75" customHeight="1">
      <c r="A76" s="649"/>
      <c r="B76" s="649"/>
      <c r="C76" s="650"/>
      <c r="D76" s="650"/>
      <c r="E76" s="650"/>
      <c r="F76" s="649"/>
      <c r="G76" s="649"/>
    </row>
    <row r="77" spans="1:12" ht="9.75" customHeight="1">
      <c r="A77" s="649"/>
      <c r="B77" s="649"/>
      <c r="C77" s="650"/>
      <c r="D77" s="650"/>
      <c r="E77" s="650"/>
      <c r="F77" s="649"/>
      <c r="G77" s="649"/>
    </row>
    <row r="78" spans="1:12" ht="9.75" customHeight="1">
      <c r="A78" s="649"/>
      <c r="B78" s="649"/>
      <c r="C78" s="650"/>
      <c r="D78" s="650"/>
      <c r="E78" s="650"/>
      <c r="F78" s="649"/>
      <c r="G78" s="649"/>
    </row>
    <row r="79" spans="1:12" ht="9.75" customHeight="1">
      <c r="A79" s="649"/>
      <c r="B79" s="649"/>
      <c r="C79" s="650"/>
      <c r="D79" s="650"/>
      <c r="E79" s="650"/>
      <c r="F79" s="649"/>
      <c r="G79" s="649"/>
    </row>
    <row r="80" spans="1:12" ht="9.75" customHeight="1">
      <c r="A80" s="649"/>
      <c r="B80" s="649"/>
      <c r="C80" s="650"/>
      <c r="D80" s="650"/>
      <c r="E80" s="650"/>
      <c r="F80" s="649"/>
      <c r="G80" s="649"/>
    </row>
    <row r="81" spans="1:7" ht="9.75" customHeight="1">
      <c r="A81" s="649"/>
      <c r="B81" s="649"/>
      <c r="C81" s="650"/>
      <c r="D81" s="650"/>
      <c r="E81" s="650"/>
      <c r="F81" s="649"/>
      <c r="G81" s="649"/>
    </row>
    <row r="82" spans="1:7" ht="9.75" customHeight="1">
      <c r="A82" s="649"/>
      <c r="B82" s="649"/>
      <c r="C82" s="650"/>
      <c r="D82" s="650"/>
      <c r="E82" s="650"/>
      <c r="F82" s="649"/>
      <c r="G82" s="649"/>
    </row>
    <row r="83" spans="1:7" ht="9.75" customHeight="1">
      <c r="A83" s="649"/>
      <c r="B83" s="649"/>
      <c r="C83" s="650"/>
      <c r="D83" s="650"/>
      <c r="E83" s="650"/>
      <c r="F83" s="649"/>
      <c r="G83" s="649"/>
    </row>
    <row r="84" spans="1:7" ht="9.75" customHeight="1">
      <c r="A84" s="649"/>
      <c r="B84" s="649"/>
      <c r="C84" s="650"/>
      <c r="D84" s="650"/>
      <c r="E84" s="650"/>
      <c r="F84" s="649"/>
      <c r="G84" s="649"/>
    </row>
    <row r="85" spans="1:7" ht="9.75" customHeight="1">
      <c r="A85" s="649"/>
      <c r="B85" s="649"/>
      <c r="C85" s="650"/>
      <c r="D85" s="650"/>
      <c r="E85" s="650"/>
      <c r="F85" s="649"/>
      <c r="G85" s="649"/>
    </row>
    <row r="86" spans="1:7" ht="9.75" customHeight="1">
      <c r="A86" s="649"/>
      <c r="B86" s="649"/>
      <c r="C86" s="650"/>
      <c r="D86" s="650"/>
      <c r="E86" s="650"/>
      <c r="F86" s="649"/>
      <c r="G86" s="649"/>
    </row>
    <row r="87" spans="1:7" ht="9.75" customHeight="1">
      <c r="A87" s="649"/>
      <c r="B87" s="649"/>
      <c r="C87" s="650"/>
      <c r="D87" s="650"/>
      <c r="E87" s="650"/>
      <c r="F87" s="649"/>
      <c r="G87" s="649"/>
    </row>
    <row r="88" spans="1:7" ht="9.75" customHeight="1">
      <c r="A88" s="649"/>
      <c r="B88" s="649"/>
      <c r="C88" s="650"/>
      <c r="D88" s="650"/>
      <c r="E88" s="650"/>
      <c r="F88" s="649"/>
      <c r="G88" s="649"/>
    </row>
    <row r="89" spans="1:7" ht="9.75" customHeight="1">
      <c r="A89" s="649"/>
      <c r="B89" s="649"/>
      <c r="C89" s="650"/>
      <c r="D89" s="650"/>
      <c r="E89" s="650"/>
      <c r="F89" s="649"/>
      <c r="G89" s="649"/>
    </row>
    <row r="90" spans="1:7" ht="9.75" customHeight="1">
      <c r="A90" s="649"/>
      <c r="B90" s="649"/>
      <c r="C90" s="650"/>
      <c r="D90" s="650"/>
      <c r="E90" s="650"/>
      <c r="F90" s="649"/>
      <c r="G90" s="649"/>
    </row>
    <row r="91" spans="1:7" ht="9.75" customHeight="1">
      <c r="A91" s="649"/>
      <c r="B91" s="649"/>
      <c r="C91" s="650"/>
      <c r="D91" s="650"/>
      <c r="E91" s="650"/>
      <c r="F91" s="649"/>
      <c r="G91" s="649"/>
    </row>
    <row r="92" spans="1:7" ht="9.75" customHeight="1">
      <c r="A92" s="649"/>
      <c r="B92" s="649"/>
      <c r="C92" s="650"/>
      <c r="D92" s="650"/>
      <c r="E92" s="650"/>
      <c r="F92" s="649"/>
      <c r="G92" s="649"/>
    </row>
    <row r="93" spans="1:7" ht="9.75" customHeight="1">
      <c r="A93" s="649"/>
      <c r="B93" s="649"/>
      <c r="C93" s="650"/>
      <c r="D93" s="650"/>
      <c r="E93" s="650"/>
      <c r="F93" s="649"/>
      <c r="G93" s="649"/>
    </row>
    <row r="94" spans="1:7" ht="9.75" customHeight="1">
      <c r="A94" s="649"/>
      <c r="B94" s="649"/>
      <c r="C94" s="650"/>
      <c r="D94" s="650"/>
      <c r="E94" s="650"/>
      <c r="F94" s="649"/>
      <c r="G94" s="649"/>
    </row>
    <row r="95" spans="1:7" ht="9.75" customHeight="1">
      <c r="A95" s="649"/>
      <c r="B95" s="649"/>
      <c r="C95" s="650"/>
      <c r="D95" s="650"/>
      <c r="E95" s="650"/>
      <c r="F95" s="649"/>
      <c r="G95" s="649"/>
    </row>
    <row r="96" spans="1:7" ht="9.75" customHeight="1">
      <c r="A96" s="649"/>
      <c r="B96" s="649"/>
      <c r="C96" s="650"/>
      <c r="D96" s="650"/>
      <c r="E96" s="650"/>
      <c r="F96" s="649"/>
      <c r="G96" s="649"/>
    </row>
    <row r="97" spans="1:7" ht="9.75" customHeight="1">
      <c r="A97" s="649"/>
      <c r="B97" s="649"/>
      <c r="C97" s="650"/>
      <c r="D97" s="650"/>
      <c r="E97" s="650"/>
      <c r="F97" s="649"/>
      <c r="G97" s="649"/>
    </row>
    <row r="98" spans="1:7" ht="9.75" customHeight="1">
      <c r="A98" s="649"/>
      <c r="B98" s="649"/>
      <c r="C98" s="650"/>
      <c r="D98" s="650"/>
      <c r="E98" s="650"/>
      <c r="F98" s="649"/>
      <c r="G98" s="649"/>
    </row>
    <row r="99" spans="1:7" ht="9.75" customHeight="1">
      <c r="A99" s="649"/>
      <c r="B99" s="649"/>
      <c r="C99" s="650"/>
      <c r="D99" s="650"/>
      <c r="E99" s="650"/>
      <c r="F99" s="649"/>
      <c r="G99" s="649"/>
    </row>
    <row r="100" spans="1:7" ht="9.75" customHeight="1">
      <c r="A100" s="649"/>
      <c r="B100" s="649"/>
      <c r="C100" s="650"/>
      <c r="D100" s="650"/>
      <c r="E100" s="650"/>
      <c r="F100" s="649"/>
      <c r="G100" s="649"/>
    </row>
    <row r="101" spans="1:7" ht="9.75" customHeight="1">
      <c r="A101" s="649"/>
      <c r="B101" s="649"/>
      <c r="C101" s="650"/>
      <c r="D101" s="650"/>
      <c r="E101" s="650"/>
      <c r="F101" s="649"/>
      <c r="G101" s="649"/>
    </row>
    <row r="102" spans="1:7" ht="9.75" customHeight="1">
      <c r="A102" s="649"/>
      <c r="B102" s="649"/>
      <c r="C102" s="650"/>
      <c r="D102" s="650"/>
      <c r="E102" s="650"/>
      <c r="F102" s="649"/>
      <c r="G102" s="649"/>
    </row>
    <row r="103" spans="1:7" ht="9.75" customHeight="1">
      <c r="A103" s="649"/>
      <c r="B103" s="649"/>
      <c r="C103" s="650"/>
      <c r="D103" s="650"/>
      <c r="E103" s="650"/>
      <c r="F103" s="649"/>
      <c r="G103" s="649"/>
    </row>
    <row r="104" spans="1:7" ht="9.75" customHeight="1">
      <c r="A104" s="649"/>
      <c r="B104" s="649"/>
      <c r="C104" s="650"/>
      <c r="D104" s="650"/>
      <c r="E104" s="650"/>
      <c r="F104" s="649"/>
      <c r="G104" s="649"/>
    </row>
    <row r="105" spans="1:7" ht="9.75" customHeight="1">
      <c r="A105" s="649"/>
      <c r="B105" s="649"/>
      <c r="C105" s="650"/>
      <c r="D105" s="650"/>
      <c r="E105" s="650"/>
      <c r="F105" s="649"/>
      <c r="G105" s="649"/>
    </row>
    <row r="106" spans="1:7" ht="9.75" customHeight="1">
      <c r="A106" s="649"/>
      <c r="B106" s="649"/>
      <c r="C106" s="650"/>
      <c r="D106" s="650"/>
      <c r="E106" s="650"/>
      <c r="F106" s="649"/>
      <c r="G106" s="649"/>
    </row>
    <row r="107" spans="1:7" ht="9.75" customHeight="1">
      <c r="A107" s="649"/>
      <c r="B107" s="649"/>
      <c r="C107" s="650"/>
      <c r="D107" s="650"/>
      <c r="E107" s="650"/>
      <c r="F107" s="649"/>
      <c r="G107" s="649"/>
    </row>
    <row r="108" spans="1:7" ht="9.75" customHeight="1">
      <c r="A108" s="649"/>
      <c r="B108" s="649"/>
      <c r="C108" s="650"/>
      <c r="D108" s="650"/>
      <c r="E108" s="650"/>
      <c r="F108" s="649"/>
      <c r="G108" s="649"/>
    </row>
    <row r="109" spans="1:7" ht="9.75" customHeight="1">
      <c r="A109" s="649"/>
      <c r="B109" s="649"/>
      <c r="C109" s="650"/>
      <c r="D109" s="650"/>
      <c r="E109" s="650"/>
      <c r="F109" s="649"/>
      <c r="G109" s="649"/>
    </row>
    <row r="110" spans="1:7" ht="9.75" customHeight="1">
      <c r="A110" s="649"/>
      <c r="B110" s="649"/>
      <c r="C110" s="650"/>
      <c r="D110" s="650"/>
      <c r="E110" s="650"/>
      <c r="F110" s="649"/>
      <c r="G110" s="649"/>
    </row>
    <row r="111" spans="1:7" ht="9.75" customHeight="1">
      <c r="A111" s="649"/>
      <c r="B111" s="649"/>
      <c r="C111" s="650"/>
      <c r="D111" s="650"/>
      <c r="E111" s="650"/>
      <c r="F111" s="649"/>
      <c r="G111" s="649"/>
    </row>
    <row r="112" spans="1:7" ht="9.75" customHeight="1">
      <c r="A112" s="649"/>
      <c r="B112" s="649"/>
      <c r="C112" s="650"/>
      <c r="D112" s="650"/>
      <c r="E112" s="650"/>
      <c r="F112" s="649"/>
      <c r="G112" s="649"/>
    </row>
    <row r="113" spans="1:7" ht="9.75" customHeight="1">
      <c r="A113" s="649"/>
      <c r="B113" s="649"/>
      <c r="C113" s="650"/>
      <c r="D113" s="650"/>
      <c r="E113" s="650"/>
      <c r="F113" s="649"/>
      <c r="G113" s="649"/>
    </row>
    <row r="114" spans="1:7" ht="9.75" customHeight="1">
      <c r="A114" s="649"/>
      <c r="B114" s="649"/>
      <c r="C114" s="650"/>
      <c r="D114" s="650"/>
      <c r="E114" s="650"/>
      <c r="F114" s="649"/>
      <c r="G114" s="649"/>
    </row>
    <row r="115" spans="1:7" ht="9.75" customHeight="1">
      <c r="A115" s="649"/>
      <c r="B115" s="649"/>
      <c r="C115" s="650"/>
      <c r="D115" s="650"/>
      <c r="E115" s="650"/>
      <c r="F115" s="649"/>
      <c r="G115" s="649"/>
    </row>
    <row r="116" spans="1:7" ht="9.75" customHeight="1">
      <c r="A116" s="649"/>
      <c r="B116" s="649"/>
      <c r="C116" s="650"/>
      <c r="D116" s="650"/>
      <c r="E116" s="650"/>
      <c r="F116" s="649"/>
      <c r="G116" s="649"/>
    </row>
    <row r="117" spans="1:7" ht="9.75" customHeight="1">
      <c r="A117" s="649"/>
      <c r="B117" s="649"/>
      <c r="C117" s="650"/>
      <c r="D117" s="650"/>
      <c r="E117" s="650"/>
      <c r="F117" s="649"/>
      <c r="G117" s="649"/>
    </row>
    <row r="118" spans="1:7" ht="9.75" customHeight="1">
      <c r="A118" s="649"/>
      <c r="B118" s="649"/>
      <c r="C118" s="650"/>
      <c r="D118" s="650"/>
      <c r="E118" s="650"/>
      <c r="F118" s="649"/>
      <c r="G118" s="649"/>
    </row>
    <row r="119" spans="1:7" ht="9.75" customHeight="1">
      <c r="A119" s="649"/>
      <c r="B119" s="649"/>
      <c r="C119" s="650"/>
      <c r="D119" s="650"/>
      <c r="E119" s="650"/>
      <c r="F119" s="649"/>
      <c r="G119" s="649"/>
    </row>
    <row r="120" spans="1:7" ht="9.75" customHeight="1">
      <c r="A120" s="649"/>
      <c r="B120" s="649"/>
      <c r="C120" s="650"/>
      <c r="D120" s="650"/>
      <c r="E120" s="650"/>
      <c r="F120" s="649"/>
      <c r="G120" s="649"/>
    </row>
    <row r="121" spans="1:7" ht="9.75" customHeight="1">
      <c r="A121" s="649"/>
      <c r="B121" s="649"/>
      <c r="C121" s="650"/>
      <c r="D121" s="650"/>
      <c r="E121" s="650"/>
      <c r="F121" s="649"/>
      <c r="G121" s="649"/>
    </row>
    <row r="122" spans="1:7" ht="9.75" customHeight="1">
      <c r="A122" s="649"/>
      <c r="B122" s="649"/>
      <c r="C122" s="650"/>
      <c r="D122" s="650"/>
      <c r="E122" s="650"/>
      <c r="F122" s="649"/>
      <c r="G122" s="649"/>
    </row>
    <row r="123" spans="1:7" ht="9.75" customHeight="1">
      <c r="A123" s="649"/>
      <c r="B123" s="649"/>
      <c r="C123" s="650"/>
      <c r="D123" s="650"/>
      <c r="E123" s="650"/>
      <c r="F123" s="649"/>
      <c r="G123" s="649"/>
    </row>
    <row r="124" spans="1:7" ht="9.75" customHeight="1">
      <c r="A124" s="649"/>
      <c r="B124" s="649"/>
      <c r="C124" s="650"/>
      <c r="D124" s="650"/>
      <c r="E124" s="650"/>
      <c r="F124" s="649"/>
      <c r="G124" s="649"/>
    </row>
    <row r="125" spans="1:7" ht="9.75" customHeight="1">
      <c r="A125" s="649"/>
      <c r="B125" s="649"/>
      <c r="C125" s="650"/>
      <c r="D125" s="650"/>
      <c r="E125" s="650"/>
      <c r="F125" s="649"/>
      <c r="G125" s="649"/>
    </row>
    <row r="126" spans="1:7" ht="9.75" customHeight="1">
      <c r="A126" s="649"/>
      <c r="B126" s="649"/>
      <c r="C126" s="650"/>
      <c r="D126" s="650"/>
      <c r="E126" s="650"/>
      <c r="F126" s="649"/>
      <c r="G126" s="649"/>
    </row>
    <row r="127" spans="1:7" ht="9.75" customHeight="1">
      <c r="A127" s="649"/>
      <c r="B127" s="649"/>
      <c r="C127" s="650"/>
      <c r="D127" s="650"/>
      <c r="E127" s="650"/>
      <c r="F127" s="649"/>
      <c r="G127" s="649"/>
    </row>
    <row r="128" spans="1:7" ht="9.75" customHeight="1">
      <c r="A128" s="649"/>
      <c r="B128" s="649"/>
      <c r="C128" s="650"/>
      <c r="D128" s="650"/>
      <c r="E128" s="650"/>
      <c r="F128" s="649"/>
      <c r="G128" s="649"/>
    </row>
    <row r="129" spans="1:7" ht="9.75" customHeight="1">
      <c r="A129" s="649"/>
      <c r="B129" s="649"/>
      <c r="C129" s="650"/>
      <c r="D129" s="650"/>
      <c r="E129" s="650"/>
      <c r="F129" s="649"/>
      <c r="G129" s="649"/>
    </row>
    <row r="130" spans="1:7" ht="9.75" customHeight="1">
      <c r="A130" s="649"/>
      <c r="B130" s="649"/>
      <c r="C130" s="650"/>
      <c r="D130" s="650"/>
      <c r="E130" s="650"/>
      <c r="F130" s="649"/>
      <c r="G130" s="649"/>
    </row>
    <row r="131" spans="1:7" ht="9.75" customHeight="1">
      <c r="A131" s="649"/>
      <c r="B131" s="649"/>
      <c r="C131" s="650"/>
      <c r="D131" s="650"/>
      <c r="E131" s="650"/>
      <c r="F131" s="649"/>
      <c r="G131" s="649"/>
    </row>
    <row r="132" spans="1:7" ht="9.75" customHeight="1">
      <c r="A132" s="649"/>
      <c r="B132" s="649"/>
      <c r="C132" s="650"/>
      <c r="D132" s="650"/>
      <c r="E132" s="650"/>
      <c r="F132" s="649"/>
      <c r="G132" s="649"/>
    </row>
    <row r="133" spans="1:7" ht="9.75" customHeight="1">
      <c r="A133" s="649"/>
      <c r="B133" s="649"/>
      <c r="C133" s="650"/>
      <c r="D133" s="650"/>
      <c r="E133" s="650"/>
      <c r="F133" s="649"/>
      <c r="G133" s="649"/>
    </row>
    <row r="134" spans="1:7" ht="9.75" customHeight="1">
      <c r="A134" s="649"/>
      <c r="B134" s="649"/>
      <c r="C134" s="650"/>
      <c r="D134" s="650"/>
      <c r="E134" s="650"/>
      <c r="F134" s="649"/>
      <c r="G134" s="649"/>
    </row>
    <row r="135" spans="1:7" ht="9.75" customHeight="1">
      <c r="A135" s="649"/>
      <c r="B135" s="649"/>
      <c r="C135" s="650"/>
      <c r="D135" s="650"/>
      <c r="E135" s="650"/>
      <c r="F135" s="649"/>
      <c r="G135" s="649"/>
    </row>
    <row r="136" spans="1:7" ht="9.75" customHeight="1">
      <c r="A136" s="649"/>
      <c r="B136" s="649"/>
      <c r="C136" s="650"/>
      <c r="D136" s="650"/>
      <c r="E136" s="650"/>
      <c r="F136" s="649"/>
      <c r="G136" s="649"/>
    </row>
    <row r="137" spans="1:7" ht="9.75" customHeight="1">
      <c r="A137" s="649"/>
      <c r="B137" s="649"/>
      <c r="C137" s="650"/>
      <c r="D137" s="650"/>
      <c r="E137" s="650"/>
      <c r="F137" s="649"/>
      <c r="G137" s="649"/>
    </row>
    <row r="138" spans="1:7" ht="9.75" customHeight="1">
      <c r="A138" s="649"/>
      <c r="B138" s="649"/>
      <c r="C138" s="650"/>
      <c r="D138" s="650"/>
      <c r="E138" s="650"/>
      <c r="F138" s="649"/>
      <c r="G138" s="649"/>
    </row>
    <row r="139" spans="1:7" ht="9.75" customHeight="1">
      <c r="A139" s="649"/>
      <c r="B139" s="649"/>
      <c r="C139" s="650"/>
      <c r="D139" s="650"/>
      <c r="E139" s="650"/>
      <c r="F139" s="649"/>
      <c r="G139" s="649"/>
    </row>
    <row r="140" spans="1:7" ht="9.75" customHeight="1">
      <c r="A140" s="649"/>
      <c r="B140" s="649"/>
      <c r="C140" s="650"/>
      <c r="D140" s="650"/>
      <c r="E140" s="650"/>
      <c r="F140" s="649"/>
      <c r="G140" s="649"/>
    </row>
    <row r="141" spans="1:7" ht="9.75" customHeight="1">
      <c r="A141" s="649"/>
      <c r="B141" s="649"/>
      <c r="C141" s="650"/>
      <c r="D141" s="650"/>
      <c r="E141" s="650"/>
      <c r="F141" s="649"/>
      <c r="G141" s="649"/>
    </row>
    <row r="142" spans="1:7" ht="9.75" customHeight="1">
      <c r="A142" s="649"/>
      <c r="B142" s="649"/>
      <c r="C142" s="650"/>
      <c r="D142" s="650"/>
      <c r="E142" s="650"/>
      <c r="F142" s="649"/>
      <c r="G142" s="649"/>
    </row>
    <row r="143" spans="1:7" ht="9.75" customHeight="1">
      <c r="A143" s="649"/>
      <c r="B143" s="649"/>
      <c r="C143" s="650"/>
      <c r="D143" s="650"/>
      <c r="E143" s="650"/>
      <c r="F143" s="649"/>
      <c r="G143" s="649"/>
    </row>
    <row r="144" spans="1:7" ht="9.75" customHeight="1">
      <c r="A144" s="649"/>
      <c r="B144" s="649"/>
      <c r="C144" s="650"/>
      <c r="D144" s="650"/>
      <c r="E144" s="650"/>
      <c r="F144" s="649"/>
      <c r="G144" s="649"/>
    </row>
    <row r="145" spans="1:7" ht="9.75" customHeight="1">
      <c r="A145" s="649"/>
      <c r="B145" s="649"/>
      <c r="C145" s="650"/>
      <c r="D145" s="650"/>
      <c r="E145" s="650"/>
      <c r="F145" s="649"/>
      <c r="G145" s="649"/>
    </row>
    <row r="146" spans="1:7" ht="9.75" customHeight="1">
      <c r="A146" s="649"/>
      <c r="B146" s="649"/>
      <c r="C146" s="650"/>
      <c r="D146" s="650"/>
      <c r="E146" s="650"/>
      <c r="F146" s="649"/>
      <c r="G146" s="649"/>
    </row>
    <row r="147" spans="1:7" ht="9.75" customHeight="1">
      <c r="A147" s="649"/>
      <c r="B147" s="649"/>
      <c r="C147" s="650"/>
      <c r="D147" s="650"/>
      <c r="E147" s="650"/>
      <c r="F147" s="649"/>
      <c r="G147" s="649"/>
    </row>
    <row r="148" spans="1:7" ht="9.75" customHeight="1">
      <c r="A148" s="649"/>
      <c r="B148" s="649"/>
      <c r="C148" s="650"/>
      <c r="D148" s="650"/>
      <c r="E148" s="650"/>
      <c r="F148" s="649"/>
      <c r="G148" s="649"/>
    </row>
    <row r="149" spans="1:7" ht="9.75" customHeight="1">
      <c r="A149" s="649"/>
      <c r="B149" s="649"/>
      <c r="C149" s="650"/>
      <c r="D149" s="650"/>
      <c r="E149" s="650"/>
      <c r="F149" s="649"/>
      <c r="G149" s="649"/>
    </row>
    <row r="150" spans="1:7" ht="9.75" customHeight="1">
      <c r="A150" s="649"/>
      <c r="B150" s="649"/>
      <c r="C150" s="650"/>
      <c r="D150" s="650"/>
      <c r="E150" s="650"/>
      <c r="F150" s="649"/>
      <c r="G150" s="649"/>
    </row>
    <row r="151" spans="1:7" ht="9.75" customHeight="1">
      <c r="A151" s="649"/>
      <c r="B151" s="649"/>
      <c r="C151" s="650"/>
      <c r="D151" s="650"/>
      <c r="E151" s="650"/>
      <c r="F151" s="649"/>
      <c r="G151" s="649"/>
    </row>
    <row r="152" spans="1:7" ht="9.75" customHeight="1">
      <c r="A152" s="649"/>
      <c r="B152" s="649"/>
      <c r="C152" s="650"/>
      <c r="D152" s="650"/>
      <c r="E152" s="650"/>
      <c r="F152" s="649"/>
      <c r="G152" s="649"/>
    </row>
    <row r="153" spans="1:7" ht="9.75" customHeight="1">
      <c r="A153" s="649"/>
      <c r="B153" s="649"/>
      <c r="C153" s="650"/>
      <c r="D153" s="650"/>
      <c r="E153" s="650"/>
      <c r="F153" s="649"/>
      <c r="G153" s="649"/>
    </row>
    <row r="154" spans="1:7" ht="9.75" customHeight="1">
      <c r="A154" s="649"/>
      <c r="B154" s="649"/>
      <c r="C154" s="650"/>
      <c r="D154" s="650"/>
      <c r="E154" s="650"/>
      <c r="F154" s="649"/>
      <c r="G154" s="649"/>
    </row>
    <row r="155" spans="1:7" ht="9.75" customHeight="1">
      <c r="A155" s="649"/>
      <c r="B155" s="649"/>
      <c r="C155" s="650"/>
      <c r="D155" s="650"/>
      <c r="E155" s="650"/>
      <c r="F155" s="649"/>
      <c r="G155" s="649"/>
    </row>
    <row r="156" spans="1:7" ht="9.75" customHeight="1">
      <c r="A156" s="649"/>
      <c r="B156" s="649"/>
      <c r="C156" s="650"/>
      <c r="D156" s="650"/>
      <c r="E156" s="650"/>
      <c r="F156" s="649"/>
      <c r="G156" s="649"/>
    </row>
    <row r="157" spans="1:7" ht="9.75" customHeight="1">
      <c r="A157" s="649"/>
      <c r="B157" s="649"/>
      <c r="C157" s="650"/>
      <c r="D157" s="650"/>
      <c r="E157" s="650"/>
      <c r="F157" s="649"/>
      <c r="G157" s="649"/>
    </row>
    <row r="158" spans="1:7" ht="9.75" customHeight="1">
      <c r="A158" s="649"/>
      <c r="B158" s="649"/>
      <c r="C158" s="650"/>
      <c r="D158" s="650"/>
      <c r="E158" s="650"/>
      <c r="F158" s="649"/>
      <c r="G158" s="649"/>
    </row>
    <row r="159" spans="1:7" ht="9.75" customHeight="1">
      <c r="A159" s="649"/>
      <c r="B159" s="649"/>
      <c r="C159" s="650"/>
      <c r="D159" s="650"/>
      <c r="E159" s="650"/>
      <c r="F159" s="649"/>
      <c r="G159" s="649"/>
    </row>
    <row r="160" spans="1:7" ht="9.75" customHeight="1">
      <c r="A160" s="649"/>
      <c r="B160" s="649"/>
      <c r="C160" s="650"/>
      <c r="D160" s="650"/>
      <c r="E160" s="650"/>
      <c r="F160" s="649"/>
      <c r="G160" s="649"/>
    </row>
    <row r="161" spans="1:7" ht="9.75" customHeight="1">
      <c r="A161" s="649"/>
      <c r="B161" s="649"/>
      <c r="C161" s="650"/>
      <c r="D161" s="650"/>
      <c r="E161" s="650"/>
      <c r="F161" s="649"/>
      <c r="G161" s="649"/>
    </row>
    <row r="162" spans="1:7" ht="9.75" customHeight="1">
      <c r="A162" s="649"/>
      <c r="B162" s="649"/>
      <c r="C162" s="650"/>
      <c r="D162" s="650"/>
      <c r="E162" s="650"/>
      <c r="F162" s="649"/>
      <c r="G162" s="649"/>
    </row>
    <row r="163" spans="1:7" ht="9.75" customHeight="1">
      <c r="A163" s="649"/>
      <c r="B163" s="649"/>
      <c r="C163" s="650"/>
      <c r="D163" s="650"/>
      <c r="E163" s="650"/>
      <c r="F163" s="649"/>
      <c r="G163" s="649"/>
    </row>
    <row r="164" spans="1:7" ht="9.75" customHeight="1">
      <c r="A164" s="649"/>
      <c r="B164" s="649"/>
      <c r="C164" s="650"/>
      <c r="D164" s="650"/>
      <c r="E164" s="650"/>
      <c r="F164" s="649"/>
      <c r="G164" s="649"/>
    </row>
    <row r="165" spans="1:7" ht="9.75" customHeight="1">
      <c r="A165" s="649"/>
      <c r="B165" s="649"/>
      <c r="C165" s="650"/>
      <c r="D165" s="650"/>
      <c r="E165" s="650"/>
      <c r="F165" s="649"/>
      <c r="G165" s="649"/>
    </row>
    <row r="166" spans="1:7" ht="9.75" customHeight="1">
      <c r="A166" s="649"/>
      <c r="B166" s="649"/>
      <c r="C166" s="649"/>
      <c r="D166" s="649"/>
      <c r="E166" s="649"/>
      <c r="F166" s="649"/>
      <c r="G166" s="649"/>
    </row>
    <row r="167" spans="1:7" ht="9.75" customHeight="1">
      <c r="A167" s="649"/>
      <c r="B167" s="649"/>
      <c r="C167" s="649"/>
      <c r="D167" s="649"/>
      <c r="E167" s="649"/>
      <c r="F167" s="649"/>
      <c r="G167" s="649"/>
    </row>
    <row r="168" spans="1:7" ht="9.75" customHeight="1">
      <c r="A168" s="649"/>
      <c r="B168" s="649"/>
      <c r="C168" s="649"/>
      <c r="D168" s="649"/>
      <c r="E168" s="649"/>
      <c r="F168" s="649"/>
      <c r="G168" s="649"/>
    </row>
    <row r="169" spans="1:7" ht="9.75" customHeight="1">
      <c r="A169" s="649"/>
      <c r="B169" s="649"/>
      <c r="C169" s="649"/>
      <c r="D169" s="649"/>
      <c r="E169" s="649"/>
      <c r="F169" s="649"/>
      <c r="G169" s="649"/>
    </row>
    <row r="170" spans="1:7" ht="9.75" customHeight="1">
      <c r="A170" s="649"/>
      <c r="B170" s="649"/>
      <c r="C170" s="649"/>
      <c r="D170" s="649"/>
      <c r="E170" s="649"/>
      <c r="F170" s="649"/>
      <c r="G170" s="649"/>
    </row>
    <row r="171" spans="1:7" ht="9.75" customHeight="1">
      <c r="A171" s="649"/>
      <c r="B171" s="649"/>
      <c r="C171" s="649"/>
      <c r="D171" s="649"/>
      <c r="E171" s="649"/>
      <c r="F171" s="649"/>
      <c r="G171" s="649"/>
    </row>
    <row r="172" spans="1:7" ht="9.75" customHeight="1">
      <c r="A172" s="649"/>
      <c r="B172" s="649"/>
      <c r="C172" s="649"/>
      <c r="D172" s="649"/>
      <c r="E172" s="649"/>
      <c r="F172" s="649"/>
      <c r="G172" s="649"/>
    </row>
    <row r="173" spans="1:7" ht="9.75" customHeight="1">
      <c r="A173" s="649"/>
      <c r="B173" s="649"/>
      <c r="C173" s="649"/>
      <c r="D173" s="649"/>
      <c r="E173" s="649"/>
      <c r="F173" s="649"/>
      <c r="G173" s="649"/>
    </row>
    <row r="174" spans="1:7" ht="9.75" customHeight="1">
      <c r="A174" s="649"/>
      <c r="B174" s="649"/>
      <c r="C174" s="649"/>
      <c r="D174" s="649"/>
      <c r="E174" s="649"/>
      <c r="F174" s="649"/>
      <c r="G174" s="649"/>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Diciembre 2018
INFSGI-MES-12-2018
15/01/2019
Versión: 01</oddHeader>
    <oddFooter>&amp;L&amp;7COES, 2018&amp;C18&amp;R&amp;7Dirección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107"/>
  <sheetViews>
    <sheetView showGridLines="0" view="pageBreakPreview" zoomScale="145" zoomScaleNormal="100" zoomScaleSheetLayoutView="145" zoomScalePageLayoutView="160" workbookViewId="0">
      <selection activeCell="D4" sqref="D4"/>
    </sheetView>
  </sheetViews>
  <sheetFormatPr defaultColWidth="9.33203125"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808" customWidth="1"/>
    <col min="12" max="12" width="9.33203125" style="808"/>
    <col min="13" max="13" width="9.33203125" style="50"/>
    <col min="14" max="16384" width="9.33203125" style="3"/>
  </cols>
  <sheetData>
    <row r="1" spans="1:12" s="50" customFormat="1" ht="17.25" customHeight="1">
      <c r="A1" s="1006" t="s">
        <v>279</v>
      </c>
      <c r="B1" s="1000" t="s">
        <v>56</v>
      </c>
      <c r="C1" s="1002" t="str">
        <f>+'18. ANEXOI-1'!C2:F2</f>
        <v>ENERGÍA PRODUCIDA DICIEMBRE 2018</v>
      </c>
      <c r="D1" s="1002"/>
      <c r="E1" s="1002"/>
      <c r="F1" s="1002"/>
      <c r="G1" s="753" t="s">
        <v>307</v>
      </c>
      <c r="H1" s="243"/>
      <c r="I1" s="243"/>
      <c r="J1" s="807"/>
      <c r="K1" s="807"/>
      <c r="L1" s="808"/>
    </row>
    <row r="2" spans="1:12" s="50" customFormat="1" ht="11.25" customHeight="1">
      <c r="A2" s="1006"/>
      <c r="B2" s="1000"/>
      <c r="C2" s="1003" t="s">
        <v>308</v>
      </c>
      <c r="D2" s="1003"/>
      <c r="E2" s="1003"/>
      <c r="F2" s="1004" t="str">
        <f>"TOTAL 
"&amp;UPPER('1. Resumen'!Q4)</f>
        <v>TOTAL 
DICIEMBRE</v>
      </c>
      <c r="G2" s="754" t="s">
        <v>309</v>
      </c>
      <c r="H2" s="233"/>
      <c r="I2" s="233"/>
      <c r="J2" s="809"/>
      <c r="K2" s="809"/>
      <c r="L2" s="810"/>
    </row>
    <row r="3" spans="1:12" s="50" customFormat="1" ht="11.25" customHeight="1">
      <c r="A3" s="1006"/>
      <c r="B3" s="1000"/>
      <c r="C3" s="755" t="s">
        <v>233</v>
      </c>
      <c r="D3" s="755" t="s">
        <v>234</v>
      </c>
      <c r="E3" s="755" t="s">
        <v>310</v>
      </c>
      <c r="F3" s="1005"/>
      <c r="G3" s="754">
        <v>2018</v>
      </c>
      <c r="H3" s="236"/>
      <c r="I3" s="235"/>
      <c r="J3" s="811"/>
      <c r="K3" s="811"/>
      <c r="L3" s="810"/>
    </row>
    <row r="4" spans="1:12" s="50" customFormat="1" ht="11.25" customHeight="1">
      <c r="A4" s="1007"/>
      <c r="B4" s="1008"/>
      <c r="C4" s="756" t="s">
        <v>311</v>
      </c>
      <c r="D4" s="756" t="s">
        <v>311</v>
      </c>
      <c r="E4" s="756" t="s">
        <v>311</v>
      </c>
      <c r="F4" s="756" t="s">
        <v>311</v>
      </c>
      <c r="G4" s="757" t="s">
        <v>217</v>
      </c>
      <c r="H4" s="236"/>
      <c r="I4" s="236"/>
      <c r="J4" s="812"/>
      <c r="K4" s="812"/>
      <c r="L4" s="813"/>
    </row>
    <row r="5" spans="1:12" ht="10.5" customHeight="1">
      <c r="A5" s="648" t="s">
        <v>91</v>
      </c>
      <c r="B5" s="644" t="s">
        <v>365</v>
      </c>
      <c r="C5" s="646">
        <v>49484.741880000001</v>
      </c>
      <c r="D5" s="646"/>
      <c r="E5" s="646"/>
      <c r="F5" s="646">
        <v>49484.741880000001</v>
      </c>
      <c r="G5" s="647">
        <v>518789.06540249992</v>
      </c>
      <c r="I5" s="806"/>
      <c r="K5" s="812"/>
      <c r="L5" s="812"/>
    </row>
    <row r="6" spans="1:12" ht="10.5" customHeight="1">
      <c r="A6" s="648"/>
      <c r="B6" s="644" t="s">
        <v>366</v>
      </c>
      <c r="C6" s="646">
        <v>73973.103072500002</v>
      </c>
      <c r="D6" s="646"/>
      <c r="E6" s="646"/>
      <c r="F6" s="646">
        <v>73973.103072500002</v>
      </c>
      <c r="G6" s="647">
        <v>889699.92371249991</v>
      </c>
      <c r="I6" s="806"/>
      <c r="K6" s="812"/>
      <c r="L6" s="812"/>
    </row>
    <row r="7" spans="1:12" ht="10.5" customHeight="1">
      <c r="A7" s="648"/>
      <c r="B7" s="644" t="s">
        <v>367</v>
      </c>
      <c r="C7" s="646"/>
      <c r="D7" s="646">
        <v>442057.67526499997</v>
      </c>
      <c r="E7" s="646"/>
      <c r="F7" s="646">
        <v>442057.67526499997</v>
      </c>
      <c r="G7" s="647">
        <v>3403623.7083874997</v>
      </c>
      <c r="I7" s="806"/>
      <c r="K7" s="812"/>
      <c r="L7" s="812"/>
    </row>
    <row r="8" spans="1:12" ht="10.5" customHeight="1">
      <c r="A8" s="648"/>
      <c r="B8" s="644" t="s">
        <v>368</v>
      </c>
      <c r="C8" s="646"/>
      <c r="D8" s="646">
        <v>44458.594472500001</v>
      </c>
      <c r="E8" s="646"/>
      <c r="F8" s="646">
        <v>44458.594472500001</v>
      </c>
      <c r="G8" s="647">
        <v>369970.52158750006</v>
      </c>
      <c r="I8" s="806"/>
      <c r="K8" s="812"/>
      <c r="L8" s="812"/>
    </row>
    <row r="9" spans="1:12" ht="10.5" customHeight="1">
      <c r="A9" s="648"/>
      <c r="B9" s="644" t="s">
        <v>369</v>
      </c>
      <c r="C9" s="646"/>
      <c r="D9" s="646">
        <v>0</v>
      </c>
      <c r="E9" s="646"/>
      <c r="F9" s="646">
        <v>0</v>
      </c>
      <c r="G9" s="647">
        <v>43120.710160000002</v>
      </c>
      <c r="I9" s="806"/>
      <c r="K9" s="812"/>
      <c r="L9" s="812"/>
    </row>
    <row r="10" spans="1:12" ht="10.5" customHeight="1">
      <c r="A10" s="648"/>
      <c r="B10" s="644" t="s">
        <v>370</v>
      </c>
      <c r="C10" s="646"/>
      <c r="D10" s="646">
        <v>0</v>
      </c>
      <c r="E10" s="646"/>
      <c r="F10" s="646">
        <v>0</v>
      </c>
      <c r="G10" s="647">
        <v>17968.402582499999</v>
      </c>
      <c r="I10" s="806"/>
      <c r="K10" s="812"/>
      <c r="L10" s="812"/>
    </row>
    <row r="11" spans="1:12" ht="10.5" customHeight="1">
      <c r="A11" s="648"/>
      <c r="B11" s="644" t="s">
        <v>371</v>
      </c>
      <c r="C11" s="646"/>
      <c r="D11" s="646">
        <v>359.88117249999999</v>
      </c>
      <c r="E11" s="646"/>
      <c r="F11" s="646">
        <v>359.88117249999999</v>
      </c>
      <c r="G11" s="647">
        <v>3226.0221124999998</v>
      </c>
      <c r="I11" s="806"/>
      <c r="K11" s="812"/>
      <c r="L11" s="812"/>
    </row>
    <row r="12" spans="1:12" ht="10.5" customHeight="1">
      <c r="A12" s="648"/>
      <c r="B12" s="644" t="s">
        <v>776</v>
      </c>
      <c r="C12" s="646"/>
      <c r="D12" s="646"/>
      <c r="E12" s="646">
        <v>10914.461537499999</v>
      </c>
      <c r="F12" s="646">
        <v>10914.461537499999</v>
      </c>
      <c r="G12" s="647">
        <v>87258.814470000012</v>
      </c>
      <c r="I12" s="806"/>
      <c r="K12" s="812"/>
      <c r="L12" s="812"/>
    </row>
    <row r="13" spans="1:12" ht="10.5" customHeight="1">
      <c r="A13" s="788" t="s">
        <v>372</v>
      </c>
      <c r="B13" s="789"/>
      <c r="C13" s="790">
        <v>123457.8449525</v>
      </c>
      <c r="D13" s="790">
        <v>486876.15091000003</v>
      </c>
      <c r="E13" s="790">
        <v>10914.461537499999</v>
      </c>
      <c r="F13" s="791">
        <v>621248.45739999996</v>
      </c>
      <c r="G13" s="792">
        <v>5333657.1684149997</v>
      </c>
      <c r="I13" s="806"/>
      <c r="K13" s="812"/>
      <c r="L13" s="812"/>
    </row>
    <row r="14" spans="1:12" ht="10.5" customHeight="1">
      <c r="A14" s="648" t="s">
        <v>266</v>
      </c>
      <c r="B14" s="644" t="s">
        <v>373</v>
      </c>
      <c r="C14" s="646"/>
      <c r="D14" s="646">
        <v>402904.32225500001</v>
      </c>
      <c r="E14" s="646"/>
      <c r="F14" s="646">
        <v>402904.32225500001</v>
      </c>
      <c r="G14" s="647">
        <v>3913525.600995</v>
      </c>
      <c r="I14" s="806"/>
      <c r="K14" s="812"/>
      <c r="L14" s="812"/>
    </row>
    <row r="15" spans="1:12" ht="10.5" customHeight="1">
      <c r="A15" s="788" t="s">
        <v>374</v>
      </c>
      <c r="B15" s="789"/>
      <c r="C15" s="790"/>
      <c r="D15" s="790">
        <v>402904.32225500001</v>
      </c>
      <c r="E15" s="790"/>
      <c r="F15" s="791">
        <v>402904.32225500001</v>
      </c>
      <c r="G15" s="792">
        <v>3913525.600995</v>
      </c>
      <c r="I15" s="806"/>
      <c r="K15" s="812"/>
      <c r="L15" s="812"/>
    </row>
    <row r="16" spans="1:12" ht="10.5" customHeight="1">
      <c r="A16" s="648" t="s">
        <v>112</v>
      </c>
      <c r="B16" s="644" t="s">
        <v>68</v>
      </c>
      <c r="C16" s="646"/>
      <c r="D16" s="646"/>
      <c r="E16" s="646">
        <v>4778.404595</v>
      </c>
      <c r="F16" s="646">
        <v>4778.404595</v>
      </c>
      <c r="G16" s="647">
        <v>54503.521684999992</v>
      </c>
      <c r="I16" s="806"/>
      <c r="K16" s="812"/>
      <c r="L16" s="812"/>
    </row>
    <row r="17" spans="1:12" ht="10.5" customHeight="1">
      <c r="A17" s="648"/>
      <c r="B17" s="644" t="s">
        <v>780</v>
      </c>
      <c r="C17" s="646"/>
      <c r="D17" s="646"/>
      <c r="E17" s="646">
        <v>5861.3385049999997</v>
      </c>
      <c r="F17" s="646">
        <v>5861.3385049999997</v>
      </c>
      <c r="G17" s="647">
        <v>22088.009985000001</v>
      </c>
      <c r="I17" s="806"/>
      <c r="K17" s="812"/>
      <c r="L17" s="812"/>
    </row>
    <row r="18" spans="1:12" ht="10.5" customHeight="1">
      <c r="A18" s="648"/>
      <c r="B18" s="644" t="s">
        <v>781</v>
      </c>
      <c r="C18" s="646"/>
      <c r="D18" s="646"/>
      <c r="E18" s="646">
        <v>6929.8720950000006</v>
      </c>
      <c r="F18" s="646">
        <v>6929.8720950000006</v>
      </c>
      <c r="G18" s="647">
        <v>29720.498117500007</v>
      </c>
      <c r="I18" s="806"/>
      <c r="K18" s="812"/>
      <c r="L18" s="812"/>
    </row>
    <row r="19" spans="1:12" ht="10.5" customHeight="1">
      <c r="A19" s="648"/>
      <c r="B19" s="644" t="s">
        <v>782</v>
      </c>
      <c r="C19" s="646"/>
      <c r="D19" s="646"/>
      <c r="E19" s="646">
        <v>6569.8407225000001</v>
      </c>
      <c r="F19" s="646">
        <v>6569.8407225000001</v>
      </c>
      <c r="G19" s="647">
        <v>26871.57127</v>
      </c>
      <c r="I19" s="806"/>
      <c r="K19" s="812"/>
      <c r="L19" s="812"/>
    </row>
    <row r="20" spans="1:12" ht="10.5" customHeight="1">
      <c r="A20" s="788" t="s">
        <v>375</v>
      </c>
      <c r="B20" s="789"/>
      <c r="C20" s="790"/>
      <c r="D20" s="790"/>
      <c r="E20" s="790">
        <v>24139.455917499999</v>
      </c>
      <c r="F20" s="791">
        <v>24139.455917499999</v>
      </c>
      <c r="G20" s="792">
        <v>133183.6010575</v>
      </c>
      <c r="I20" s="806"/>
      <c r="K20" s="812"/>
      <c r="L20" s="812"/>
    </row>
    <row r="21" spans="1:12" ht="10.5" customHeight="1">
      <c r="A21" s="648" t="s">
        <v>115</v>
      </c>
      <c r="B21" s="644" t="s">
        <v>258</v>
      </c>
      <c r="C21" s="646"/>
      <c r="D21" s="646"/>
      <c r="E21" s="646">
        <v>4122.2224999999999</v>
      </c>
      <c r="F21" s="646">
        <v>4122.2224999999999</v>
      </c>
      <c r="G21" s="647">
        <v>44479.778910000001</v>
      </c>
      <c r="I21" s="806"/>
      <c r="K21" s="812"/>
      <c r="L21" s="812"/>
    </row>
    <row r="22" spans="1:12" ht="10.5" customHeight="1">
      <c r="A22" s="788" t="s">
        <v>376</v>
      </c>
      <c r="B22" s="789"/>
      <c r="C22" s="790"/>
      <c r="D22" s="790"/>
      <c r="E22" s="790">
        <v>4122.2224999999999</v>
      </c>
      <c r="F22" s="791">
        <v>4122.2224999999999</v>
      </c>
      <c r="G22" s="792">
        <v>44479.778910000001</v>
      </c>
      <c r="I22" s="806"/>
      <c r="K22" s="812"/>
      <c r="L22" s="812"/>
    </row>
    <row r="23" spans="1:12" ht="10.5" customHeight="1">
      <c r="A23" s="648" t="s">
        <v>116</v>
      </c>
      <c r="B23" s="644" t="s">
        <v>86</v>
      </c>
      <c r="C23" s="646"/>
      <c r="D23" s="646"/>
      <c r="E23" s="646">
        <v>3923.606475</v>
      </c>
      <c r="F23" s="646">
        <v>3923.606475</v>
      </c>
      <c r="G23" s="647">
        <v>41293.103539999996</v>
      </c>
      <c r="I23" s="806"/>
      <c r="K23" s="812"/>
      <c r="L23" s="812"/>
    </row>
    <row r="24" spans="1:12" ht="10.5" customHeight="1">
      <c r="A24" s="788" t="s">
        <v>377</v>
      </c>
      <c r="B24" s="789"/>
      <c r="C24" s="790"/>
      <c r="D24" s="790"/>
      <c r="E24" s="790">
        <v>3923.606475</v>
      </c>
      <c r="F24" s="791">
        <v>3923.606475</v>
      </c>
      <c r="G24" s="792">
        <v>41293.103539999996</v>
      </c>
      <c r="I24" s="806"/>
      <c r="K24" s="812"/>
      <c r="L24" s="812"/>
    </row>
    <row r="25" spans="1:12" ht="10.5" customHeight="1">
      <c r="A25" s="648" t="s">
        <v>120</v>
      </c>
      <c r="B25" s="644" t="s">
        <v>76</v>
      </c>
      <c r="C25" s="646"/>
      <c r="D25" s="646"/>
      <c r="E25" s="646">
        <v>2242.9</v>
      </c>
      <c r="F25" s="646">
        <v>2242.9</v>
      </c>
      <c r="G25" s="647">
        <v>25172.800000000003</v>
      </c>
      <c r="I25" s="806"/>
      <c r="K25" s="812"/>
      <c r="L25" s="812"/>
    </row>
    <row r="26" spans="1:12" ht="10.5" customHeight="1">
      <c r="A26" s="788" t="s">
        <v>378</v>
      </c>
      <c r="B26" s="789"/>
      <c r="C26" s="790"/>
      <c r="D26" s="790"/>
      <c r="E26" s="790">
        <v>2242.9</v>
      </c>
      <c r="F26" s="791">
        <v>2242.9</v>
      </c>
      <c r="G26" s="792">
        <v>25172.800000000003</v>
      </c>
      <c r="I26" s="806"/>
      <c r="K26" s="812"/>
      <c r="L26" s="812"/>
    </row>
    <row r="27" spans="1:12" ht="10.5" customHeight="1">
      <c r="A27" s="648" t="s">
        <v>107</v>
      </c>
      <c r="B27" s="644" t="s">
        <v>379</v>
      </c>
      <c r="C27" s="646">
        <v>12295.861000000001</v>
      </c>
      <c r="D27" s="646"/>
      <c r="E27" s="646"/>
      <c r="F27" s="646">
        <v>12295.861000000001</v>
      </c>
      <c r="G27" s="647">
        <v>145605.63199999998</v>
      </c>
      <c r="I27" s="806"/>
      <c r="K27" s="812"/>
      <c r="L27" s="812"/>
    </row>
    <row r="28" spans="1:12" ht="10.5" customHeight="1">
      <c r="A28" s="788" t="s">
        <v>380</v>
      </c>
      <c r="B28" s="789"/>
      <c r="C28" s="790">
        <v>12295.861000000001</v>
      </c>
      <c r="D28" s="790"/>
      <c r="E28" s="790"/>
      <c r="F28" s="791">
        <v>12295.861000000001</v>
      </c>
      <c r="G28" s="792">
        <v>145605.63199999998</v>
      </c>
      <c r="I28" s="806"/>
      <c r="K28" s="812"/>
      <c r="L28" s="812"/>
    </row>
    <row r="29" spans="1:12" ht="20.25" customHeight="1">
      <c r="A29" s="854" t="s">
        <v>777</v>
      </c>
      <c r="B29" s="644" t="s">
        <v>381</v>
      </c>
      <c r="C29" s="646">
        <v>13903.5657125</v>
      </c>
      <c r="D29" s="646"/>
      <c r="E29" s="646"/>
      <c r="F29" s="646">
        <v>13903.5657125</v>
      </c>
      <c r="G29" s="647">
        <v>152661.06331750003</v>
      </c>
      <c r="I29" s="806"/>
      <c r="K29" s="812"/>
      <c r="L29" s="812"/>
    </row>
    <row r="30" spans="1:12" ht="10.5" customHeight="1">
      <c r="A30" s="788" t="s">
        <v>716</v>
      </c>
      <c r="B30" s="789"/>
      <c r="C30" s="790">
        <v>13903.5657125</v>
      </c>
      <c r="D30" s="790"/>
      <c r="E30" s="790"/>
      <c r="F30" s="791">
        <v>13903.5657125</v>
      </c>
      <c r="G30" s="792">
        <v>152661.06331750003</v>
      </c>
      <c r="I30" s="806"/>
      <c r="K30" s="812"/>
      <c r="L30" s="812"/>
    </row>
    <row r="31" spans="1:12" ht="10.5" customHeight="1">
      <c r="A31" s="648" t="s">
        <v>267</v>
      </c>
      <c r="B31" s="644" t="s">
        <v>61</v>
      </c>
      <c r="C31" s="646"/>
      <c r="D31" s="646"/>
      <c r="E31" s="646">
        <v>12416.066305</v>
      </c>
      <c r="F31" s="646">
        <v>12416.066305</v>
      </c>
      <c r="G31" s="647">
        <v>135749.55265</v>
      </c>
      <c r="I31" s="806"/>
      <c r="K31" s="812"/>
      <c r="L31" s="812"/>
    </row>
    <row r="32" spans="1:12" ht="10.5" customHeight="1">
      <c r="A32" s="788" t="s">
        <v>382</v>
      </c>
      <c r="B32" s="789"/>
      <c r="C32" s="790"/>
      <c r="D32" s="790"/>
      <c r="E32" s="790">
        <v>12416.066305</v>
      </c>
      <c r="F32" s="791">
        <v>12416.066305</v>
      </c>
      <c r="G32" s="792">
        <v>135749.55265</v>
      </c>
      <c r="I32" s="806"/>
      <c r="K32" s="812"/>
      <c r="L32" s="812"/>
    </row>
    <row r="33" spans="1:12" ht="10.5" customHeight="1">
      <c r="A33" s="648" t="s">
        <v>566</v>
      </c>
      <c r="B33" s="644" t="s">
        <v>787</v>
      </c>
      <c r="C33" s="646">
        <v>461.84775000000002</v>
      </c>
      <c r="D33" s="646"/>
      <c r="E33" s="646"/>
      <c r="F33" s="646">
        <v>461.84775000000002</v>
      </c>
      <c r="G33" s="647">
        <v>1332.7469999999998</v>
      </c>
      <c r="I33" s="806"/>
      <c r="K33" s="812"/>
      <c r="L33" s="812"/>
    </row>
    <row r="34" spans="1:12" ht="10.5" customHeight="1">
      <c r="A34" s="788" t="s">
        <v>572</v>
      </c>
      <c r="B34" s="789"/>
      <c r="C34" s="790">
        <v>461.84775000000002</v>
      </c>
      <c r="D34" s="790"/>
      <c r="E34" s="790"/>
      <c r="F34" s="791">
        <v>461.84775000000002</v>
      </c>
      <c r="G34" s="792">
        <v>1332.7469999999998</v>
      </c>
      <c r="I34" s="806"/>
      <c r="K34" s="812"/>
      <c r="L34" s="812"/>
    </row>
    <row r="35" spans="1:12" ht="10.5" customHeight="1">
      <c r="A35" s="648" t="s">
        <v>122</v>
      </c>
      <c r="B35" s="644" t="s">
        <v>383</v>
      </c>
      <c r="C35" s="646"/>
      <c r="D35" s="646">
        <v>118.62369750000001</v>
      </c>
      <c r="E35" s="646"/>
      <c r="F35" s="646">
        <v>118.62369750000001</v>
      </c>
      <c r="G35" s="647">
        <v>816.82320000000004</v>
      </c>
      <c r="I35" s="806"/>
      <c r="K35" s="812"/>
      <c r="L35" s="812"/>
    </row>
    <row r="36" spans="1:12" ht="10.5" customHeight="1">
      <c r="A36" s="648"/>
      <c r="B36" s="644" t="s">
        <v>384</v>
      </c>
      <c r="C36" s="646"/>
      <c r="D36" s="646">
        <v>48.355267499999997</v>
      </c>
      <c r="E36" s="646"/>
      <c r="F36" s="646">
        <v>48.355267499999997</v>
      </c>
      <c r="G36" s="647">
        <v>4856.7997525000001</v>
      </c>
      <c r="I36" s="806"/>
      <c r="K36" s="812"/>
      <c r="L36" s="812"/>
    </row>
    <row r="37" spans="1:12" ht="10.5" customHeight="1">
      <c r="A37" s="788" t="s">
        <v>385</v>
      </c>
      <c r="B37" s="789"/>
      <c r="C37" s="790"/>
      <c r="D37" s="790">
        <v>166.97896500000002</v>
      </c>
      <c r="E37" s="790"/>
      <c r="F37" s="791">
        <v>166.97896500000002</v>
      </c>
      <c r="G37" s="792">
        <v>5673.6229524999999</v>
      </c>
      <c r="I37" s="806"/>
      <c r="K37" s="812"/>
      <c r="L37" s="812"/>
    </row>
    <row r="38" spans="1:12" ht="10.5" customHeight="1">
      <c r="A38" s="648" t="s">
        <v>559</v>
      </c>
      <c r="B38" s="644" t="s">
        <v>386</v>
      </c>
      <c r="C38" s="646"/>
      <c r="D38" s="646">
        <v>232943.88338750001</v>
      </c>
      <c r="E38" s="646"/>
      <c r="F38" s="646">
        <v>232943.88338750001</v>
      </c>
      <c r="G38" s="647">
        <v>3974312.3216800001</v>
      </c>
      <c r="I38" s="806"/>
      <c r="K38" s="812"/>
      <c r="L38" s="812"/>
    </row>
    <row r="39" spans="1:12" ht="10.5" customHeight="1">
      <c r="A39" s="648"/>
      <c r="B39" s="644" t="s">
        <v>387</v>
      </c>
      <c r="C39" s="646"/>
      <c r="D39" s="646">
        <v>16385.951789999999</v>
      </c>
      <c r="E39" s="646"/>
      <c r="F39" s="646">
        <v>16385.951789999999</v>
      </c>
      <c r="G39" s="647">
        <v>314304.38098000002</v>
      </c>
      <c r="I39" s="806"/>
      <c r="K39" s="812"/>
      <c r="L39" s="812"/>
    </row>
    <row r="40" spans="1:12" ht="10.5" customHeight="1">
      <c r="A40" s="648"/>
      <c r="B40" s="644" t="s">
        <v>768</v>
      </c>
      <c r="C40" s="646">
        <v>178342.02922500001</v>
      </c>
      <c r="D40" s="646"/>
      <c r="E40" s="646"/>
      <c r="F40" s="646">
        <v>178342.02922500001</v>
      </c>
      <c r="G40" s="647">
        <v>3283790.9734174996</v>
      </c>
      <c r="I40" s="806"/>
      <c r="K40" s="812"/>
      <c r="L40" s="812"/>
    </row>
    <row r="41" spans="1:12" ht="10.5" customHeight="1">
      <c r="A41" s="648"/>
      <c r="B41" s="644" t="s">
        <v>388</v>
      </c>
      <c r="C41" s="646">
        <v>4430.9737750000004</v>
      </c>
      <c r="D41" s="646"/>
      <c r="E41" s="646"/>
      <c r="F41" s="646">
        <v>4430.9737750000004</v>
      </c>
      <c r="G41" s="647">
        <v>54805.854082500002</v>
      </c>
      <c r="I41" s="806"/>
      <c r="K41" s="812"/>
      <c r="L41" s="812"/>
    </row>
    <row r="42" spans="1:12" ht="10.5" customHeight="1">
      <c r="A42" s="788" t="s">
        <v>389</v>
      </c>
      <c r="B42" s="789"/>
      <c r="C42" s="790">
        <v>182773.003</v>
      </c>
      <c r="D42" s="790">
        <v>249329.8351775</v>
      </c>
      <c r="E42" s="790"/>
      <c r="F42" s="791">
        <v>432102.8381775</v>
      </c>
      <c r="G42" s="792">
        <v>7627213.5301599996</v>
      </c>
      <c r="I42" s="806"/>
      <c r="K42" s="812"/>
      <c r="L42" s="812"/>
    </row>
    <row r="43" spans="1:12" ht="10.5" customHeight="1">
      <c r="A43" s="648" t="s">
        <v>762</v>
      </c>
      <c r="B43" s="644" t="s">
        <v>773</v>
      </c>
      <c r="C43" s="646">
        <v>63283.625337500001</v>
      </c>
      <c r="D43" s="646"/>
      <c r="E43" s="646"/>
      <c r="F43" s="646">
        <v>63283.625337500001</v>
      </c>
      <c r="G43" s="647">
        <v>684426.31551750004</v>
      </c>
      <c r="I43" s="806"/>
      <c r="K43" s="812"/>
      <c r="L43" s="812"/>
    </row>
    <row r="44" spans="1:12" ht="10.5" customHeight="1">
      <c r="A44" s="788" t="s">
        <v>772</v>
      </c>
      <c r="B44" s="789"/>
      <c r="C44" s="790">
        <v>63283.625337500001</v>
      </c>
      <c r="D44" s="790"/>
      <c r="E44" s="790"/>
      <c r="F44" s="791">
        <v>63283.625337500001</v>
      </c>
      <c r="G44" s="792">
        <v>684426.31551750004</v>
      </c>
      <c r="I44" s="806"/>
      <c r="K44" s="812"/>
      <c r="L44" s="812"/>
    </row>
    <row r="45" spans="1:12" ht="10.5" customHeight="1">
      <c r="A45" s="648" t="s">
        <v>121</v>
      </c>
      <c r="B45" s="644" t="s">
        <v>74</v>
      </c>
      <c r="C45" s="646"/>
      <c r="D45" s="646"/>
      <c r="E45" s="646">
        <v>1114.3244999999999</v>
      </c>
      <c r="F45" s="646">
        <v>1114.3244999999999</v>
      </c>
      <c r="G45" s="647">
        <v>22014.612082500003</v>
      </c>
      <c r="I45" s="806"/>
      <c r="K45" s="812"/>
      <c r="L45" s="812"/>
    </row>
    <row r="46" spans="1:12" ht="10.5" customHeight="1">
      <c r="A46" s="788" t="s">
        <v>390</v>
      </c>
      <c r="B46" s="789"/>
      <c r="C46" s="790"/>
      <c r="D46" s="790"/>
      <c r="E46" s="790">
        <v>1114.3244999999999</v>
      </c>
      <c r="F46" s="791">
        <v>1114.3244999999999</v>
      </c>
      <c r="G46" s="792">
        <v>22014.612082500003</v>
      </c>
      <c r="I46" s="806"/>
      <c r="K46" s="812"/>
      <c r="L46" s="812"/>
    </row>
    <row r="47" spans="1:12" ht="10.5" customHeight="1">
      <c r="A47" s="648" t="s">
        <v>114</v>
      </c>
      <c r="B47" s="644" t="s">
        <v>84</v>
      </c>
      <c r="C47" s="646"/>
      <c r="D47" s="646"/>
      <c r="E47" s="646">
        <v>4476.524625</v>
      </c>
      <c r="F47" s="646">
        <v>4476.524625</v>
      </c>
      <c r="G47" s="647">
        <v>47724.013677500006</v>
      </c>
      <c r="I47" s="806"/>
      <c r="K47" s="812"/>
      <c r="L47" s="812"/>
    </row>
    <row r="48" spans="1:12" ht="10.5" customHeight="1">
      <c r="A48" s="788" t="s">
        <v>391</v>
      </c>
      <c r="B48" s="789"/>
      <c r="C48" s="790"/>
      <c r="D48" s="790"/>
      <c r="E48" s="790">
        <v>4476.524625</v>
      </c>
      <c r="F48" s="791">
        <v>4476.524625</v>
      </c>
      <c r="G48" s="792">
        <v>47724.013677500006</v>
      </c>
      <c r="H48" s="508"/>
      <c r="I48" s="806"/>
      <c r="K48" s="812"/>
      <c r="L48" s="812"/>
    </row>
    <row r="49" spans="1:12" ht="10.5" customHeight="1">
      <c r="A49" s="648" t="s">
        <v>268</v>
      </c>
      <c r="B49" s="644" t="s">
        <v>73</v>
      </c>
      <c r="C49" s="646"/>
      <c r="D49" s="646"/>
      <c r="E49" s="646">
        <v>3155.6602800000001</v>
      </c>
      <c r="F49" s="646">
        <v>3155.6602800000001</v>
      </c>
      <c r="G49" s="647">
        <v>29876.870957500003</v>
      </c>
      <c r="I49" s="806"/>
      <c r="K49" s="812"/>
      <c r="L49" s="812"/>
    </row>
    <row r="50" spans="1:12" ht="10.5" customHeight="1">
      <c r="A50" s="648"/>
      <c r="B50" s="644" t="s">
        <v>392</v>
      </c>
      <c r="C50" s="646">
        <v>154875.902325</v>
      </c>
      <c r="D50" s="646"/>
      <c r="E50" s="646"/>
      <c r="F50" s="646">
        <v>154875.902325</v>
      </c>
      <c r="G50" s="647">
        <v>1485049.7877674999</v>
      </c>
      <c r="I50" s="806"/>
      <c r="K50" s="812"/>
      <c r="L50" s="812"/>
    </row>
    <row r="51" spans="1:12" ht="10.5" customHeight="1">
      <c r="A51" s="648"/>
      <c r="B51" s="644" t="s">
        <v>393</v>
      </c>
      <c r="C51" s="646">
        <v>53825.958044999999</v>
      </c>
      <c r="D51" s="646"/>
      <c r="E51" s="646"/>
      <c r="F51" s="646">
        <v>53825.958044999999</v>
      </c>
      <c r="G51" s="647">
        <v>512709.14350250002</v>
      </c>
      <c r="I51" s="806"/>
      <c r="K51" s="812"/>
      <c r="L51" s="812"/>
    </row>
    <row r="52" spans="1:12" ht="10.5" customHeight="1">
      <c r="A52" s="648"/>
      <c r="B52" s="644" t="s">
        <v>64</v>
      </c>
      <c r="C52" s="646"/>
      <c r="D52" s="646"/>
      <c r="E52" s="646">
        <v>6163.9987799999999</v>
      </c>
      <c r="F52" s="646">
        <v>6163.9987799999999</v>
      </c>
      <c r="G52" s="647">
        <v>71068.858040000006</v>
      </c>
      <c r="I52" s="806"/>
      <c r="K52" s="812"/>
      <c r="L52" s="812"/>
    </row>
    <row r="53" spans="1:12" ht="10.5" customHeight="1">
      <c r="A53" s="788" t="s">
        <v>394</v>
      </c>
      <c r="B53" s="789"/>
      <c r="C53" s="790">
        <v>208701.86037000001</v>
      </c>
      <c r="D53" s="790"/>
      <c r="E53" s="790">
        <v>9319.65906</v>
      </c>
      <c r="F53" s="791">
        <v>218021.51943000001</v>
      </c>
      <c r="G53" s="792">
        <v>2098704.6602674997</v>
      </c>
      <c r="I53" s="806"/>
      <c r="K53" s="812"/>
      <c r="L53" s="812"/>
    </row>
    <row r="54" spans="1:12" ht="10.5" customHeight="1">
      <c r="A54" s="648" t="s">
        <v>269</v>
      </c>
      <c r="B54" s="644" t="s">
        <v>81</v>
      </c>
      <c r="C54" s="646"/>
      <c r="D54" s="646"/>
      <c r="E54" s="646">
        <v>12915.685219999999</v>
      </c>
      <c r="F54" s="646">
        <v>12915.685219999999</v>
      </c>
      <c r="G54" s="647">
        <v>148382.90471749997</v>
      </c>
      <c r="I54" s="806"/>
      <c r="K54" s="812"/>
      <c r="L54" s="812"/>
    </row>
    <row r="55" spans="1:12" ht="10.5" customHeight="1">
      <c r="A55" s="788" t="s">
        <v>395</v>
      </c>
      <c r="B55" s="789"/>
      <c r="C55" s="790"/>
      <c r="D55" s="790"/>
      <c r="E55" s="790">
        <v>12915.685219999999</v>
      </c>
      <c r="F55" s="791">
        <v>12915.685219999999</v>
      </c>
      <c r="G55" s="792">
        <v>148382.90471749997</v>
      </c>
      <c r="I55" s="806"/>
      <c r="K55" s="812"/>
      <c r="L55" s="812"/>
    </row>
    <row r="56" spans="1:12" ht="10.5" customHeight="1">
      <c r="A56" s="648" t="s">
        <v>103</v>
      </c>
      <c r="B56" s="644" t="s">
        <v>78</v>
      </c>
      <c r="C56" s="646"/>
      <c r="D56" s="646"/>
      <c r="E56" s="646">
        <v>41461.794512499997</v>
      </c>
      <c r="F56" s="646">
        <v>41461.794512499997</v>
      </c>
      <c r="G56" s="647">
        <v>465691.55548499996</v>
      </c>
      <c r="I56" s="806"/>
      <c r="K56" s="812"/>
      <c r="L56" s="812"/>
    </row>
    <row r="57" spans="1:12" ht="10.5" customHeight="1">
      <c r="A57" s="788" t="s">
        <v>396</v>
      </c>
      <c r="B57" s="789"/>
      <c r="C57" s="790"/>
      <c r="D57" s="790"/>
      <c r="E57" s="790">
        <v>41461.794512499997</v>
      </c>
      <c r="F57" s="791">
        <v>41461.794512499997</v>
      </c>
      <c r="G57" s="792">
        <v>465691.55548499996</v>
      </c>
      <c r="I57" s="806"/>
      <c r="K57" s="812"/>
      <c r="L57" s="812"/>
    </row>
    <row r="58" spans="1:12" ht="10.5" customHeight="1">
      <c r="A58" s="648" t="s">
        <v>111</v>
      </c>
      <c r="B58" s="644" t="s">
        <v>257</v>
      </c>
      <c r="C58" s="646"/>
      <c r="D58" s="646"/>
      <c r="E58" s="646">
        <v>4930.3045824999999</v>
      </c>
      <c r="F58" s="646">
        <v>4930.3045824999999</v>
      </c>
      <c r="G58" s="647">
        <v>51969.911850000004</v>
      </c>
      <c r="I58" s="806"/>
      <c r="K58" s="812"/>
      <c r="L58" s="812"/>
    </row>
    <row r="59" spans="1:12" ht="10.5" customHeight="1">
      <c r="A59" s="788" t="s">
        <v>397</v>
      </c>
      <c r="B59" s="789"/>
      <c r="C59" s="790"/>
      <c r="D59" s="790"/>
      <c r="E59" s="790">
        <v>4930.3045824999999</v>
      </c>
      <c r="F59" s="791">
        <v>4930.3045824999999</v>
      </c>
      <c r="G59" s="792">
        <v>51969.911850000004</v>
      </c>
      <c r="I59" s="806"/>
      <c r="K59" s="812"/>
      <c r="L59" s="812"/>
    </row>
    <row r="60" spans="1:12" ht="10.5" customHeight="1">
      <c r="A60" s="648" t="s">
        <v>560</v>
      </c>
      <c r="B60" s="644" t="s">
        <v>769</v>
      </c>
      <c r="C60" s="646"/>
      <c r="D60" s="646"/>
      <c r="E60" s="646">
        <v>1877.178725</v>
      </c>
      <c r="F60" s="646">
        <v>1877.178725</v>
      </c>
      <c r="G60" s="647">
        <v>14080.397535</v>
      </c>
      <c r="I60" s="806"/>
      <c r="K60" s="812"/>
      <c r="L60" s="812"/>
    </row>
    <row r="61" spans="1:12" ht="10.5" customHeight="1">
      <c r="A61" s="648"/>
      <c r="B61" s="644" t="s">
        <v>88</v>
      </c>
      <c r="C61" s="646"/>
      <c r="D61" s="646"/>
      <c r="E61" s="646">
        <v>2421.6934999999999</v>
      </c>
      <c r="F61" s="646">
        <v>2421.6934999999999</v>
      </c>
      <c r="G61" s="647">
        <v>30250.113520000003</v>
      </c>
      <c r="I61" s="806"/>
      <c r="K61" s="812"/>
      <c r="L61" s="812"/>
    </row>
    <row r="62" spans="1:12" ht="10.5" customHeight="1">
      <c r="A62" s="648"/>
      <c r="B62" s="644" t="s">
        <v>778</v>
      </c>
      <c r="C62" s="646"/>
      <c r="D62" s="646"/>
      <c r="E62" s="646">
        <v>1415.2302</v>
      </c>
      <c r="F62" s="646">
        <v>1415.2302</v>
      </c>
      <c r="G62" s="647">
        <v>6265.9938650000004</v>
      </c>
      <c r="I62" s="806"/>
      <c r="K62" s="812"/>
      <c r="L62" s="812"/>
    </row>
    <row r="63" spans="1:12" ht="10.5" customHeight="1">
      <c r="A63" s="788" t="s">
        <v>398</v>
      </c>
      <c r="B63" s="789"/>
      <c r="C63" s="790"/>
      <c r="D63" s="790"/>
      <c r="E63" s="790">
        <v>5714.102425</v>
      </c>
      <c r="F63" s="791">
        <v>5714.102425</v>
      </c>
      <c r="G63" s="792">
        <v>50596.504920000007</v>
      </c>
      <c r="I63" s="806"/>
      <c r="K63" s="812"/>
      <c r="L63" s="812"/>
    </row>
    <row r="64" spans="1:12" ht="10.5" customHeight="1">
      <c r="A64" s="648" t="s">
        <v>270</v>
      </c>
      <c r="B64" s="644" t="s">
        <v>399</v>
      </c>
      <c r="C64" s="646"/>
      <c r="D64" s="646">
        <v>17.262139999999999</v>
      </c>
      <c r="E64" s="646"/>
      <c r="F64" s="646">
        <v>17.262139999999999</v>
      </c>
      <c r="G64" s="647">
        <v>739.49656750000008</v>
      </c>
      <c r="I64" s="806"/>
      <c r="K64" s="812"/>
      <c r="L64" s="812"/>
    </row>
    <row r="65" spans="1:12" ht="10.5" customHeight="1">
      <c r="A65" s="788" t="s">
        <v>400</v>
      </c>
      <c r="B65" s="789"/>
      <c r="C65" s="790"/>
      <c r="D65" s="790">
        <v>17.262139999999999</v>
      </c>
      <c r="E65" s="790"/>
      <c r="F65" s="791">
        <v>17.262139999999999</v>
      </c>
      <c r="G65" s="792">
        <v>739.49656750000008</v>
      </c>
      <c r="I65" s="806"/>
      <c r="K65" s="812"/>
      <c r="L65" s="812"/>
    </row>
    <row r="66" spans="1:12" ht="10.5" customHeight="1">
      <c r="A66" s="648" t="s">
        <v>108</v>
      </c>
      <c r="B66" s="644" t="s">
        <v>63</v>
      </c>
      <c r="C66" s="646"/>
      <c r="D66" s="646"/>
      <c r="E66" s="646">
        <v>9851.6598250000006</v>
      </c>
      <c r="F66" s="646">
        <v>9851.6598250000006</v>
      </c>
      <c r="G66" s="647">
        <v>103641.616675</v>
      </c>
      <c r="I66" s="806"/>
      <c r="K66" s="812"/>
      <c r="L66" s="812"/>
    </row>
    <row r="67" spans="1:12" ht="10.5" customHeight="1">
      <c r="A67" s="788" t="s">
        <v>401</v>
      </c>
      <c r="B67" s="789"/>
      <c r="C67" s="790"/>
      <c r="D67" s="790"/>
      <c r="E67" s="790">
        <v>9851.6598250000006</v>
      </c>
      <c r="F67" s="791">
        <v>9851.6598250000006</v>
      </c>
      <c r="G67" s="792">
        <v>103641.616675</v>
      </c>
      <c r="I67" s="806"/>
      <c r="K67" s="812"/>
      <c r="L67" s="812"/>
    </row>
    <row r="68" spans="1:12" ht="10.5" customHeight="1">
      <c r="A68" s="648" t="s">
        <v>271</v>
      </c>
      <c r="B68" s="644" t="s">
        <v>402</v>
      </c>
      <c r="C68" s="646"/>
      <c r="D68" s="646">
        <v>0</v>
      </c>
      <c r="E68" s="646"/>
      <c r="F68" s="646">
        <v>0</v>
      </c>
      <c r="G68" s="647">
        <v>42206.283209999994</v>
      </c>
      <c r="I68" s="806"/>
      <c r="K68" s="812"/>
      <c r="L68" s="812"/>
    </row>
    <row r="69" spans="1:12" ht="10.5" customHeight="1">
      <c r="A69" s="788" t="s">
        <v>403</v>
      </c>
      <c r="B69" s="789"/>
      <c r="C69" s="790"/>
      <c r="D69" s="790">
        <v>0</v>
      </c>
      <c r="E69" s="790"/>
      <c r="F69" s="791">
        <v>0</v>
      </c>
      <c r="G69" s="792">
        <v>42206.283209999994</v>
      </c>
      <c r="I69" s="806"/>
      <c r="K69" s="812"/>
      <c r="L69" s="812"/>
    </row>
    <row r="70" spans="1:12" ht="10.5" customHeight="1">
      <c r="A70" s="3"/>
      <c r="B70" s="3"/>
      <c r="C70" s="3"/>
      <c r="D70" s="3"/>
      <c r="E70" s="3"/>
      <c r="F70" s="3"/>
      <c r="G70" s="3"/>
      <c r="I70" s="806"/>
      <c r="K70" s="812"/>
      <c r="L70" s="814"/>
    </row>
    <row r="71" spans="1:12" ht="10.5" customHeight="1">
      <c r="A71" s="3"/>
      <c r="B71" s="3"/>
      <c r="C71" s="3"/>
      <c r="D71" s="3"/>
      <c r="E71" s="3"/>
      <c r="F71" s="3"/>
      <c r="G71" s="3"/>
      <c r="I71" s="806"/>
      <c r="K71" s="812"/>
      <c r="L71" s="814"/>
    </row>
    <row r="72" spans="1:12" ht="10.5" customHeight="1">
      <c r="A72" s="649"/>
      <c r="B72" s="649"/>
      <c r="C72" s="649"/>
      <c r="D72" s="649"/>
      <c r="E72" s="649"/>
      <c r="F72" s="649"/>
      <c r="G72" s="649"/>
    </row>
    <row r="73" spans="1:12" ht="10.5" customHeight="1">
      <c r="A73" s="649"/>
      <c r="B73" s="649"/>
      <c r="C73" s="649"/>
      <c r="D73" s="649"/>
      <c r="E73" s="649"/>
      <c r="F73" s="649"/>
      <c r="G73" s="649"/>
    </row>
    <row r="74" spans="1:12" ht="10.5" customHeight="1">
      <c r="A74" s="649"/>
      <c r="B74" s="649"/>
      <c r="C74" s="649"/>
      <c r="D74" s="649"/>
      <c r="E74" s="649"/>
      <c r="F74" s="649"/>
      <c r="G74" s="649"/>
    </row>
    <row r="75" spans="1:12" ht="10.5" customHeight="1">
      <c r="A75" s="649"/>
      <c r="B75" s="649"/>
      <c r="C75" s="649"/>
      <c r="D75" s="649"/>
      <c r="E75" s="649"/>
      <c r="F75" s="649"/>
      <c r="G75" s="649"/>
    </row>
    <row r="76" spans="1:12" ht="10.5" customHeight="1">
      <c r="A76" s="649"/>
      <c r="B76" s="649"/>
      <c r="C76" s="649"/>
      <c r="D76" s="649"/>
      <c r="E76" s="649"/>
      <c r="F76" s="649"/>
      <c r="G76" s="649"/>
    </row>
    <row r="77" spans="1:12" ht="10.5" customHeight="1">
      <c r="A77" s="649"/>
      <c r="B77" s="649"/>
      <c r="C77" s="649"/>
      <c r="D77" s="649"/>
      <c r="E77" s="649"/>
      <c r="F77" s="649"/>
      <c r="G77" s="649"/>
    </row>
    <row r="78" spans="1:12" ht="10.5" customHeight="1">
      <c r="A78" s="649"/>
      <c r="B78" s="649"/>
      <c r="C78" s="649"/>
      <c r="D78" s="649"/>
      <c r="E78" s="649"/>
      <c r="F78" s="649"/>
      <c r="G78" s="649"/>
    </row>
    <row r="79" spans="1:12" ht="10.5" customHeight="1">
      <c r="A79" s="649"/>
      <c r="B79" s="649"/>
      <c r="C79" s="649"/>
      <c r="D79" s="649"/>
      <c r="E79" s="649"/>
      <c r="F79" s="649"/>
      <c r="G79" s="649"/>
    </row>
    <row r="80" spans="1:12" ht="10.5" customHeight="1">
      <c r="A80" s="649"/>
      <c r="B80" s="649"/>
      <c r="C80" s="649"/>
      <c r="D80" s="649"/>
      <c r="E80" s="649"/>
      <c r="F80" s="649"/>
      <c r="G80" s="649"/>
    </row>
    <row r="81" spans="1:7" ht="10.5" customHeight="1">
      <c r="A81" s="649"/>
      <c r="B81" s="649"/>
      <c r="C81" s="649"/>
      <c r="D81" s="649"/>
      <c r="E81" s="649"/>
      <c r="F81" s="649"/>
      <c r="G81" s="649"/>
    </row>
    <row r="82" spans="1:7" ht="10.5" customHeight="1">
      <c r="A82" s="649"/>
      <c r="B82" s="649"/>
      <c r="C82" s="649"/>
      <c r="D82" s="649"/>
      <c r="E82" s="649"/>
      <c r="F82" s="649"/>
      <c r="G82" s="649"/>
    </row>
    <row r="83" spans="1:7" ht="10.5" customHeight="1">
      <c r="A83" s="649"/>
      <c r="B83" s="649"/>
      <c r="C83" s="649"/>
      <c r="D83" s="649"/>
      <c r="E83" s="649"/>
      <c r="F83" s="649"/>
      <c r="G83" s="649"/>
    </row>
    <row r="84" spans="1:7" ht="10.5" customHeight="1">
      <c r="A84" s="649"/>
      <c r="B84" s="649"/>
      <c r="C84" s="649"/>
      <c r="D84" s="649"/>
      <c r="E84" s="649"/>
      <c r="F84" s="649"/>
      <c r="G84" s="649"/>
    </row>
    <row r="85" spans="1:7" ht="10.5" customHeight="1">
      <c r="A85" s="649"/>
      <c r="B85" s="649"/>
      <c r="C85" s="649"/>
      <c r="D85" s="649"/>
      <c r="E85" s="649"/>
      <c r="F85" s="649"/>
      <c r="G85" s="649"/>
    </row>
    <row r="86" spans="1:7" ht="10.5" customHeight="1">
      <c r="A86" s="649"/>
      <c r="B86" s="649"/>
      <c r="C86" s="649"/>
      <c r="D86" s="649"/>
      <c r="E86" s="649"/>
      <c r="F86" s="649"/>
      <c r="G86" s="649"/>
    </row>
    <row r="87" spans="1:7" ht="10.5" customHeight="1">
      <c r="A87" s="649"/>
      <c r="B87" s="649"/>
      <c r="C87" s="649"/>
      <c r="D87" s="649"/>
      <c r="E87" s="649"/>
      <c r="F87" s="649"/>
      <c r="G87" s="649"/>
    </row>
    <row r="88" spans="1:7" ht="10.5" customHeight="1">
      <c r="A88" s="649"/>
      <c r="B88" s="649"/>
      <c r="C88" s="649"/>
      <c r="D88" s="649"/>
      <c r="E88" s="649"/>
      <c r="F88" s="649"/>
      <c r="G88" s="649"/>
    </row>
    <row r="89" spans="1:7" ht="10.5" customHeight="1">
      <c r="A89" s="649"/>
      <c r="B89" s="649"/>
      <c r="C89" s="649"/>
      <c r="D89" s="649"/>
      <c r="E89" s="649"/>
      <c r="F89" s="649"/>
      <c r="G89" s="649"/>
    </row>
    <row r="90" spans="1:7" ht="10.5" customHeight="1">
      <c r="A90" s="649"/>
      <c r="B90" s="649"/>
      <c r="C90" s="649"/>
      <c r="D90" s="649"/>
      <c r="E90" s="649"/>
      <c r="F90" s="649"/>
      <c r="G90" s="649"/>
    </row>
    <row r="91" spans="1:7" ht="10.5" customHeight="1">
      <c r="A91" s="649"/>
      <c r="B91" s="649"/>
      <c r="C91" s="649"/>
      <c r="D91" s="649"/>
      <c r="E91" s="649"/>
      <c r="F91" s="649"/>
      <c r="G91" s="649"/>
    </row>
    <row r="92" spans="1:7" ht="10.5" customHeight="1">
      <c r="A92" s="649"/>
      <c r="B92" s="649"/>
      <c r="C92" s="649"/>
      <c r="D92" s="649"/>
      <c r="E92" s="649"/>
      <c r="F92" s="649"/>
      <c r="G92" s="649"/>
    </row>
    <row r="93" spans="1:7" ht="10.5" customHeight="1">
      <c r="A93" s="649"/>
      <c r="B93" s="649"/>
      <c r="C93" s="649"/>
      <c r="D93" s="649"/>
      <c r="E93" s="649"/>
      <c r="F93" s="649"/>
      <c r="G93" s="649"/>
    </row>
    <row r="94" spans="1:7" ht="10.5" customHeight="1">
      <c r="A94" s="649"/>
      <c r="B94" s="649"/>
      <c r="C94" s="649"/>
      <c r="D94" s="649"/>
      <c r="E94" s="649"/>
      <c r="F94" s="649"/>
      <c r="G94" s="649"/>
    </row>
    <row r="95" spans="1:7" ht="10.5" customHeight="1">
      <c r="A95" s="649"/>
      <c r="B95" s="649"/>
      <c r="C95" s="649"/>
      <c r="D95" s="649"/>
      <c r="E95" s="649"/>
      <c r="F95" s="649"/>
      <c r="G95" s="649"/>
    </row>
    <row r="96" spans="1:7" ht="10.5" customHeight="1">
      <c r="A96" s="649"/>
      <c r="B96" s="649"/>
      <c r="C96" s="649"/>
      <c r="D96" s="649"/>
      <c r="E96" s="649"/>
      <c r="F96" s="649"/>
      <c r="G96" s="649"/>
    </row>
    <row r="97" spans="1:7" ht="10.5" customHeight="1">
      <c r="A97" s="649"/>
      <c r="B97" s="649"/>
      <c r="C97" s="649"/>
      <c r="D97" s="649"/>
      <c r="E97" s="649"/>
      <c r="F97" s="649"/>
      <c r="G97" s="649"/>
    </row>
    <row r="98" spans="1:7" ht="10.5" customHeight="1">
      <c r="A98" s="649"/>
      <c r="B98" s="649"/>
      <c r="C98" s="649"/>
      <c r="D98" s="649"/>
      <c r="E98" s="649"/>
      <c r="F98" s="649"/>
      <c r="G98" s="649"/>
    </row>
    <row r="99" spans="1:7" ht="10.5" customHeight="1">
      <c r="A99" s="649"/>
      <c r="B99" s="649"/>
      <c r="C99" s="649"/>
      <c r="D99" s="649"/>
      <c r="E99" s="649"/>
      <c r="F99" s="649"/>
      <c r="G99" s="649"/>
    </row>
    <row r="100" spans="1:7" ht="10.5" customHeight="1">
      <c r="A100" s="649"/>
      <c r="B100" s="649"/>
      <c r="C100" s="649"/>
      <c r="D100" s="649"/>
      <c r="E100" s="649"/>
      <c r="F100" s="649"/>
      <c r="G100" s="649"/>
    </row>
    <row r="101" spans="1:7" ht="10.5" customHeight="1">
      <c r="A101" s="649"/>
      <c r="B101" s="649"/>
      <c r="C101" s="649"/>
      <c r="D101" s="649"/>
      <c r="E101" s="649"/>
      <c r="F101" s="649"/>
      <c r="G101" s="649"/>
    </row>
    <row r="102" spans="1:7" ht="10.5" customHeight="1">
      <c r="A102" s="649"/>
      <c r="B102" s="649"/>
      <c r="C102" s="649"/>
      <c r="D102" s="649"/>
      <c r="E102" s="649"/>
      <c r="F102" s="649"/>
      <c r="G102" s="649"/>
    </row>
    <row r="103" spans="1:7" ht="10.5" customHeight="1">
      <c r="A103" s="649"/>
      <c r="B103" s="649"/>
      <c r="C103" s="649"/>
      <c r="D103" s="649"/>
      <c r="E103" s="649"/>
      <c r="F103" s="649"/>
      <c r="G103" s="649"/>
    </row>
    <row r="104" spans="1:7" ht="10.5" customHeight="1">
      <c r="A104" s="649"/>
      <c r="B104" s="649"/>
      <c r="C104" s="649"/>
      <c r="D104" s="649"/>
      <c r="E104" s="649"/>
      <c r="F104" s="649"/>
      <c r="G104" s="649"/>
    </row>
    <row r="105" spans="1:7" ht="10.5" customHeight="1">
      <c r="A105" s="649"/>
      <c r="B105" s="649"/>
      <c r="C105" s="649"/>
      <c r="D105" s="649"/>
      <c r="E105" s="649"/>
      <c r="F105" s="649"/>
      <c r="G105" s="649"/>
    </row>
    <row r="106" spans="1:7" ht="10.5" customHeight="1">
      <c r="A106" s="649"/>
      <c r="B106" s="649"/>
      <c r="C106" s="649"/>
      <c r="D106" s="649"/>
      <c r="E106" s="649"/>
      <c r="F106" s="649"/>
      <c r="G106" s="649"/>
    </row>
    <row r="107" spans="1:7" ht="10.5" customHeight="1">
      <c r="A107" s="649"/>
      <c r="B107" s="649"/>
      <c r="C107" s="649"/>
      <c r="D107" s="649"/>
      <c r="E107" s="649"/>
      <c r="F107" s="649"/>
      <c r="G107" s="649"/>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 right="0.46474358974358976" top="0.86956521739130432" bottom="0.61458333333333337" header="0.3" footer="0.3"/>
  <pageSetup orientation="portrait" r:id="rId1"/>
  <headerFooter>
    <oddHeader>&amp;R&amp;7Informe de la Operación Mensual - Diciembre 2018
INFSGI-MES-12-2018
15/01/2019
Versión: 01</oddHeader>
    <oddFooter>&amp;L&amp;7COES, 2018&amp;C19&amp;R&amp;7Dirección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0"/>
  <sheetViews>
    <sheetView showGridLines="0" view="pageBreakPreview" topLeftCell="A34" zoomScale="145" zoomScaleNormal="100" zoomScaleSheetLayoutView="145" zoomScalePageLayoutView="160" workbookViewId="0">
      <selection activeCell="D4" sqref="D4"/>
    </sheetView>
  </sheetViews>
  <sheetFormatPr defaultColWidth="9.33203125"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3" ht="15.75" customHeight="1">
      <c r="A1" s="1006" t="s">
        <v>279</v>
      </c>
      <c r="B1" s="1000" t="s">
        <v>56</v>
      </c>
      <c r="C1" s="1002" t="str">
        <f>+'19. ANEXOI-2'!C1:F1</f>
        <v>ENERGÍA PRODUCIDA DICIEMBRE 2018</v>
      </c>
      <c r="D1" s="1002"/>
      <c r="E1" s="1002"/>
      <c r="F1" s="1002"/>
      <c r="G1" s="753" t="s">
        <v>307</v>
      </c>
      <c r="H1" s="243"/>
      <c r="I1" s="243"/>
      <c r="J1" s="243"/>
      <c r="K1" s="243"/>
    </row>
    <row r="2" spans="1:13" ht="11.25" customHeight="1">
      <c r="A2" s="1006"/>
      <c r="B2" s="1000"/>
      <c r="C2" s="1003" t="s">
        <v>308</v>
      </c>
      <c r="D2" s="1003"/>
      <c r="E2" s="1003"/>
      <c r="F2" s="1004" t="str">
        <f>"TOTAL 
"&amp;UPPER('1. Resumen'!Q4)</f>
        <v>TOTAL 
DICIEMBRE</v>
      </c>
      <c r="G2" s="754" t="s">
        <v>309</v>
      </c>
      <c r="H2" s="233"/>
      <c r="I2" s="233"/>
      <c r="J2" s="233"/>
      <c r="K2" s="233"/>
      <c r="L2" s="234"/>
    </row>
    <row r="3" spans="1:13" ht="11.25" customHeight="1">
      <c r="A3" s="1006"/>
      <c r="B3" s="1000"/>
      <c r="C3" s="755" t="s">
        <v>233</v>
      </c>
      <c r="D3" s="755" t="s">
        <v>234</v>
      </c>
      <c r="E3" s="755" t="s">
        <v>310</v>
      </c>
      <c r="F3" s="1005"/>
      <c r="G3" s="754">
        <v>2018</v>
      </c>
      <c r="H3" s="236"/>
      <c r="I3" s="235"/>
      <c r="J3" s="235"/>
      <c r="K3" s="235"/>
      <c r="L3" s="234"/>
    </row>
    <row r="4" spans="1:13" ht="11.25" customHeight="1">
      <c r="A4" s="1007"/>
      <c r="B4" s="1008"/>
      <c r="C4" s="756" t="s">
        <v>311</v>
      </c>
      <c r="D4" s="756" t="s">
        <v>311</v>
      </c>
      <c r="E4" s="756" t="s">
        <v>311</v>
      </c>
      <c r="F4" s="756" t="s">
        <v>311</v>
      </c>
      <c r="G4" s="757" t="s">
        <v>217</v>
      </c>
      <c r="H4" s="236"/>
      <c r="I4" s="236"/>
      <c r="J4" s="236"/>
      <c r="K4" s="236"/>
      <c r="L4" s="12"/>
    </row>
    <row r="5" spans="1:13" s="469" customFormat="1" ht="9" customHeight="1">
      <c r="A5" s="648" t="s">
        <v>99</v>
      </c>
      <c r="B5" s="644" t="s">
        <v>404</v>
      </c>
      <c r="C5" s="646">
        <v>80178.238164999988</v>
      </c>
      <c r="D5" s="646"/>
      <c r="E5" s="646"/>
      <c r="F5" s="646">
        <v>80178.238164999988</v>
      </c>
      <c r="G5" s="647">
        <v>804315.13320499996</v>
      </c>
      <c r="H5" s="649"/>
      <c r="I5" s="808"/>
      <c r="J5" s="808"/>
      <c r="K5" s="812"/>
      <c r="L5" s="812"/>
      <c r="M5" s="649"/>
    </row>
    <row r="6" spans="1:13" s="469" customFormat="1" ht="9" customHeight="1">
      <c r="A6" s="788" t="s">
        <v>405</v>
      </c>
      <c r="B6" s="789"/>
      <c r="C6" s="790">
        <v>80178.238164999988</v>
      </c>
      <c r="D6" s="790"/>
      <c r="E6" s="790"/>
      <c r="F6" s="791">
        <v>80178.238164999988</v>
      </c>
      <c r="G6" s="792">
        <v>804315.13320499996</v>
      </c>
      <c r="H6" s="649"/>
      <c r="I6" s="808"/>
      <c r="J6" s="808"/>
      <c r="K6" s="812"/>
      <c r="L6" s="812"/>
      <c r="M6" s="649"/>
    </row>
    <row r="7" spans="1:13" s="469" customFormat="1" ht="9" customHeight="1">
      <c r="A7" s="648" t="s">
        <v>497</v>
      </c>
      <c r="B7" s="644" t="s">
        <v>774</v>
      </c>
      <c r="C7" s="646"/>
      <c r="D7" s="646"/>
      <c r="E7" s="646">
        <v>14796.658617499999</v>
      </c>
      <c r="F7" s="646">
        <v>14796.658617499999</v>
      </c>
      <c r="G7" s="647">
        <v>133757.69605249999</v>
      </c>
      <c r="H7" s="649"/>
      <c r="I7" s="808"/>
      <c r="J7" s="808"/>
      <c r="K7" s="812"/>
      <c r="L7" s="812"/>
      <c r="M7" s="649"/>
    </row>
    <row r="8" spans="1:13" s="469" customFormat="1" ht="9" customHeight="1">
      <c r="A8" s="788" t="s">
        <v>499</v>
      </c>
      <c r="B8" s="789"/>
      <c r="C8" s="790"/>
      <c r="D8" s="790"/>
      <c r="E8" s="790">
        <v>14796.658617499999</v>
      </c>
      <c r="F8" s="791">
        <v>14796.658617499999</v>
      </c>
      <c r="G8" s="792">
        <v>133757.69605249999</v>
      </c>
      <c r="H8" s="649"/>
      <c r="I8" s="808"/>
      <c r="J8" s="808"/>
      <c r="K8" s="812"/>
      <c r="L8" s="812"/>
      <c r="M8" s="649"/>
    </row>
    <row r="9" spans="1:13" s="469" customFormat="1" ht="9" customHeight="1">
      <c r="A9" s="648" t="s">
        <v>272</v>
      </c>
      <c r="B9" s="644" t="s">
        <v>67</v>
      </c>
      <c r="C9" s="646"/>
      <c r="D9" s="646"/>
      <c r="E9" s="646">
        <v>3502.2474674999999</v>
      </c>
      <c r="F9" s="646">
        <v>3502.2474674999999</v>
      </c>
      <c r="G9" s="647">
        <v>53560.654997500002</v>
      </c>
      <c r="H9" s="649"/>
      <c r="I9" s="808"/>
      <c r="J9" s="808"/>
      <c r="K9" s="812"/>
      <c r="L9" s="812"/>
      <c r="M9" s="649"/>
    </row>
    <row r="10" spans="1:13" s="469" customFormat="1" ht="9" customHeight="1">
      <c r="A10" s="648"/>
      <c r="B10" s="644" t="s">
        <v>66</v>
      </c>
      <c r="C10" s="646"/>
      <c r="D10" s="646"/>
      <c r="E10" s="646">
        <v>3725.9606874999999</v>
      </c>
      <c r="F10" s="646">
        <v>3725.9606874999999</v>
      </c>
      <c r="G10" s="647">
        <v>56562.865825000008</v>
      </c>
      <c r="H10" s="649"/>
      <c r="I10" s="808"/>
      <c r="J10" s="808"/>
      <c r="K10" s="812"/>
      <c r="L10" s="812"/>
      <c r="M10" s="649"/>
    </row>
    <row r="11" spans="1:13" s="469" customFormat="1" ht="9" customHeight="1">
      <c r="A11" s="648"/>
      <c r="B11" s="644" t="s">
        <v>70</v>
      </c>
      <c r="C11" s="646"/>
      <c r="D11" s="646"/>
      <c r="E11" s="646">
        <v>3472.346055</v>
      </c>
      <c r="F11" s="646">
        <v>3472.346055</v>
      </c>
      <c r="G11" s="647">
        <v>31529.243395000001</v>
      </c>
      <c r="H11" s="649"/>
      <c r="I11" s="808"/>
      <c r="J11" s="808"/>
      <c r="K11" s="812"/>
      <c r="L11" s="812"/>
      <c r="M11" s="649"/>
    </row>
    <row r="12" spans="1:13" s="469" customFormat="1" ht="9" customHeight="1">
      <c r="A12" s="648"/>
      <c r="B12" s="644" t="s">
        <v>69</v>
      </c>
      <c r="C12" s="646"/>
      <c r="D12" s="646"/>
      <c r="E12" s="646">
        <v>3922.9125049999998</v>
      </c>
      <c r="F12" s="646">
        <v>3922.9125049999998</v>
      </c>
      <c r="G12" s="647">
        <v>35238.873645</v>
      </c>
      <c r="H12" s="649"/>
      <c r="I12" s="808"/>
      <c r="J12" s="808"/>
      <c r="K12" s="812"/>
      <c r="L12" s="812"/>
      <c r="M12" s="649"/>
    </row>
    <row r="13" spans="1:13" s="469" customFormat="1" ht="9" customHeight="1">
      <c r="A13" s="788" t="s">
        <v>406</v>
      </c>
      <c r="B13" s="789"/>
      <c r="C13" s="790"/>
      <c r="D13" s="790"/>
      <c r="E13" s="790">
        <v>14623.466715</v>
      </c>
      <c r="F13" s="791">
        <v>14623.466715</v>
      </c>
      <c r="G13" s="792">
        <v>176891.63786250004</v>
      </c>
      <c r="H13" s="649"/>
      <c r="I13" s="808"/>
      <c r="J13" s="808"/>
      <c r="K13" s="812"/>
      <c r="L13" s="812"/>
      <c r="M13" s="649"/>
    </row>
    <row r="14" spans="1:13" s="469" customFormat="1" ht="9" customHeight="1">
      <c r="A14" s="648" t="s">
        <v>106</v>
      </c>
      <c r="B14" s="644" t="s">
        <v>407</v>
      </c>
      <c r="C14" s="646"/>
      <c r="D14" s="646">
        <v>20594.792539999999</v>
      </c>
      <c r="E14" s="646"/>
      <c r="F14" s="646">
        <v>20594.792539999999</v>
      </c>
      <c r="G14" s="647">
        <v>216978.64773</v>
      </c>
      <c r="H14" s="649"/>
      <c r="I14" s="808"/>
      <c r="J14" s="808"/>
      <c r="K14" s="812"/>
      <c r="L14" s="812"/>
      <c r="M14" s="649"/>
    </row>
    <row r="15" spans="1:13" s="469" customFormat="1" ht="9" customHeight="1">
      <c r="A15" s="788" t="s">
        <v>408</v>
      </c>
      <c r="B15" s="789"/>
      <c r="C15" s="790"/>
      <c r="D15" s="790">
        <v>20594.792539999999</v>
      </c>
      <c r="E15" s="790"/>
      <c r="F15" s="791">
        <v>20594.792539999999</v>
      </c>
      <c r="G15" s="792">
        <v>216978.64773</v>
      </c>
      <c r="H15" s="649"/>
      <c r="I15" s="808"/>
      <c r="J15" s="808"/>
      <c r="K15" s="812"/>
      <c r="L15" s="812"/>
      <c r="M15" s="649"/>
    </row>
    <row r="16" spans="1:13" s="469" customFormat="1" ht="9" customHeight="1">
      <c r="A16" s="648" t="s">
        <v>124</v>
      </c>
      <c r="B16" s="644" t="s">
        <v>409</v>
      </c>
      <c r="C16" s="646"/>
      <c r="D16" s="646">
        <v>13912.232314999999</v>
      </c>
      <c r="E16" s="646"/>
      <c r="F16" s="646">
        <v>13912.232314999999</v>
      </c>
      <c r="G16" s="647">
        <v>24787.533060000005</v>
      </c>
      <c r="H16" s="649"/>
      <c r="I16" s="808"/>
      <c r="J16" s="808"/>
      <c r="K16" s="812"/>
      <c r="L16" s="812"/>
      <c r="M16" s="649"/>
    </row>
    <row r="17" spans="1:13" s="469" customFormat="1" ht="9" customHeight="1">
      <c r="A17" s="788" t="s">
        <v>410</v>
      </c>
      <c r="B17" s="789"/>
      <c r="C17" s="790"/>
      <c r="D17" s="790">
        <v>13912.232314999999</v>
      </c>
      <c r="E17" s="790"/>
      <c r="F17" s="791">
        <v>13912.232314999999</v>
      </c>
      <c r="G17" s="792">
        <v>24787.533060000005</v>
      </c>
      <c r="H17" s="649"/>
      <c r="I17" s="808"/>
      <c r="J17" s="808"/>
      <c r="K17" s="812"/>
      <c r="L17" s="812"/>
      <c r="M17" s="649"/>
    </row>
    <row r="18" spans="1:13" s="469" customFormat="1" ht="9" customHeight="1">
      <c r="A18" s="648" t="s">
        <v>117</v>
      </c>
      <c r="B18" s="644" t="s">
        <v>71</v>
      </c>
      <c r="C18" s="646"/>
      <c r="D18" s="646"/>
      <c r="E18" s="646">
        <v>1823.5989300000001</v>
      </c>
      <c r="F18" s="646">
        <v>1823.5989300000001</v>
      </c>
      <c r="G18" s="647">
        <v>46340.310457499996</v>
      </c>
      <c r="H18" s="649"/>
      <c r="I18" s="808"/>
      <c r="J18" s="808"/>
      <c r="K18" s="812"/>
      <c r="L18" s="812"/>
      <c r="M18" s="649"/>
    </row>
    <row r="19" spans="1:13" s="469" customFormat="1" ht="9" customHeight="1">
      <c r="A19" s="788" t="s">
        <v>411</v>
      </c>
      <c r="B19" s="789"/>
      <c r="C19" s="790"/>
      <c r="D19" s="790"/>
      <c r="E19" s="790">
        <v>1823.5989300000001</v>
      </c>
      <c r="F19" s="791">
        <v>1823.5989300000001</v>
      </c>
      <c r="G19" s="792">
        <v>46340.310457499996</v>
      </c>
      <c r="H19" s="649"/>
      <c r="I19" s="808"/>
      <c r="J19" s="808"/>
      <c r="K19" s="812"/>
      <c r="L19" s="812"/>
      <c r="M19" s="649"/>
    </row>
    <row r="20" spans="1:13" s="469" customFormat="1" ht="9" customHeight="1">
      <c r="A20" s="648" t="s">
        <v>94</v>
      </c>
      <c r="B20" s="644" t="s">
        <v>412</v>
      </c>
      <c r="C20" s="646">
        <v>25074.613870000001</v>
      </c>
      <c r="D20" s="646"/>
      <c r="E20" s="646"/>
      <c r="F20" s="646">
        <v>25074.613870000001</v>
      </c>
      <c r="G20" s="647">
        <v>288216.14373000001</v>
      </c>
      <c r="H20" s="649"/>
      <c r="I20" s="808"/>
      <c r="J20" s="808"/>
      <c r="K20" s="812"/>
      <c r="L20" s="812"/>
      <c r="M20" s="649"/>
    </row>
    <row r="21" spans="1:13" s="469" customFormat="1" ht="9" customHeight="1">
      <c r="A21" s="648"/>
      <c r="B21" s="644" t="s">
        <v>413</v>
      </c>
      <c r="C21" s="646">
        <v>68011.586577499998</v>
      </c>
      <c r="D21" s="646"/>
      <c r="E21" s="646"/>
      <c r="F21" s="646">
        <v>68011.586577499998</v>
      </c>
      <c r="G21" s="647">
        <v>798820.70806750003</v>
      </c>
      <c r="H21" s="649"/>
      <c r="I21" s="808"/>
      <c r="J21" s="808"/>
      <c r="K21" s="812"/>
      <c r="L21" s="812"/>
      <c r="M21" s="649"/>
    </row>
    <row r="22" spans="1:13" s="469" customFormat="1" ht="9" customHeight="1">
      <c r="A22" s="648"/>
      <c r="B22" s="644" t="s">
        <v>414</v>
      </c>
      <c r="C22" s="646">
        <v>18567.539452500001</v>
      </c>
      <c r="D22" s="646"/>
      <c r="E22" s="646"/>
      <c r="F22" s="646">
        <v>18567.539452500001</v>
      </c>
      <c r="G22" s="647">
        <v>131852.56885499999</v>
      </c>
      <c r="H22" s="649"/>
      <c r="I22" s="808"/>
      <c r="J22" s="808"/>
      <c r="K22" s="812"/>
      <c r="L22" s="812"/>
      <c r="M22" s="649"/>
    </row>
    <row r="23" spans="1:13" s="469" customFormat="1" ht="9" customHeight="1">
      <c r="A23" s="648"/>
      <c r="B23" s="644" t="s">
        <v>415</v>
      </c>
      <c r="C23" s="646">
        <v>40</v>
      </c>
      <c r="D23" s="646"/>
      <c r="E23" s="646"/>
      <c r="F23" s="646">
        <v>40</v>
      </c>
      <c r="G23" s="647">
        <v>705.82408000000009</v>
      </c>
      <c r="H23" s="649"/>
      <c r="I23" s="808"/>
      <c r="J23" s="808"/>
      <c r="K23" s="812"/>
      <c r="L23" s="812"/>
      <c r="M23" s="649"/>
    </row>
    <row r="24" spans="1:13" s="469" customFormat="1" ht="9" customHeight="1">
      <c r="A24" s="648"/>
      <c r="B24" s="644" t="s">
        <v>416</v>
      </c>
      <c r="C24" s="646">
        <v>11493.944200000002</v>
      </c>
      <c r="D24" s="646"/>
      <c r="E24" s="646"/>
      <c r="F24" s="646">
        <v>11493.944200000002</v>
      </c>
      <c r="G24" s="647">
        <v>232122.37574750002</v>
      </c>
      <c r="H24" s="649"/>
      <c r="I24" s="808"/>
      <c r="J24" s="808"/>
      <c r="K24" s="812"/>
      <c r="L24" s="812"/>
      <c r="M24" s="649"/>
    </row>
    <row r="25" spans="1:13" s="469" customFormat="1" ht="9" customHeight="1">
      <c r="A25" s="648"/>
      <c r="B25" s="644" t="s">
        <v>417</v>
      </c>
      <c r="C25" s="646">
        <v>1061.70271</v>
      </c>
      <c r="D25" s="646"/>
      <c r="E25" s="646"/>
      <c r="F25" s="646">
        <v>1061.70271</v>
      </c>
      <c r="G25" s="647">
        <v>24878.663707500004</v>
      </c>
      <c r="H25" s="649"/>
      <c r="I25" s="808"/>
      <c r="J25" s="808"/>
      <c r="K25" s="812"/>
      <c r="L25" s="812"/>
      <c r="M25" s="649"/>
    </row>
    <row r="26" spans="1:13" s="469" customFormat="1" ht="9" customHeight="1">
      <c r="A26" s="648"/>
      <c r="B26" s="644" t="s">
        <v>418</v>
      </c>
      <c r="C26" s="646">
        <v>5381.2999399999999</v>
      </c>
      <c r="D26" s="646"/>
      <c r="E26" s="646"/>
      <c r="F26" s="646">
        <v>5381.2999399999999</v>
      </c>
      <c r="G26" s="647">
        <v>63046.154275000001</v>
      </c>
      <c r="H26" s="649"/>
      <c r="I26" s="808"/>
      <c r="J26" s="808"/>
      <c r="K26" s="812"/>
      <c r="L26" s="812"/>
      <c r="M26" s="649"/>
    </row>
    <row r="27" spans="1:13" s="469" customFormat="1" ht="9" customHeight="1">
      <c r="A27" s="648"/>
      <c r="B27" s="644" t="s">
        <v>419</v>
      </c>
      <c r="C27" s="646">
        <v>2570.7709125000001</v>
      </c>
      <c r="D27" s="646"/>
      <c r="E27" s="646"/>
      <c r="F27" s="646">
        <v>2570.7709125000001</v>
      </c>
      <c r="G27" s="647">
        <v>40234.765975000002</v>
      </c>
      <c r="H27" s="649"/>
      <c r="I27" s="808"/>
      <c r="J27" s="808"/>
      <c r="K27" s="812"/>
      <c r="L27" s="812"/>
      <c r="M27" s="649"/>
    </row>
    <row r="28" spans="1:13" s="469" customFormat="1" ht="9" customHeight="1">
      <c r="A28" s="648"/>
      <c r="B28" s="644" t="s">
        <v>420</v>
      </c>
      <c r="C28" s="646">
        <v>1142.934295</v>
      </c>
      <c r="D28" s="646"/>
      <c r="E28" s="646"/>
      <c r="F28" s="646">
        <v>1142.934295</v>
      </c>
      <c r="G28" s="647">
        <v>18025.271919999999</v>
      </c>
      <c r="H28" s="649"/>
      <c r="I28" s="808"/>
      <c r="J28" s="808"/>
      <c r="K28" s="812"/>
      <c r="L28" s="812"/>
      <c r="M28" s="649"/>
    </row>
    <row r="29" spans="1:13" s="469" customFormat="1" ht="9" customHeight="1">
      <c r="A29" s="648"/>
      <c r="B29" s="644" t="s">
        <v>421</v>
      </c>
      <c r="C29" s="646">
        <v>28.386902500000001</v>
      </c>
      <c r="D29" s="646"/>
      <c r="E29" s="646"/>
      <c r="F29" s="646">
        <v>28.386902500000001</v>
      </c>
      <c r="G29" s="647">
        <v>1483.7256599999996</v>
      </c>
      <c r="H29" s="649"/>
      <c r="I29" s="808"/>
      <c r="J29" s="808"/>
      <c r="K29" s="812"/>
      <c r="L29" s="812"/>
      <c r="M29" s="649"/>
    </row>
    <row r="30" spans="1:13" s="469" customFormat="1" ht="9" customHeight="1">
      <c r="A30" s="648"/>
      <c r="B30" s="644" t="s">
        <v>422</v>
      </c>
      <c r="C30" s="646">
        <v>19.396442499999999</v>
      </c>
      <c r="D30" s="646"/>
      <c r="E30" s="646"/>
      <c r="F30" s="646">
        <v>19.396442499999999</v>
      </c>
      <c r="G30" s="647">
        <v>1417.3319900000001</v>
      </c>
      <c r="H30" s="649"/>
      <c r="I30" s="808"/>
      <c r="J30" s="808"/>
      <c r="K30" s="812"/>
      <c r="L30" s="812"/>
      <c r="M30" s="649"/>
    </row>
    <row r="31" spans="1:13" s="469" customFormat="1" ht="9" customHeight="1">
      <c r="A31" s="648"/>
      <c r="B31" s="644" t="s">
        <v>423</v>
      </c>
      <c r="C31" s="646">
        <v>66923.909477500012</v>
      </c>
      <c r="D31" s="646"/>
      <c r="E31" s="646"/>
      <c r="F31" s="646">
        <v>66923.909477500012</v>
      </c>
      <c r="G31" s="647">
        <v>790731.44980499998</v>
      </c>
      <c r="H31" s="649"/>
      <c r="I31" s="808"/>
      <c r="J31" s="808"/>
      <c r="K31" s="812"/>
      <c r="L31" s="812"/>
      <c r="M31" s="649"/>
    </row>
    <row r="32" spans="1:13" s="469" customFormat="1" ht="9" customHeight="1">
      <c r="A32" s="788" t="s">
        <v>424</v>
      </c>
      <c r="B32" s="789"/>
      <c r="C32" s="790">
        <v>200316.08478000003</v>
      </c>
      <c r="D32" s="790"/>
      <c r="E32" s="790"/>
      <c r="F32" s="791">
        <v>200316.08478000003</v>
      </c>
      <c r="G32" s="792">
        <v>2391534.9838125003</v>
      </c>
      <c r="H32" s="649"/>
      <c r="I32" s="808"/>
      <c r="J32" s="808"/>
      <c r="K32" s="812"/>
      <c r="L32" s="812"/>
      <c r="M32" s="649"/>
    </row>
    <row r="33" spans="1:13" s="469" customFormat="1" ht="9" customHeight="1">
      <c r="A33" s="648" t="s">
        <v>113</v>
      </c>
      <c r="B33" s="644" t="s">
        <v>256</v>
      </c>
      <c r="C33" s="646"/>
      <c r="D33" s="646"/>
      <c r="E33" s="646">
        <v>4862.2343774999999</v>
      </c>
      <c r="F33" s="646">
        <v>4862.2343774999999</v>
      </c>
      <c r="G33" s="647">
        <v>48245.522785000001</v>
      </c>
      <c r="H33" s="649"/>
      <c r="I33" s="808"/>
      <c r="J33" s="808"/>
      <c r="K33" s="812"/>
      <c r="L33" s="812"/>
      <c r="M33" s="649"/>
    </row>
    <row r="34" spans="1:13" s="469" customFormat="1" ht="9" customHeight="1">
      <c r="A34" s="788" t="s">
        <v>425</v>
      </c>
      <c r="B34" s="789"/>
      <c r="C34" s="790"/>
      <c r="D34" s="790"/>
      <c r="E34" s="790">
        <v>4862.2343774999999</v>
      </c>
      <c r="F34" s="791">
        <v>4862.2343774999999</v>
      </c>
      <c r="G34" s="792">
        <v>48245.522785000001</v>
      </c>
      <c r="H34" s="649"/>
      <c r="I34" s="808"/>
      <c r="J34" s="808"/>
      <c r="K34" s="812"/>
      <c r="L34" s="812"/>
      <c r="M34" s="649"/>
    </row>
    <row r="35" spans="1:13" s="469" customFormat="1" ht="9" customHeight="1">
      <c r="A35" s="648" t="s">
        <v>104</v>
      </c>
      <c r="B35" s="644" t="s">
        <v>775</v>
      </c>
      <c r="C35" s="646"/>
      <c r="D35" s="646">
        <v>192855.35057499999</v>
      </c>
      <c r="E35" s="646"/>
      <c r="F35" s="646">
        <v>192855.35057499999</v>
      </c>
      <c r="G35" s="647">
        <v>1791700.8829524999</v>
      </c>
      <c r="H35" s="649"/>
      <c r="K35" s="812"/>
      <c r="L35" s="812"/>
    </row>
    <row r="36" spans="1:13" s="469" customFormat="1" ht="9" customHeight="1">
      <c r="A36" s="788" t="s">
        <v>426</v>
      </c>
      <c r="B36" s="789"/>
      <c r="C36" s="790"/>
      <c r="D36" s="790">
        <v>192855.35057499999</v>
      </c>
      <c r="E36" s="790"/>
      <c r="F36" s="791">
        <v>192855.35057499999</v>
      </c>
      <c r="G36" s="792">
        <v>1791700.8829524999</v>
      </c>
      <c r="H36" s="649"/>
      <c r="K36" s="812"/>
      <c r="L36" s="812"/>
    </row>
    <row r="37" spans="1:13">
      <c r="A37" s="648" t="s">
        <v>109</v>
      </c>
      <c r="B37" s="649" t="s">
        <v>427</v>
      </c>
      <c r="C37" s="649"/>
      <c r="D37" s="649">
        <v>22457.336932499999</v>
      </c>
      <c r="E37" s="649"/>
      <c r="F37" s="649">
        <v>22457.336932499999</v>
      </c>
      <c r="G37" s="649">
        <v>370745.76912999997</v>
      </c>
    </row>
    <row r="38" spans="1:13">
      <c r="A38" s="788" t="s">
        <v>428</v>
      </c>
      <c r="B38" s="789"/>
      <c r="C38" s="790"/>
      <c r="D38" s="790">
        <v>22457.336932499999</v>
      </c>
      <c r="E38" s="790"/>
      <c r="F38" s="791">
        <v>22457.336932499999</v>
      </c>
      <c r="G38" s="792">
        <v>370745.76912999997</v>
      </c>
    </row>
    <row r="39" spans="1:13">
      <c r="A39" s="649"/>
      <c r="B39" s="649"/>
      <c r="C39" s="649"/>
      <c r="D39" s="649"/>
      <c r="E39" s="649"/>
      <c r="F39" s="649"/>
      <c r="G39" s="649"/>
    </row>
    <row r="40" spans="1:13">
      <c r="A40" s="758" t="s">
        <v>767</v>
      </c>
      <c r="B40" s="761"/>
      <c r="C40" s="759">
        <v>2297788.6686074995</v>
      </c>
      <c r="D40" s="759">
        <v>1826767.9536324998</v>
      </c>
      <c r="E40" s="759">
        <v>371527.59397249989</v>
      </c>
      <c r="F40" s="759">
        <v>4496084.2162125008</v>
      </c>
      <c r="G40" s="759">
        <v>50816785.093459994</v>
      </c>
    </row>
    <row r="41" spans="1:13">
      <c r="A41" s="758" t="s">
        <v>429</v>
      </c>
      <c r="B41" s="761"/>
      <c r="C41" s="762"/>
      <c r="D41" s="762"/>
      <c r="E41" s="856"/>
      <c r="F41" s="763">
        <v>0</v>
      </c>
      <c r="G41" s="763">
        <v>21200.75765</v>
      </c>
    </row>
    <row r="42" spans="1:13">
      <c r="A42" s="855" t="s">
        <v>430</v>
      </c>
      <c r="B42" s="761"/>
      <c r="C42" s="762"/>
      <c r="D42" s="762"/>
      <c r="E42" s="856"/>
      <c r="F42" s="763">
        <v>0</v>
      </c>
      <c r="G42" s="763"/>
    </row>
    <row r="43" spans="1:13" ht="6.75" customHeight="1"/>
    <row r="44" spans="1:13" ht="23.25" customHeight="1">
      <c r="A44" s="1009" t="s">
        <v>791</v>
      </c>
      <c r="B44" s="1009"/>
      <c r="C44" s="1009"/>
      <c r="D44" s="1009"/>
      <c r="E44" s="1009"/>
      <c r="F44" s="1009"/>
      <c r="G44" s="1009"/>
    </row>
    <row r="45" spans="1:13" ht="8.25" customHeight="1"/>
    <row r="46" spans="1:13">
      <c r="A46" s="649" t="s">
        <v>532</v>
      </c>
      <c r="B46" s="358"/>
      <c r="C46" s="358"/>
      <c r="D46" s="358"/>
      <c r="E46" s="358"/>
      <c r="F46" s="358"/>
    </row>
    <row r="47" spans="1:13" s="593" customFormat="1">
      <c r="A47" s="649" t="s">
        <v>551</v>
      </c>
      <c r="B47" s="358"/>
      <c r="C47" s="358"/>
      <c r="D47" s="358"/>
      <c r="E47" s="358"/>
      <c r="F47" s="358"/>
      <c r="G47" s="50"/>
      <c r="H47" s="50"/>
      <c r="I47" s="50"/>
      <c r="J47" s="50"/>
      <c r="K47" s="50"/>
      <c r="L47" s="50"/>
      <c r="M47" s="50"/>
    </row>
    <row r="48" spans="1:13">
      <c r="A48" s="649" t="s">
        <v>552</v>
      </c>
      <c r="B48" s="358"/>
      <c r="C48" s="358"/>
      <c r="D48" s="358"/>
      <c r="E48" s="358"/>
      <c r="F48" s="358"/>
    </row>
    <row r="49" spans="1:6">
      <c r="A49" s="649" t="s">
        <v>553</v>
      </c>
      <c r="B49" s="358"/>
      <c r="C49" s="358"/>
      <c r="D49" s="358"/>
      <c r="E49" s="358"/>
      <c r="F49" s="358"/>
    </row>
    <row r="50" spans="1:6">
      <c r="A50" s="649" t="s">
        <v>554</v>
      </c>
      <c r="B50" s="358"/>
      <c r="C50" s="358"/>
      <c r="D50" s="358"/>
      <c r="E50" s="358"/>
      <c r="F50" s="358"/>
    </row>
    <row r="51" spans="1:6">
      <c r="A51" s="649" t="s">
        <v>555</v>
      </c>
      <c r="B51" s="358"/>
      <c r="C51" s="358"/>
      <c r="D51" s="358"/>
      <c r="E51" s="358"/>
      <c r="F51" s="358"/>
    </row>
    <row r="52" spans="1:6">
      <c r="A52" s="649" t="s">
        <v>556</v>
      </c>
      <c r="B52" s="358"/>
      <c r="C52" s="358"/>
      <c r="D52" s="358"/>
      <c r="E52" s="358"/>
      <c r="F52" s="358"/>
    </row>
    <row r="53" spans="1:6">
      <c r="A53" s="649" t="s">
        <v>557</v>
      </c>
      <c r="B53" s="358"/>
      <c r="C53" s="358"/>
      <c r="D53" s="358"/>
      <c r="E53" s="358"/>
      <c r="F53" s="358"/>
    </row>
    <row r="54" spans="1:6">
      <c r="A54" s="649" t="s">
        <v>796</v>
      </c>
      <c r="B54" s="358"/>
      <c r="C54" s="358"/>
      <c r="D54" s="358"/>
      <c r="E54" s="358"/>
      <c r="F54" s="358"/>
    </row>
    <row r="55" spans="1:6">
      <c r="A55" s="649" t="s">
        <v>797</v>
      </c>
      <c r="B55" s="358"/>
      <c r="C55" s="358"/>
      <c r="D55" s="358"/>
      <c r="E55" s="358"/>
      <c r="F55" s="358"/>
    </row>
    <row r="56" spans="1:6">
      <c r="A56" s="649" t="s">
        <v>794</v>
      </c>
      <c r="B56" s="358"/>
      <c r="C56" s="358"/>
      <c r="D56" s="358"/>
      <c r="E56" s="358"/>
      <c r="F56" s="358"/>
    </row>
    <row r="57" spans="1:6">
      <c r="A57" s="649" t="s">
        <v>795</v>
      </c>
      <c r="B57" s="358"/>
      <c r="C57" s="358"/>
      <c r="D57" s="358"/>
      <c r="E57" s="358"/>
      <c r="F57" s="358"/>
    </row>
    <row r="58" spans="1:6">
      <c r="A58" s="649" t="s">
        <v>793</v>
      </c>
    </row>
    <row r="59" spans="1:6">
      <c r="A59" s="649" t="s">
        <v>784</v>
      </c>
    </row>
    <row r="60" spans="1:6">
      <c r="A60" s="649" t="s">
        <v>785</v>
      </c>
    </row>
  </sheetData>
  <mergeCells count="6">
    <mergeCell ref="A44:G44"/>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Diciembre 2018
INFSGI-MES-12-2018
15/01/2019
Versión: 01</oddHeader>
    <oddFooter>&amp;L&amp;7COES, 2018&amp;C20&amp;R&amp;7Dirección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P184"/>
  <sheetViews>
    <sheetView showGridLines="0" view="pageBreakPreview" zoomScale="130" zoomScaleNormal="100" zoomScaleSheetLayoutView="130" zoomScalePageLayoutView="160" workbookViewId="0">
      <selection activeCell="D4" sqref="D4"/>
    </sheetView>
  </sheetViews>
  <sheetFormatPr defaultColWidth="9.33203125" defaultRowHeight="9"/>
  <cols>
    <col min="1" max="1" width="28.6640625" style="358" customWidth="1"/>
    <col min="2" max="2" width="22.1640625" style="358" customWidth="1"/>
    <col min="3" max="4" width="17.6640625" style="358" customWidth="1"/>
    <col min="5" max="5" width="15.1640625" style="358" customWidth="1"/>
    <col min="6" max="6" width="13.33203125" style="358" customWidth="1"/>
    <col min="7" max="7" width="9.33203125" style="358"/>
    <col min="8" max="8" width="15.6640625" style="358" customWidth="1"/>
    <col min="9" max="9" width="9.33203125" style="358"/>
    <col min="10" max="11" width="9.33203125" style="358" customWidth="1"/>
    <col min="12" max="13" width="9.33203125" style="358"/>
    <col min="14" max="16384" width="9.33203125" style="359"/>
  </cols>
  <sheetData>
    <row r="1" spans="1:13" ht="11.25" customHeight="1">
      <c r="A1" s="357" t="s">
        <v>438</v>
      </c>
    </row>
    <row r="2" spans="1:13" s="469" customFormat="1" ht="11.25" customHeight="1">
      <c r="A2" s="1010" t="s">
        <v>279</v>
      </c>
      <c r="B2" s="1013" t="s">
        <v>56</v>
      </c>
      <c r="C2" s="1013" t="s">
        <v>439</v>
      </c>
      <c r="D2" s="1013"/>
      <c r="E2" s="1013"/>
      <c r="F2" s="1016"/>
      <c r="G2" s="655"/>
      <c r="H2" s="655"/>
      <c r="I2" s="655"/>
      <c r="J2" s="655"/>
      <c r="K2" s="655"/>
      <c r="L2" s="649"/>
      <c r="M2" s="649"/>
    </row>
    <row r="3" spans="1:13" s="469" customFormat="1" ht="11.25" customHeight="1">
      <c r="A3" s="1011"/>
      <c r="B3" s="1014"/>
      <c r="C3" s="766" t="str">
        <f>UPPER('1. Resumen'!Q4)&amp;" "&amp;'1. Resumen'!Q5</f>
        <v>DICIEMBRE 2018</v>
      </c>
      <c r="D3" s="767" t="str">
        <f>UPPER('1. Resumen'!Q4)&amp;" "&amp;'1. Resumen'!Q5-1</f>
        <v>DICIEMBRE 2017</v>
      </c>
      <c r="E3" s="768">
        <v>2018</v>
      </c>
      <c r="F3" s="769" t="s">
        <v>437</v>
      </c>
      <c r="G3" s="656"/>
      <c r="H3" s="656"/>
      <c r="I3" s="656"/>
      <c r="J3" s="656"/>
      <c r="K3" s="656"/>
      <c r="L3" s="657"/>
      <c r="M3" s="649"/>
    </row>
    <row r="4" spans="1:13" s="469" customFormat="1" ht="11.25" customHeight="1">
      <c r="A4" s="1011"/>
      <c r="B4" s="1014"/>
      <c r="C4" s="770">
        <f>+'8. Max Potencia'!D8</f>
        <v>43451.822916666664</v>
      </c>
      <c r="D4" s="770">
        <f>+'8. Max Potencia'!E8</f>
        <v>43087.822916666664</v>
      </c>
      <c r="E4" s="770">
        <f>+'8. Max Potencia'!G8</f>
        <v>43451.822916666664</v>
      </c>
      <c r="F4" s="771" t="s">
        <v>431</v>
      </c>
      <c r="G4" s="658"/>
      <c r="H4" s="658"/>
      <c r="I4" s="659"/>
      <c r="J4" s="659"/>
      <c r="K4" s="659"/>
      <c r="L4" s="657"/>
      <c r="M4" s="649"/>
    </row>
    <row r="5" spans="1:13" s="469" customFormat="1" ht="11.25" customHeight="1">
      <c r="A5" s="1012"/>
      <c r="B5" s="1015"/>
      <c r="C5" s="772">
        <f>+'8. Max Potencia'!D9</f>
        <v>43451.822916666664</v>
      </c>
      <c r="D5" s="772">
        <f>+'8. Max Potencia'!E9</f>
        <v>43087.822916666664</v>
      </c>
      <c r="E5" s="772">
        <f>+'8. Max Potencia'!G9</f>
        <v>43451.822916666664</v>
      </c>
      <c r="F5" s="773" t="s">
        <v>432</v>
      </c>
      <c r="G5" s="658"/>
      <c r="H5" s="658"/>
      <c r="I5" s="658"/>
      <c r="J5" s="658"/>
      <c r="K5" s="658"/>
      <c r="L5" s="660"/>
      <c r="M5" s="649"/>
    </row>
    <row r="6" spans="1:13" s="469" customFormat="1" ht="10.5" customHeight="1">
      <c r="A6" s="639" t="s">
        <v>126</v>
      </c>
      <c r="B6" s="661" t="s">
        <v>90</v>
      </c>
      <c r="C6" s="662">
        <v>13.55499</v>
      </c>
      <c r="D6" s="662">
        <v>0</v>
      </c>
      <c r="E6" s="662">
        <v>13.55499</v>
      </c>
      <c r="F6" s="663" t="str">
        <f>+IF(D6=0,"",C6/D6-1)</f>
        <v/>
      </c>
      <c r="G6" s="658"/>
      <c r="H6" s="816"/>
      <c r="I6" s="816"/>
      <c r="J6" s="658"/>
      <c r="K6" s="658"/>
      <c r="L6" s="664"/>
      <c r="M6" s="649"/>
    </row>
    <row r="7" spans="1:13" s="469" customFormat="1" ht="10.5" customHeight="1">
      <c r="A7" s="788" t="s">
        <v>312</v>
      </c>
      <c r="B7" s="789"/>
      <c r="C7" s="793">
        <v>13.55499</v>
      </c>
      <c r="D7" s="793">
        <v>0</v>
      </c>
      <c r="E7" s="793">
        <v>13.55499</v>
      </c>
      <c r="F7" s="794" t="str">
        <f t="shared" ref="F7:F71" si="0">+IF(D7=0,"",C7/D7-1)</f>
        <v/>
      </c>
      <c r="G7" s="658"/>
      <c r="H7" s="816"/>
      <c r="I7" s="816"/>
      <c r="J7" s="658"/>
      <c r="K7" s="658"/>
      <c r="L7" s="665"/>
      <c r="M7" s="649"/>
    </row>
    <row r="8" spans="1:13" s="469" customFormat="1" ht="10.5" customHeight="1">
      <c r="A8" s="639" t="s">
        <v>125</v>
      </c>
      <c r="B8" s="661" t="s">
        <v>65</v>
      </c>
      <c r="C8" s="662">
        <v>15.892329999999999</v>
      </c>
      <c r="D8" s="662">
        <v>0</v>
      </c>
      <c r="E8" s="662">
        <v>15.892329999999999</v>
      </c>
      <c r="F8" s="674" t="str">
        <f t="shared" si="0"/>
        <v/>
      </c>
      <c r="G8" s="658"/>
      <c r="H8" s="816"/>
      <c r="I8" s="816"/>
      <c r="J8" s="658"/>
      <c r="K8" s="658"/>
      <c r="L8" s="669"/>
      <c r="M8" s="649"/>
    </row>
    <row r="9" spans="1:13" s="469" customFormat="1" ht="10.5" customHeight="1">
      <c r="A9" s="788" t="s">
        <v>313</v>
      </c>
      <c r="B9" s="789"/>
      <c r="C9" s="793">
        <v>15.892329999999999</v>
      </c>
      <c r="D9" s="793">
        <v>0</v>
      </c>
      <c r="E9" s="793">
        <v>15.892329999999999</v>
      </c>
      <c r="F9" s="794" t="str">
        <f t="shared" si="0"/>
        <v/>
      </c>
      <c r="G9" s="658"/>
      <c r="H9" s="816"/>
      <c r="I9" s="816"/>
      <c r="J9" s="658"/>
      <c r="K9" s="658"/>
      <c r="L9" s="665"/>
      <c r="M9" s="649"/>
    </row>
    <row r="10" spans="1:13" s="469" customFormat="1" ht="10.5" customHeight="1">
      <c r="A10" s="648" t="s">
        <v>110</v>
      </c>
      <c r="B10" s="666" t="s">
        <v>87</v>
      </c>
      <c r="C10" s="667">
        <v>12.84328</v>
      </c>
      <c r="D10" s="667">
        <v>11.179410000000001</v>
      </c>
      <c r="E10" s="667">
        <v>12.84328</v>
      </c>
      <c r="F10" s="668">
        <f t="shared" si="0"/>
        <v>0.14883343575376506</v>
      </c>
      <c r="G10" s="658"/>
      <c r="H10" s="816"/>
      <c r="I10" s="816"/>
      <c r="J10" s="658"/>
      <c r="K10" s="658"/>
      <c r="L10" s="665"/>
      <c r="M10" s="649"/>
    </row>
    <row r="11" spans="1:13" s="469" customFormat="1" ht="10.5" customHeight="1">
      <c r="A11" s="788" t="s">
        <v>314</v>
      </c>
      <c r="B11" s="789"/>
      <c r="C11" s="793">
        <v>12.84328</v>
      </c>
      <c r="D11" s="793">
        <v>11.179410000000001</v>
      </c>
      <c r="E11" s="793">
        <v>12.84328</v>
      </c>
      <c r="F11" s="794">
        <f t="shared" si="0"/>
        <v>0.14883343575376506</v>
      </c>
      <c r="G11" s="658"/>
      <c r="H11" s="816"/>
      <c r="I11" s="816"/>
      <c r="J11" s="658"/>
      <c r="K11" s="658"/>
      <c r="L11" s="665"/>
      <c r="M11" s="649"/>
    </row>
    <row r="12" spans="1:13" s="469" customFormat="1" ht="10.5" customHeight="1">
      <c r="A12" s="648" t="s">
        <v>596</v>
      </c>
      <c r="B12" s="666" t="s">
        <v>783</v>
      </c>
      <c r="C12" s="667">
        <v>20.367170000000002</v>
      </c>
      <c r="D12" s="667"/>
      <c r="E12" s="667">
        <v>20.367170000000002</v>
      </c>
      <c r="F12" s="668" t="str">
        <f t="shared" si="0"/>
        <v/>
      </c>
      <c r="G12" s="658"/>
      <c r="H12" s="816"/>
      <c r="I12" s="816"/>
      <c r="J12" s="658"/>
      <c r="K12" s="658"/>
      <c r="L12" s="665"/>
      <c r="M12" s="649"/>
    </row>
    <row r="13" spans="1:13" s="469" customFormat="1" ht="10.5" customHeight="1">
      <c r="A13" s="788" t="s">
        <v>600</v>
      </c>
      <c r="B13" s="789"/>
      <c r="C13" s="793">
        <v>20.367170000000002</v>
      </c>
      <c r="D13" s="793"/>
      <c r="E13" s="793">
        <v>20.367170000000002</v>
      </c>
      <c r="F13" s="794" t="str">
        <f t="shared" si="0"/>
        <v/>
      </c>
      <c r="G13" s="658"/>
      <c r="H13" s="816"/>
      <c r="I13" s="816"/>
      <c r="J13" s="658"/>
      <c r="K13" s="658"/>
      <c r="L13" s="665"/>
      <c r="M13" s="649"/>
    </row>
    <row r="14" spans="1:13" s="469" customFormat="1" ht="10.5" customHeight="1">
      <c r="A14" s="648" t="s">
        <v>98</v>
      </c>
      <c r="B14" s="666" t="s">
        <v>315</v>
      </c>
      <c r="C14" s="667">
        <v>134.03176999999999</v>
      </c>
      <c r="D14" s="667">
        <v>215.91407000000001</v>
      </c>
      <c r="E14" s="667">
        <v>134.03176999999999</v>
      </c>
      <c r="F14" s="668">
        <f t="shared" si="0"/>
        <v>-0.37923559127017525</v>
      </c>
      <c r="G14" s="658"/>
      <c r="H14" s="816"/>
      <c r="I14" s="816"/>
      <c r="J14" s="658"/>
      <c r="K14" s="658"/>
      <c r="L14" s="665"/>
      <c r="M14" s="649"/>
    </row>
    <row r="15" spans="1:13" s="469" customFormat="1" ht="10.5" customHeight="1">
      <c r="A15" s="788" t="s">
        <v>316</v>
      </c>
      <c r="B15" s="789"/>
      <c r="C15" s="793">
        <v>134.03176999999999</v>
      </c>
      <c r="D15" s="793">
        <v>215.91407000000001</v>
      </c>
      <c r="E15" s="793">
        <v>134.03176999999999</v>
      </c>
      <c r="F15" s="794">
        <f t="shared" si="0"/>
        <v>-0.37923559127017525</v>
      </c>
      <c r="G15" s="658"/>
      <c r="H15" s="816"/>
      <c r="I15" s="816"/>
      <c r="J15" s="658"/>
      <c r="K15" s="658"/>
      <c r="L15" s="669"/>
      <c r="M15" s="649"/>
    </row>
    <row r="16" spans="1:13" s="469" customFormat="1" ht="10.5" customHeight="1">
      <c r="A16" s="648" t="s">
        <v>262</v>
      </c>
      <c r="B16" s="666" t="s">
        <v>317</v>
      </c>
      <c r="C16" s="667">
        <v>0</v>
      </c>
      <c r="D16" s="667">
        <v>0</v>
      </c>
      <c r="E16" s="667">
        <v>0</v>
      </c>
      <c r="F16" s="668" t="str">
        <f t="shared" si="0"/>
        <v/>
      </c>
      <c r="G16" s="658"/>
      <c r="H16" s="816"/>
      <c r="I16" s="816"/>
      <c r="J16" s="658"/>
      <c r="K16" s="658"/>
      <c r="L16" s="669"/>
      <c r="M16" s="649"/>
    </row>
    <row r="17" spans="1:16" s="469" customFormat="1" ht="10.5" customHeight="1">
      <c r="A17" s="788" t="s">
        <v>318</v>
      </c>
      <c r="B17" s="789"/>
      <c r="C17" s="793">
        <v>0</v>
      </c>
      <c r="D17" s="793">
        <v>0</v>
      </c>
      <c r="E17" s="793">
        <v>0</v>
      </c>
      <c r="F17" s="794" t="str">
        <f t="shared" si="0"/>
        <v/>
      </c>
      <c r="G17" s="658"/>
      <c r="H17" s="816"/>
      <c r="I17" s="816"/>
      <c r="J17" s="658"/>
      <c r="K17" s="658"/>
      <c r="L17" s="669"/>
      <c r="M17" s="649"/>
    </row>
    <row r="18" spans="1:16" s="469" customFormat="1" ht="10.5" customHeight="1">
      <c r="A18" s="648" t="s">
        <v>97</v>
      </c>
      <c r="B18" s="666" t="s">
        <v>319</v>
      </c>
      <c r="C18" s="667">
        <v>152.38419999999999</v>
      </c>
      <c r="D18" s="667">
        <v>122.23562000000001</v>
      </c>
      <c r="E18" s="667">
        <v>152.38419999999999</v>
      </c>
      <c r="F18" s="668">
        <f t="shared" si="0"/>
        <v>0.24664316342486736</v>
      </c>
      <c r="G18" s="658"/>
      <c r="H18" s="816"/>
      <c r="I18" s="816"/>
      <c r="J18" s="658"/>
      <c r="K18" s="658"/>
      <c r="L18" s="658"/>
      <c r="M18" s="658"/>
      <c r="N18" s="658"/>
      <c r="O18" s="658"/>
      <c r="P18" s="658"/>
    </row>
    <row r="19" spans="1:16" s="469" customFormat="1" ht="10.5" customHeight="1">
      <c r="A19" s="648"/>
      <c r="B19" s="666" t="s">
        <v>320</v>
      </c>
      <c r="C19" s="667">
        <v>29.73847</v>
      </c>
      <c r="D19" s="667">
        <v>20.350449999999999</v>
      </c>
      <c r="E19" s="667">
        <v>29.73847</v>
      </c>
      <c r="F19" s="668">
        <f t="shared" si="0"/>
        <v>0.46131756300229232</v>
      </c>
      <c r="G19" s="658"/>
      <c r="H19" s="816"/>
      <c r="I19" s="816"/>
      <c r="J19" s="658"/>
      <c r="K19" s="658"/>
      <c r="L19" s="658"/>
      <c r="M19" s="658"/>
      <c r="N19" s="658"/>
      <c r="O19" s="658"/>
      <c r="P19" s="658"/>
    </row>
    <row r="20" spans="1:16" s="469" customFormat="1" ht="10.5" customHeight="1">
      <c r="A20" s="788" t="s">
        <v>321</v>
      </c>
      <c r="B20" s="789"/>
      <c r="C20" s="793">
        <v>182.12267</v>
      </c>
      <c r="D20" s="793">
        <v>142.58607000000001</v>
      </c>
      <c r="E20" s="793">
        <v>182.12267</v>
      </c>
      <c r="F20" s="794">
        <f t="shared" si="0"/>
        <v>0.27728234602440471</v>
      </c>
      <c r="G20" s="658"/>
      <c r="H20" s="816"/>
      <c r="I20" s="816"/>
      <c r="J20" s="658"/>
      <c r="K20" s="658"/>
      <c r="L20" s="665"/>
      <c r="M20" s="649"/>
    </row>
    <row r="21" spans="1:16" s="469" customFormat="1" ht="10.5" customHeight="1">
      <c r="A21" s="648" t="s">
        <v>562</v>
      </c>
      <c r="B21" s="666" t="s">
        <v>89</v>
      </c>
      <c r="C21" s="667"/>
      <c r="D21" s="667">
        <v>0</v>
      </c>
      <c r="E21" s="667"/>
      <c r="F21" s="668" t="str">
        <f t="shared" si="0"/>
        <v/>
      </c>
      <c r="G21" s="658"/>
      <c r="H21" s="816"/>
      <c r="I21" s="816"/>
      <c r="J21" s="658"/>
      <c r="K21" s="658"/>
      <c r="L21" s="665"/>
      <c r="M21" s="649"/>
    </row>
    <row r="22" spans="1:16" s="469" customFormat="1" ht="10.5" customHeight="1">
      <c r="A22" s="788" t="s">
        <v>433</v>
      </c>
      <c r="B22" s="789"/>
      <c r="C22" s="793"/>
      <c r="D22" s="793">
        <v>0</v>
      </c>
      <c r="E22" s="793"/>
      <c r="F22" s="794" t="str">
        <f t="shared" si="0"/>
        <v/>
      </c>
      <c r="G22" s="658"/>
      <c r="H22" s="816"/>
      <c r="I22" s="816"/>
      <c r="J22" s="658"/>
      <c r="K22" s="658"/>
      <c r="L22" s="665"/>
      <c r="M22" s="649"/>
    </row>
    <row r="23" spans="1:16" s="469" customFormat="1" ht="10.5" customHeight="1">
      <c r="A23" s="648" t="s">
        <v>95</v>
      </c>
      <c r="B23" s="666" t="s">
        <v>322</v>
      </c>
      <c r="C23" s="667">
        <v>1.6976300000000002</v>
      </c>
      <c r="D23" s="667">
        <v>1.6663399999999999</v>
      </c>
      <c r="E23" s="667">
        <v>1.6976300000000002</v>
      </c>
      <c r="F23" s="668">
        <f t="shared" si="0"/>
        <v>1.877768042536343E-2</v>
      </c>
      <c r="G23" s="658"/>
      <c r="H23" s="816"/>
      <c r="I23" s="816"/>
      <c r="J23" s="658"/>
      <c r="K23" s="658"/>
      <c r="L23" s="665"/>
      <c r="M23" s="649"/>
    </row>
    <row r="24" spans="1:16" s="469" customFormat="1" ht="10.5" customHeight="1">
      <c r="A24" s="648"/>
      <c r="B24" s="666" t="s">
        <v>323</v>
      </c>
      <c r="C24" s="667">
        <v>0.57686000000000004</v>
      </c>
      <c r="D24" s="667">
        <v>0.57579999999999998</v>
      </c>
      <c r="E24" s="667">
        <v>0.57686000000000004</v>
      </c>
      <c r="F24" s="668">
        <f t="shared" si="0"/>
        <v>1.8409169850643892E-3</v>
      </c>
      <c r="G24" s="658"/>
      <c r="H24" s="816"/>
      <c r="I24" s="816"/>
      <c r="J24" s="658"/>
      <c r="K24" s="658"/>
      <c r="L24" s="665"/>
      <c r="M24" s="649"/>
    </row>
    <row r="25" spans="1:16" s="469" customFormat="1" ht="10.5" customHeight="1">
      <c r="A25" s="648"/>
      <c r="B25" s="666" t="s">
        <v>324</v>
      </c>
      <c r="C25" s="667">
        <v>4.5559399999999997</v>
      </c>
      <c r="D25" s="667">
        <v>4.5405600000000002</v>
      </c>
      <c r="E25" s="667">
        <v>4.5559399999999997</v>
      </c>
      <c r="F25" s="668">
        <f t="shared" si="0"/>
        <v>3.3872473879872356E-3</v>
      </c>
      <c r="G25" s="658"/>
      <c r="H25" s="816"/>
      <c r="I25" s="816"/>
      <c r="J25" s="658"/>
      <c r="K25" s="658"/>
      <c r="L25" s="670"/>
      <c r="M25" s="649"/>
    </row>
    <row r="26" spans="1:16" s="469" customFormat="1" ht="10.5" customHeight="1">
      <c r="A26" s="648"/>
      <c r="B26" s="666" t="s">
        <v>325</v>
      </c>
      <c r="C26" s="667">
        <v>14.319739999999999</v>
      </c>
      <c r="D26" s="667">
        <v>14.243010000000002</v>
      </c>
      <c r="E26" s="667">
        <v>14.319739999999999</v>
      </c>
      <c r="F26" s="668">
        <f t="shared" si="0"/>
        <v>5.3872039688238615E-3</v>
      </c>
      <c r="G26" s="658"/>
      <c r="H26" s="816"/>
      <c r="I26" s="816"/>
      <c r="J26" s="658"/>
      <c r="K26" s="658"/>
      <c r="L26" s="665"/>
      <c r="M26" s="649"/>
    </row>
    <row r="27" spans="1:16" s="469" customFormat="1" ht="10.5" customHeight="1">
      <c r="A27" s="648"/>
      <c r="B27" s="666" t="s">
        <v>326</v>
      </c>
      <c r="C27" s="667">
        <v>137.85575</v>
      </c>
      <c r="D27" s="667">
        <v>130.48275999999998</v>
      </c>
      <c r="E27" s="667">
        <v>137.85575</v>
      </c>
      <c r="F27" s="668">
        <f t="shared" si="0"/>
        <v>5.6505472447088145E-2</v>
      </c>
      <c r="G27" s="658"/>
      <c r="H27" s="816"/>
      <c r="I27" s="816"/>
      <c r="J27" s="658"/>
      <c r="K27" s="658"/>
      <c r="L27" s="665"/>
      <c r="M27" s="649"/>
    </row>
    <row r="28" spans="1:16" s="469" customFormat="1" ht="10.5" customHeight="1">
      <c r="A28" s="648"/>
      <c r="B28" s="666" t="s">
        <v>327</v>
      </c>
      <c r="C28" s="667">
        <v>8.7155699999999996</v>
      </c>
      <c r="D28" s="667">
        <v>8.4524100000000004</v>
      </c>
      <c r="E28" s="667">
        <v>8.7155699999999996</v>
      </c>
      <c r="F28" s="668">
        <f t="shared" si="0"/>
        <v>3.1134315538408508E-2</v>
      </c>
      <c r="G28" s="658"/>
      <c r="H28" s="816"/>
      <c r="I28" s="816"/>
      <c r="J28" s="658"/>
      <c r="K28" s="658"/>
      <c r="L28" s="665"/>
      <c r="M28" s="649"/>
    </row>
    <row r="29" spans="1:16" s="469" customFormat="1" ht="10.5" customHeight="1">
      <c r="A29" s="648"/>
      <c r="B29" s="666" t="s">
        <v>328</v>
      </c>
      <c r="C29" s="667">
        <v>0</v>
      </c>
      <c r="D29" s="667">
        <v>0</v>
      </c>
      <c r="E29" s="667">
        <v>0</v>
      </c>
      <c r="F29" s="668" t="str">
        <f t="shared" si="0"/>
        <v/>
      </c>
      <c r="G29" s="658"/>
      <c r="H29" s="816"/>
      <c r="I29" s="816"/>
      <c r="J29" s="658"/>
      <c r="K29" s="658"/>
      <c r="L29" s="670"/>
      <c r="M29" s="649"/>
    </row>
    <row r="30" spans="1:16" s="469" customFormat="1" ht="10.5" customHeight="1">
      <c r="A30" s="648"/>
      <c r="B30" s="666" t="s">
        <v>329</v>
      </c>
      <c r="C30" s="667">
        <v>0</v>
      </c>
      <c r="D30" s="667">
        <v>0</v>
      </c>
      <c r="E30" s="667">
        <v>0</v>
      </c>
      <c r="F30" s="668" t="str">
        <f t="shared" si="0"/>
        <v/>
      </c>
      <c r="G30" s="658"/>
      <c r="H30" s="816"/>
      <c r="I30" s="816"/>
      <c r="J30" s="658"/>
      <c r="K30" s="658"/>
      <c r="L30" s="665"/>
      <c r="M30" s="649"/>
    </row>
    <row r="31" spans="1:16" s="469" customFormat="1" ht="10.5" customHeight="1">
      <c r="A31" s="648"/>
      <c r="B31" s="666" t="s">
        <v>330</v>
      </c>
      <c r="C31" s="667">
        <v>0</v>
      </c>
      <c r="D31" s="667">
        <v>68.642009999999999</v>
      </c>
      <c r="E31" s="667">
        <v>0</v>
      </c>
      <c r="F31" s="668">
        <f t="shared" si="0"/>
        <v>-1</v>
      </c>
      <c r="G31" s="658"/>
      <c r="H31" s="816"/>
      <c r="I31" s="816"/>
      <c r="J31" s="658"/>
      <c r="K31" s="658"/>
      <c r="L31" s="665"/>
      <c r="M31" s="649"/>
    </row>
    <row r="32" spans="1:16" s="469" customFormat="1" ht="10.5" customHeight="1">
      <c r="A32" s="788" t="s">
        <v>331</v>
      </c>
      <c r="B32" s="789"/>
      <c r="C32" s="793">
        <v>167.72149000000002</v>
      </c>
      <c r="D32" s="793">
        <v>228.60288999999997</v>
      </c>
      <c r="E32" s="793">
        <v>167.72149000000002</v>
      </c>
      <c r="F32" s="794">
        <f t="shared" si="0"/>
        <v>-0.26631946778975524</v>
      </c>
      <c r="G32" s="658"/>
      <c r="H32" s="816"/>
      <c r="I32" s="816"/>
      <c r="J32" s="658"/>
      <c r="K32" s="658"/>
      <c r="L32" s="665"/>
      <c r="M32" s="649"/>
    </row>
    <row r="33" spans="1:13" s="469" customFormat="1" ht="10.5" customHeight="1">
      <c r="A33" s="648" t="s">
        <v>118</v>
      </c>
      <c r="B33" s="666" t="s">
        <v>72</v>
      </c>
      <c r="C33" s="667">
        <v>4.9903599999999999</v>
      </c>
      <c r="D33" s="667">
        <v>4.1999999999999993</v>
      </c>
      <c r="E33" s="667">
        <v>4.9903599999999999</v>
      </c>
      <c r="F33" s="668">
        <f t="shared" si="0"/>
        <v>0.18818095238095256</v>
      </c>
      <c r="G33" s="658"/>
      <c r="H33" s="816"/>
      <c r="I33" s="816"/>
      <c r="J33" s="658"/>
      <c r="K33" s="658"/>
      <c r="L33" s="665"/>
      <c r="M33" s="649"/>
    </row>
    <row r="34" spans="1:13" s="469" customFormat="1" ht="10.5" customHeight="1">
      <c r="A34" s="788" t="s">
        <v>332</v>
      </c>
      <c r="B34" s="789"/>
      <c r="C34" s="793">
        <v>4.9903599999999999</v>
      </c>
      <c r="D34" s="793">
        <v>4.1999999999999993</v>
      </c>
      <c r="E34" s="793">
        <v>4.9903599999999999</v>
      </c>
      <c r="F34" s="794">
        <f t="shared" si="0"/>
        <v>0.18818095238095256</v>
      </c>
      <c r="G34" s="658"/>
      <c r="H34" s="816"/>
      <c r="I34" s="816"/>
      <c r="J34" s="658"/>
      <c r="K34" s="658"/>
      <c r="L34" s="665"/>
      <c r="M34" s="649"/>
    </row>
    <row r="35" spans="1:13" s="469" customFormat="1" ht="10.5" customHeight="1">
      <c r="A35" s="648" t="s">
        <v>96</v>
      </c>
      <c r="B35" s="666" t="s">
        <v>333</v>
      </c>
      <c r="C35" s="667">
        <v>166.62601000000001</v>
      </c>
      <c r="D35" s="667">
        <v>167.16457</v>
      </c>
      <c r="E35" s="667">
        <v>166.62601000000001</v>
      </c>
      <c r="F35" s="668">
        <f t="shared" si="0"/>
        <v>-3.2217353234599289E-3</v>
      </c>
      <c r="G35" s="658"/>
      <c r="H35" s="816"/>
      <c r="I35" s="816"/>
      <c r="J35" s="658"/>
      <c r="K35" s="658"/>
      <c r="L35" s="665"/>
      <c r="M35" s="649"/>
    </row>
    <row r="36" spans="1:13" s="469" customFormat="1" ht="10.5" customHeight="1">
      <c r="A36" s="788" t="s">
        <v>334</v>
      </c>
      <c r="B36" s="789"/>
      <c r="C36" s="793">
        <v>166.62601000000001</v>
      </c>
      <c r="D36" s="793">
        <v>167.16457</v>
      </c>
      <c r="E36" s="793">
        <v>166.62601000000001</v>
      </c>
      <c r="F36" s="794">
        <f t="shared" si="0"/>
        <v>-3.2217353234599289E-3</v>
      </c>
      <c r="G36" s="658"/>
      <c r="H36" s="816"/>
      <c r="I36" s="816"/>
      <c r="J36" s="658"/>
      <c r="K36" s="658"/>
      <c r="L36" s="665"/>
      <c r="M36" s="649"/>
    </row>
    <row r="37" spans="1:13" s="469" customFormat="1" ht="10.5" customHeight="1">
      <c r="A37" s="648" t="s">
        <v>105</v>
      </c>
      <c r="B37" s="666" t="s">
        <v>335</v>
      </c>
      <c r="C37" s="667">
        <v>15.618</v>
      </c>
      <c r="D37" s="667">
        <v>17.009999999999998</v>
      </c>
      <c r="E37" s="667">
        <v>15.618</v>
      </c>
      <c r="F37" s="668">
        <f t="shared" si="0"/>
        <v>-8.1834215167548408E-2</v>
      </c>
      <c r="G37" s="658"/>
      <c r="H37" s="816"/>
      <c r="I37" s="816"/>
      <c r="J37" s="658"/>
      <c r="K37" s="658"/>
      <c r="L37" s="665"/>
      <c r="M37" s="649"/>
    </row>
    <row r="38" spans="1:13" s="469" customFormat="1" ht="10.5" customHeight="1">
      <c r="A38" s="648"/>
      <c r="B38" s="666" t="s">
        <v>336</v>
      </c>
      <c r="C38" s="667">
        <v>9.9359999999999999</v>
      </c>
      <c r="D38" s="667">
        <v>10.151999999999999</v>
      </c>
      <c r="E38" s="667">
        <v>9.9359999999999999</v>
      </c>
      <c r="F38" s="668">
        <f t="shared" si="0"/>
        <v>-2.1276595744680771E-2</v>
      </c>
      <c r="G38" s="658"/>
      <c r="H38" s="816"/>
      <c r="I38" s="816"/>
      <c r="J38" s="658"/>
      <c r="K38" s="658"/>
      <c r="L38" s="665"/>
      <c r="M38" s="649"/>
    </row>
    <row r="39" spans="1:13" s="469" customFormat="1" ht="10.5" customHeight="1">
      <c r="A39" s="648"/>
      <c r="B39" s="666" t="s">
        <v>337</v>
      </c>
      <c r="C39" s="667">
        <v>20.652550000000002</v>
      </c>
      <c r="D39" s="667">
        <v>21.402819999999998</v>
      </c>
      <c r="E39" s="667">
        <v>20.652550000000002</v>
      </c>
      <c r="F39" s="668">
        <f t="shared" si="0"/>
        <v>-3.5054726433245587E-2</v>
      </c>
      <c r="G39" s="658"/>
      <c r="H39" s="816"/>
      <c r="I39" s="816"/>
      <c r="J39" s="658"/>
      <c r="K39" s="658"/>
      <c r="L39" s="665"/>
      <c r="M39" s="649"/>
    </row>
    <row r="40" spans="1:13" s="469" customFormat="1" ht="10.5" customHeight="1">
      <c r="A40" s="788" t="s">
        <v>338</v>
      </c>
      <c r="B40" s="789"/>
      <c r="C40" s="793">
        <v>46.206550000000007</v>
      </c>
      <c r="D40" s="793">
        <v>48.564819999999997</v>
      </c>
      <c r="E40" s="793">
        <v>46.206550000000007</v>
      </c>
      <c r="F40" s="794">
        <f t="shared" si="0"/>
        <v>-4.8559224558023528E-2</v>
      </c>
      <c r="G40" s="658"/>
      <c r="H40" s="816"/>
      <c r="I40" s="816"/>
      <c r="J40" s="658"/>
      <c r="K40" s="658"/>
      <c r="L40" s="665"/>
      <c r="M40" s="649"/>
    </row>
    <row r="41" spans="1:13" s="469" customFormat="1" ht="10.5" customHeight="1">
      <c r="A41" s="648" t="s">
        <v>123</v>
      </c>
      <c r="B41" s="666" t="s">
        <v>77</v>
      </c>
      <c r="C41" s="667">
        <v>0.94188000000000005</v>
      </c>
      <c r="D41" s="667">
        <v>0.74956</v>
      </c>
      <c r="E41" s="667">
        <v>0.94188000000000005</v>
      </c>
      <c r="F41" s="668">
        <f t="shared" si="0"/>
        <v>0.2565771919526123</v>
      </c>
      <c r="G41" s="658"/>
      <c r="H41" s="816"/>
      <c r="I41" s="816"/>
      <c r="J41" s="658"/>
      <c r="K41" s="658"/>
      <c r="L41" s="665"/>
      <c r="M41" s="649"/>
    </row>
    <row r="42" spans="1:13" s="469" customFormat="1" ht="10.5" customHeight="1">
      <c r="A42" s="788" t="s">
        <v>339</v>
      </c>
      <c r="B42" s="789"/>
      <c r="C42" s="793">
        <v>0.94188000000000005</v>
      </c>
      <c r="D42" s="793">
        <v>0.74956</v>
      </c>
      <c r="E42" s="793">
        <v>0.94188000000000005</v>
      </c>
      <c r="F42" s="794">
        <f t="shared" si="0"/>
        <v>0.2565771919526123</v>
      </c>
      <c r="G42" s="658"/>
      <c r="H42" s="816"/>
      <c r="I42" s="816"/>
      <c r="J42" s="658"/>
      <c r="K42" s="658"/>
      <c r="L42" s="671"/>
      <c r="M42" s="649"/>
    </row>
    <row r="43" spans="1:13" s="469" customFormat="1" ht="10.5" customHeight="1">
      <c r="A43" s="648" t="s">
        <v>119</v>
      </c>
      <c r="B43" s="666" t="s">
        <v>75</v>
      </c>
      <c r="C43" s="667">
        <v>3.60182</v>
      </c>
      <c r="D43" s="667">
        <v>3.5885800000000003</v>
      </c>
      <c r="E43" s="667">
        <v>3.60182</v>
      </c>
      <c r="F43" s="668">
        <f t="shared" si="0"/>
        <v>3.6894816334036573E-3</v>
      </c>
      <c r="G43" s="658"/>
      <c r="H43" s="816"/>
      <c r="I43" s="816"/>
      <c r="J43" s="658"/>
      <c r="K43" s="658"/>
      <c r="L43" s="665"/>
      <c r="M43" s="649"/>
    </row>
    <row r="44" spans="1:13" s="469" customFormat="1" ht="10.5" customHeight="1">
      <c r="A44" s="788" t="s">
        <v>340</v>
      </c>
      <c r="B44" s="789"/>
      <c r="C44" s="793">
        <v>3.60182</v>
      </c>
      <c r="D44" s="793">
        <v>3.5885800000000003</v>
      </c>
      <c r="E44" s="793">
        <v>3.60182</v>
      </c>
      <c r="F44" s="794">
        <f t="shared" si="0"/>
        <v>3.6894816334036573E-3</v>
      </c>
      <c r="G44" s="658"/>
      <c r="H44" s="816"/>
      <c r="I44" s="816"/>
      <c r="J44" s="658"/>
      <c r="K44" s="658"/>
      <c r="L44" s="665"/>
      <c r="M44" s="649"/>
    </row>
    <row r="45" spans="1:13" s="469" customFormat="1" ht="10.5" customHeight="1">
      <c r="A45" s="654" t="s">
        <v>714</v>
      </c>
      <c r="B45" s="644" t="s">
        <v>786</v>
      </c>
      <c r="C45" s="667">
        <v>0</v>
      </c>
      <c r="D45" s="667"/>
      <c r="E45" s="667">
        <v>0</v>
      </c>
      <c r="F45" s="668" t="str">
        <f t="shared" si="0"/>
        <v/>
      </c>
      <c r="G45" s="658"/>
      <c r="H45" s="816"/>
      <c r="I45" s="816"/>
      <c r="J45" s="658"/>
      <c r="K45" s="658"/>
      <c r="L45" s="665"/>
      <c r="M45" s="649"/>
    </row>
    <row r="46" spans="1:13" s="469" customFormat="1" ht="10.5" customHeight="1">
      <c r="A46" s="788" t="s">
        <v>715</v>
      </c>
      <c r="B46" s="789"/>
      <c r="C46" s="793">
        <v>0</v>
      </c>
      <c r="D46" s="793"/>
      <c r="E46" s="793">
        <v>0</v>
      </c>
      <c r="F46" s="794" t="str">
        <f t="shared" si="0"/>
        <v/>
      </c>
      <c r="G46" s="658"/>
      <c r="H46" s="816"/>
      <c r="I46" s="816"/>
      <c r="J46" s="658"/>
      <c r="K46" s="658"/>
      <c r="L46" s="665"/>
      <c r="M46" s="649"/>
    </row>
    <row r="47" spans="1:13" s="469" customFormat="1" ht="10.5" customHeight="1">
      <c r="A47" s="648" t="s">
        <v>93</v>
      </c>
      <c r="B47" s="666" t="s">
        <v>341</v>
      </c>
      <c r="C47" s="667">
        <v>636.18000000000006</v>
      </c>
      <c r="D47" s="667">
        <v>645.67439999999999</v>
      </c>
      <c r="E47" s="667">
        <v>636.18000000000006</v>
      </c>
      <c r="F47" s="668">
        <f t="shared" si="0"/>
        <v>-1.470462511755144E-2</v>
      </c>
      <c r="G47" s="658"/>
      <c r="H47" s="816"/>
      <c r="I47" s="816"/>
      <c r="J47" s="658"/>
      <c r="K47" s="658"/>
      <c r="L47" s="665"/>
      <c r="M47" s="649"/>
    </row>
    <row r="48" spans="1:13" s="469" customFormat="1" ht="10.5" customHeight="1">
      <c r="A48" s="648"/>
      <c r="B48" s="666" t="s">
        <v>342</v>
      </c>
      <c r="C48" s="667">
        <v>200.83967999999999</v>
      </c>
      <c r="D48" s="667">
        <v>204.85824000000002</v>
      </c>
      <c r="E48" s="667">
        <v>200.83967999999999</v>
      </c>
      <c r="F48" s="668">
        <f t="shared" si="0"/>
        <v>-1.961629661565012E-2</v>
      </c>
      <c r="G48" s="658"/>
      <c r="H48" s="816"/>
      <c r="I48" s="816"/>
      <c r="J48" s="658"/>
      <c r="K48" s="658"/>
      <c r="L48" s="665"/>
      <c r="M48" s="649"/>
    </row>
    <row r="49" spans="1:13" s="469" customFormat="1" ht="10.5" customHeight="1">
      <c r="A49" s="648"/>
      <c r="B49" s="666" t="s">
        <v>343</v>
      </c>
      <c r="C49" s="667">
        <v>0</v>
      </c>
      <c r="D49" s="667">
        <v>0</v>
      </c>
      <c r="E49" s="667">
        <v>0</v>
      </c>
      <c r="F49" s="668" t="str">
        <f t="shared" si="0"/>
        <v/>
      </c>
      <c r="G49" s="658"/>
      <c r="H49" s="816"/>
      <c r="I49" s="816"/>
      <c r="J49" s="658"/>
      <c r="K49" s="658"/>
      <c r="L49" s="665"/>
      <c r="M49" s="649"/>
    </row>
    <row r="50" spans="1:13" s="469" customFormat="1" ht="10.5" customHeight="1">
      <c r="A50" s="788" t="s">
        <v>344</v>
      </c>
      <c r="B50" s="789"/>
      <c r="C50" s="793">
        <v>837.01968000000011</v>
      </c>
      <c r="D50" s="793">
        <v>850.53264000000001</v>
      </c>
      <c r="E50" s="793">
        <v>837.01968000000011</v>
      </c>
      <c r="F50" s="794">
        <f t="shared" si="0"/>
        <v>-1.5887644241377896E-2</v>
      </c>
      <c r="G50" s="658"/>
      <c r="H50" s="816"/>
      <c r="I50" s="816"/>
      <c r="J50" s="658"/>
      <c r="K50" s="658"/>
      <c r="L50" s="665"/>
      <c r="M50" s="649"/>
    </row>
    <row r="51" spans="1:13" s="469" customFormat="1" ht="10.5" customHeight="1">
      <c r="A51" s="648" t="s">
        <v>263</v>
      </c>
      <c r="B51" s="666" t="s">
        <v>345</v>
      </c>
      <c r="C51" s="667">
        <v>353.85294999999996</v>
      </c>
      <c r="D51" s="667">
        <v>457.36342000000002</v>
      </c>
      <c r="E51" s="667">
        <v>353.85294999999996</v>
      </c>
      <c r="F51" s="668">
        <f t="shared" si="0"/>
        <v>-0.22631995798876969</v>
      </c>
      <c r="G51" s="658"/>
      <c r="H51" s="816"/>
      <c r="I51" s="816"/>
      <c r="J51" s="658"/>
      <c r="K51" s="658"/>
      <c r="L51" s="651"/>
      <c r="M51" s="649"/>
    </row>
    <row r="52" spans="1:13" s="469" customFormat="1" ht="10.5" customHeight="1">
      <c r="A52" s="648"/>
      <c r="B52" s="666" t="s">
        <v>346</v>
      </c>
      <c r="C52" s="667">
        <v>6.4436</v>
      </c>
      <c r="D52" s="667">
        <v>6.5503200000000001</v>
      </c>
      <c r="E52" s="667">
        <v>6.4436</v>
      </c>
      <c r="F52" s="668">
        <f t="shared" si="0"/>
        <v>-1.6292333809646009E-2</v>
      </c>
      <c r="G52" s="658"/>
      <c r="H52" s="816"/>
      <c r="I52" s="816"/>
      <c r="J52" s="658"/>
      <c r="K52" s="658"/>
      <c r="L52" s="649"/>
      <c r="M52" s="649"/>
    </row>
    <row r="53" spans="1:13" s="469" customFormat="1" ht="10.5" customHeight="1">
      <c r="A53" s="788" t="s">
        <v>347</v>
      </c>
      <c r="B53" s="789"/>
      <c r="C53" s="793">
        <v>360.29654999999997</v>
      </c>
      <c r="D53" s="793">
        <v>463.91374000000002</v>
      </c>
      <c r="E53" s="793">
        <v>360.29654999999997</v>
      </c>
      <c r="F53" s="794">
        <f t="shared" si="0"/>
        <v>-0.22335443222699125</v>
      </c>
      <c r="G53" s="658"/>
      <c r="H53" s="816"/>
      <c r="I53" s="816"/>
      <c r="J53" s="658"/>
      <c r="K53" s="658"/>
      <c r="L53" s="649"/>
      <c r="M53" s="649"/>
    </row>
    <row r="54" spans="1:13" s="469" customFormat="1" ht="10.5" customHeight="1">
      <c r="A54" s="648" t="s">
        <v>264</v>
      </c>
      <c r="B54" s="666" t="s">
        <v>348</v>
      </c>
      <c r="C54" s="667">
        <v>81.192689999999999</v>
      </c>
      <c r="D54" s="667">
        <v>95.914209999999997</v>
      </c>
      <c r="E54" s="667">
        <v>81.192689999999999</v>
      </c>
      <c r="F54" s="668">
        <f t="shared" si="0"/>
        <v>-0.15348632908512716</v>
      </c>
      <c r="G54" s="658"/>
      <c r="H54" s="816"/>
      <c r="I54" s="816"/>
      <c r="J54" s="658"/>
      <c r="K54" s="658"/>
      <c r="L54" s="649"/>
      <c r="M54" s="649"/>
    </row>
    <row r="55" spans="1:13" s="469" customFormat="1" ht="10.5" customHeight="1">
      <c r="A55" s="788" t="s">
        <v>349</v>
      </c>
      <c r="B55" s="789"/>
      <c r="C55" s="793">
        <v>81.192689999999999</v>
      </c>
      <c r="D55" s="793">
        <v>95.914209999999997</v>
      </c>
      <c r="E55" s="793">
        <v>81.192689999999999</v>
      </c>
      <c r="F55" s="794">
        <f t="shared" si="0"/>
        <v>-0.15348632908512716</v>
      </c>
      <c r="G55" s="658"/>
      <c r="H55" s="816"/>
      <c r="I55" s="816"/>
      <c r="J55" s="658"/>
      <c r="K55" s="658"/>
      <c r="L55" s="649"/>
      <c r="M55" s="649"/>
    </row>
    <row r="56" spans="1:13" s="469" customFormat="1" ht="10.5" customHeight="1">
      <c r="A56" s="648" t="s">
        <v>265</v>
      </c>
      <c r="B56" s="666" t="s">
        <v>62</v>
      </c>
      <c r="C56" s="667">
        <v>17.113340000000001</v>
      </c>
      <c r="D56" s="667">
        <v>10.8514</v>
      </c>
      <c r="E56" s="667">
        <v>17.113340000000001</v>
      </c>
      <c r="F56" s="668">
        <f t="shared" si="0"/>
        <v>0.57706286746410607</v>
      </c>
      <c r="G56" s="658"/>
      <c r="H56" s="816"/>
      <c r="I56" s="816"/>
      <c r="J56" s="658"/>
      <c r="K56" s="658"/>
      <c r="L56" s="649"/>
      <c r="M56" s="649"/>
    </row>
    <row r="57" spans="1:13" s="469" customFormat="1" ht="10.5" customHeight="1">
      <c r="A57" s="648"/>
      <c r="B57" s="666" t="s">
        <v>59</v>
      </c>
      <c r="C57" s="667">
        <v>20.04721</v>
      </c>
      <c r="D57" s="667">
        <v>14.65976</v>
      </c>
      <c r="E57" s="667">
        <v>20.04721</v>
      </c>
      <c r="F57" s="668">
        <f t="shared" si="0"/>
        <v>0.36749919507549911</v>
      </c>
      <c r="G57" s="658"/>
      <c r="H57" s="816"/>
      <c r="I57" s="816"/>
      <c r="J57" s="658"/>
      <c r="K57" s="658"/>
      <c r="L57" s="649"/>
      <c r="M57" s="649"/>
    </row>
    <row r="58" spans="1:13" s="469" customFormat="1" ht="10.5" customHeight="1">
      <c r="A58" s="788" t="s">
        <v>350</v>
      </c>
      <c r="B58" s="789"/>
      <c r="C58" s="793">
        <v>37.160550000000001</v>
      </c>
      <c r="D58" s="793">
        <v>25.51116</v>
      </c>
      <c r="E58" s="793">
        <v>37.160550000000001</v>
      </c>
      <c r="F58" s="794">
        <f t="shared" si="0"/>
        <v>0.45663897682426047</v>
      </c>
      <c r="G58" s="658"/>
      <c r="H58" s="815"/>
      <c r="I58" s="816"/>
      <c r="J58" s="658"/>
      <c r="K58" s="658"/>
      <c r="L58" s="649"/>
      <c r="M58" s="649"/>
    </row>
    <row r="59" spans="1:13" s="469" customFormat="1" ht="10.5" customHeight="1">
      <c r="A59" s="648" t="s">
        <v>92</v>
      </c>
      <c r="B59" s="666" t="s">
        <v>351</v>
      </c>
      <c r="C59" s="667">
        <v>22.960940000000001</v>
      </c>
      <c r="D59" s="667">
        <v>30.605910000000002</v>
      </c>
      <c r="E59" s="667">
        <v>22.960940000000001</v>
      </c>
      <c r="F59" s="668">
        <f t="shared" si="0"/>
        <v>-0.24978737766660097</v>
      </c>
      <c r="G59" s="658"/>
      <c r="H59" s="815"/>
      <c r="I59" s="816"/>
      <c r="J59" s="658"/>
      <c r="K59" s="658"/>
      <c r="L59" s="649"/>
      <c r="M59" s="649"/>
    </row>
    <row r="60" spans="1:13" s="469" customFormat="1" ht="10.5" customHeight="1">
      <c r="A60" s="648"/>
      <c r="B60" s="666" t="s">
        <v>352</v>
      </c>
      <c r="C60" s="667">
        <v>193.46397000000002</v>
      </c>
      <c r="D60" s="667">
        <v>206.30052999999998</v>
      </c>
      <c r="E60" s="667">
        <v>193.46397000000002</v>
      </c>
      <c r="F60" s="668">
        <f t="shared" si="0"/>
        <v>-6.2222622501260538E-2</v>
      </c>
      <c r="G60" s="672"/>
      <c r="H60" s="815"/>
      <c r="I60" s="816"/>
      <c r="J60" s="658"/>
      <c r="K60" s="658"/>
      <c r="L60" s="649"/>
      <c r="M60" s="649"/>
    </row>
    <row r="61" spans="1:13" s="469" customFormat="1" ht="10.5" customHeight="1">
      <c r="A61" s="648"/>
      <c r="B61" s="666" t="s">
        <v>353</v>
      </c>
      <c r="C61" s="667">
        <v>99.548149999999993</v>
      </c>
      <c r="D61" s="667">
        <v>112.32961</v>
      </c>
      <c r="E61" s="667">
        <v>99.548149999999993</v>
      </c>
      <c r="F61" s="668">
        <f t="shared" si="0"/>
        <v>-0.11378531448653662</v>
      </c>
      <c r="G61" s="672"/>
      <c r="H61" s="815"/>
      <c r="I61" s="816"/>
      <c r="J61" s="658"/>
      <c r="K61" s="658"/>
      <c r="L61" s="649"/>
      <c r="M61" s="649"/>
    </row>
    <row r="62" spans="1:13" s="469" customFormat="1" ht="10.5" customHeight="1">
      <c r="A62" s="648"/>
      <c r="B62" s="666" t="s">
        <v>354</v>
      </c>
      <c r="C62" s="667">
        <v>47.379129999999996</v>
      </c>
      <c r="D62" s="667">
        <v>44.926519999999996</v>
      </c>
      <c r="E62" s="667">
        <v>47.379129999999996</v>
      </c>
      <c r="F62" s="668">
        <f t="shared" si="0"/>
        <v>5.4591586439368012E-2</v>
      </c>
      <c r="G62" s="672"/>
      <c r="H62" s="815"/>
      <c r="I62" s="816"/>
      <c r="J62" s="658"/>
      <c r="K62" s="658"/>
      <c r="L62" s="649"/>
      <c r="M62" s="649"/>
    </row>
    <row r="63" spans="1:13" s="469" customFormat="1" ht="10.5" customHeight="1">
      <c r="A63" s="648"/>
      <c r="B63" s="666" t="s">
        <v>355</v>
      </c>
      <c r="C63" s="667">
        <v>0</v>
      </c>
      <c r="D63" s="667">
        <v>0</v>
      </c>
      <c r="E63" s="667">
        <v>0</v>
      </c>
      <c r="F63" s="668" t="str">
        <f t="shared" si="0"/>
        <v/>
      </c>
      <c r="G63" s="672"/>
      <c r="H63" s="816"/>
      <c r="I63" s="816"/>
      <c r="J63" s="658"/>
      <c r="K63" s="658"/>
      <c r="L63" s="649"/>
      <c r="M63" s="649"/>
    </row>
    <row r="64" spans="1:13" s="469" customFormat="1" ht="10.5" customHeight="1">
      <c r="A64" s="648"/>
      <c r="B64" s="666" t="s">
        <v>356</v>
      </c>
      <c r="C64" s="667">
        <v>0</v>
      </c>
      <c r="D64" s="667">
        <v>176.91575</v>
      </c>
      <c r="E64" s="667">
        <v>0</v>
      </c>
      <c r="F64" s="668">
        <f t="shared" si="0"/>
        <v>-1</v>
      </c>
      <c r="G64" s="672"/>
      <c r="H64" s="816"/>
      <c r="I64" s="816"/>
      <c r="J64" s="658"/>
      <c r="K64" s="658"/>
      <c r="L64" s="649"/>
      <c r="M64" s="649"/>
    </row>
    <row r="65" spans="1:13" s="469" customFormat="1" ht="10.5" customHeight="1">
      <c r="A65" s="648"/>
      <c r="B65" s="666" t="s">
        <v>357</v>
      </c>
      <c r="C65" s="667">
        <v>421.93614000000002</v>
      </c>
      <c r="D65" s="667">
        <v>447.97730999999999</v>
      </c>
      <c r="E65" s="667">
        <v>421.93614000000002</v>
      </c>
      <c r="F65" s="668">
        <f t="shared" si="0"/>
        <v>-5.8130555764085434E-2</v>
      </c>
      <c r="G65" s="658"/>
      <c r="H65" s="816"/>
      <c r="I65" s="816"/>
      <c r="J65" s="658"/>
      <c r="K65" s="658"/>
      <c r="L65" s="649"/>
      <c r="M65" s="649"/>
    </row>
    <row r="66" spans="1:13" s="469" customFormat="1" ht="10.5" customHeight="1">
      <c r="A66" s="648"/>
      <c r="B66" s="666" t="s">
        <v>779</v>
      </c>
      <c r="C66" s="667">
        <v>0</v>
      </c>
      <c r="D66" s="667"/>
      <c r="E66" s="667">
        <v>0</v>
      </c>
      <c r="F66" s="668" t="str">
        <f t="shared" si="0"/>
        <v/>
      </c>
      <c r="G66" s="658"/>
      <c r="H66" s="816"/>
      <c r="I66" s="816"/>
      <c r="J66" s="658"/>
      <c r="K66" s="658"/>
      <c r="L66" s="649"/>
      <c r="M66" s="649"/>
    </row>
    <row r="67" spans="1:13" s="469" customFormat="1" ht="10.5" customHeight="1">
      <c r="A67" s="788" t="s">
        <v>358</v>
      </c>
      <c r="B67" s="789"/>
      <c r="C67" s="793">
        <v>785.28833000000009</v>
      </c>
      <c r="D67" s="793">
        <v>1019.05563</v>
      </c>
      <c r="E67" s="793">
        <v>785.28833000000009</v>
      </c>
      <c r="F67" s="794">
        <f t="shared" si="0"/>
        <v>-0.2293960144256304</v>
      </c>
      <c r="G67" s="658"/>
      <c r="H67" s="816"/>
      <c r="I67" s="816"/>
      <c r="J67" s="658"/>
      <c r="K67" s="658"/>
      <c r="L67" s="649"/>
      <c r="M67" s="649"/>
    </row>
    <row r="68" spans="1:13" s="469" customFormat="1" ht="10.5" customHeight="1">
      <c r="A68" s="648" t="s">
        <v>100</v>
      </c>
      <c r="B68" s="666" t="s">
        <v>359</v>
      </c>
      <c r="C68" s="667">
        <v>0</v>
      </c>
      <c r="D68" s="667">
        <v>0</v>
      </c>
      <c r="E68" s="667">
        <v>0</v>
      </c>
      <c r="F68" s="668" t="str">
        <f t="shared" si="0"/>
        <v/>
      </c>
      <c r="G68" s="673"/>
      <c r="H68" s="816"/>
      <c r="I68" s="816"/>
      <c r="J68" s="658"/>
      <c r="K68" s="658"/>
      <c r="L68" s="649"/>
      <c r="M68" s="649"/>
    </row>
    <row r="69" spans="1:13" s="469" customFormat="1" ht="10.5" customHeight="1">
      <c r="A69" s="648"/>
      <c r="B69" s="666" t="s">
        <v>360</v>
      </c>
      <c r="C69" s="667">
        <v>88.366280000000003</v>
      </c>
      <c r="D69" s="667">
        <v>90.647369999999995</v>
      </c>
      <c r="E69" s="667">
        <v>88.366280000000003</v>
      </c>
      <c r="F69" s="668">
        <f t="shared" si="0"/>
        <v>-2.5164436651609279E-2</v>
      </c>
      <c r="G69" s="673"/>
      <c r="H69" s="806"/>
      <c r="I69" s="816"/>
      <c r="J69" s="658"/>
      <c r="K69" s="658"/>
      <c r="L69" s="649"/>
      <c r="M69" s="649"/>
    </row>
    <row r="70" spans="1:13" s="469" customFormat="1" ht="10.5" customHeight="1">
      <c r="A70" s="648"/>
      <c r="B70" s="666" t="s">
        <v>361</v>
      </c>
      <c r="C70" s="667">
        <v>0</v>
      </c>
      <c r="D70" s="667">
        <v>0</v>
      </c>
      <c r="E70" s="667">
        <v>0</v>
      </c>
      <c r="F70" s="668" t="str">
        <f t="shared" si="0"/>
        <v/>
      </c>
      <c r="G70" s="673"/>
      <c r="H70" s="806"/>
      <c r="I70" s="816"/>
      <c r="J70" s="658"/>
      <c r="K70" s="658"/>
      <c r="L70" s="649"/>
      <c r="M70" s="649"/>
    </row>
    <row r="71" spans="1:13" s="469" customFormat="1" ht="10.5" customHeight="1">
      <c r="A71" s="788" t="s">
        <v>362</v>
      </c>
      <c r="B71" s="789"/>
      <c r="C71" s="793">
        <v>88.366280000000003</v>
      </c>
      <c r="D71" s="793">
        <v>90.647369999999995</v>
      </c>
      <c r="E71" s="793">
        <v>88.366280000000003</v>
      </c>
      <c r="F71" s="794">
        <f t="shared" si="0"/>
        <v>-2.5164436651609279E-2</v>
      </c>
      <c r="G71" s="649"/>
      <c r="H71" s="806"/>
      <c r="I71" s="816"/>
      <c r="J71" s="658"/>
      <c r="K71" s="658"/>
      <c r="L71" s="649"/>
      <c r="M71" s="649"/>
    </row>
    <row r="72" spans="1:13" s="469" customFormat="1" ht="10.5" customHeight="1">
      <c r="G72" s="649"/>
      <c r="J72" s="658"/>
      <c r="K72" s="658"/>
      <c r="L72" s="649"/>
      <c r="M72" s="649"/>
    </row>
    <row r="73" spans="1:13" s="469" customFormat="1" ht="10.5" customHeight="1">
      <c r="G73" s="649"/>
      <c r="J73" s="658"/>
      <c r="K73" s="658"/>
      <c r="L73" s="649"/>
      <c r="M73" s="649"/>
    </row>
    <row r="74" spans="1:13" s="469" customFormat="1" ht="10.5" customHeight="1">
      <c r="G74" s="649"/>
      <c r="H74" s="649"/>
      <c r="I74" s="658"/>
      <c r="J74" s="658"/>
      <c r="K74" s="658"/>
      <c r="L74" s="649"/>
      <c r="M74" s="649"/>
    </row>
    <row r="75" spans="1:13" s="469" customFormat="1" ht="10.5" customHeight="1">
      <c r="A75" s="651"/>
      <c r="B75" s="651"/>
      <c r="C75" s="651"/>
      <c r="D75" s="651"/>
      <c r="E75" s="651"/>
      <c r="F75" s="651"/>
      <c r="G75" s="649"/>
      <c r="H75" s="649"/>
      <c r="I75" s="649"/>
      <c r="J75" s="649"/>
      <c r="K75" s="649"/>
      <c r="L75" s="649"/>
      <c r="M75" s="649"/>
    </row>
    <row r="76" spans="1:13" s="469" customFormat="1" ht="10.5" customHeight="1">
      <c r="A76" s="649"/>
      <c r="B76" s="649"/>
      <c r="C76" s="649"/>
      <c r="D76" s="649"/>
      <c r="E76" s="649"/>
      <c r="F76" s="649"/>
      <c r="G76" s="649"/>
      <c r="H76" s="649"/>
      <c r="I76" s="649"/>
      <c r="J76" s="649"/>
      <c r="K76" s="649"/>
      <c r="L76" s="649"/>
      <c r="M76" s="649"/>
    </row>
    <row r="77" spans="1:13" s="469" customFormat="1" ht="10.5" customHeight="1">
      <c r="A77" s="649"/>
      <c r="B77" s="649"/>
      <c r="C77" s="649"/>
      <c r="D77" s="649"/>
      <c r="E77" s="649"/>
      <c r="F77" s="649"/>
      <c r="G77" s="649"/>
      <c r="H77" s="649"/>
      <c r="I77" s="649"/>
      <c r="J77" s="649"/>
      <c r="K77" s="649"/>
      <c r="L77" s="649"/>
      <c r="M77" s="649"/>
    </row>
    <row r="78" spans="1:13" s="469" customFormat="1" ht="10.5" customHeight="1">
      <c r="A78" s="649"/>
      <c r="B78" s="649"/>
      <c r="C78" s="649"/>
      <c r="D78" s="649"/>
      <c r="E78" s="649"/>
      <c r="F78" s="649"/>
      <c r="G78" s="649"/>
      <c r="H78" s="649"/>
      <c r="I78" s="649"/>
      <c r="J78" s="649"/>
      <c r="K78" s="649"/>
      <c r="L78" s="649"/>
      <c r="M78" s="649"/>
    </row>
    <row r="79" spans="1:13" s="469" customFormat="1" ht="10.5" customHeight="1">
      <c r="A79" s="649"/>
      <c r="B79" s="649"/>
      <c r="C79" s="649"/>
      <c r="D79" s="649"/>
      <c r="E79" s="649"/>
      <c r="F79" s="649"/>
      <c r="G79" s="649"/>
      <c r="H79" s="649"/>
      <c r="I79" s="649"/>
      <c r="J79" s="649"/>
      <c r="K79" s="649"/>
      <c r="L79" s="649"/>
      <c r="M79" s="649"/>
    </row>
    <row r="80" spans="1:13" s="469" customFormat="1" ht="10.5" customHeight="1">
      <c r="A80" s="649"/>
      <c r="B80" s="649"/>
      <c r="C80" s="649"/>
      <c r="D80" s="649"/>
      <c r="E80" s="649"/>
      <c r="F80" s="649"/>
      <c r="G80" s="649"/>
      <c r="H80" s="649"/>
      <c r="I80" s="649"/>
      <c r="J80" s="649"/>
      <c r="K80" s="649"/>
      <c r="L80" s="649"/>
      <c r="M80" s="649"/>
    </row>
    <row r="81" spans="1:13" s="469" customFormat="1" ht="10.5" customHeight="1">
      <c r="A81" s="649"/>
      <c r="B81" s="649"/>
      <c r="C81" s="649"/>
      <c r="D81" s="649"/>
      <c r="E81" s="649"/>
      <c r="F81" s="649"/>
      <c r="G81" s="649"/>
      <c r="H81" s="649"/>
      <c r="I81" s="649"/>
      <c r="J81" s="649"/>
      <c r="K81" s="649"/>
      <c r="L81" s="649"/>
      <c r="M81" s="649"/>
    </row>
    <row r="82" spans="1:13" s="469" customFormat="1" ht="10.5" customHeight="1">
      <c r="A82" s="649"/>
      <c r="B82" s="649"/>
      <c r="C82" s="649"/>
      <c r="D82" s="649"/>
      <c r="E82" s="649"/>
      <c r="F82" s="649"/>
      <c r="G82" s="649"/>
      <c r="H82" s="649"/>
      <c r="I82" s="649"/>
      <c r="J82" s="649"/>
      <c r="K82" s="649"/>
      <c r="L82" s="649"/>
      <c r="M82" s="649"/>
    </row>
    <row r="83" spans="1:13" s="469" customFormat="1" ht="10.5" customHeight="1">
      <c r="A83" s="649"/>
      <c r="B83" s="649"/>
      <c r="C83" s="649"/>
      <c r="D83" s="649"/>
      <c r="E83" s="649"/>
      <c r="F83" s="649"/>
      <c r="G83" s="649"/>
      <c r="H83" s="649"/>
      <c r="I83" s="649"/>
      <c r="J83" s="649"/>
      <c r="K83" s="649"/>
      <c r="L83" s="649"/>
      <c r="M83" s="649"/>
    </row>
    <row r="84" spans="1:13" s="469" customFormat="1" ht="10.5" customHeight="1">
      <c r="A84" s="649"/>
      <c r="B84" s="649"/>
      <c r="C84" s="649"/>
      <c r="D84" s="649"/>
      <c r="E84" s="649"/>
      <c r="F84" s="649"/>
      <c r="G84" s="649"/>
      <c r="H84" s="649"/>
      <c r="I84" s="649"/>
      <c r="J84" s="649"/>
      <c r="K84" s="649"/>
      <c r="L84" s="649"/>
      <c r="M84" s="649"/>
    </row>
    <row r="85" spans="1:13" s="469" customFormat="1" ht="10.5" customHeight="1">
      <c r="A85" s="649"/>
      <c r="B85" s="649"/>
      <c r="C85" s="649"/>
      <c r="D85" s="649"/>
      <c r="E85" s="649"/>
      <c r="F85" s="649"/>
      <c r="G85" s="649"/>
      <c r="H85" s="649"/>
      <c r="I85" s="649"/>
      <c r="J85" s="649"/>
      <c r="K85" s="649"/>
      <c r="L85" s="649"/>
      <c r="M85" s="649"/>
    </row>
    <row r="86" spans="1:13" s="469" customFormat="1" ht="10.5" customHeight="1">
      <c r="A86" s="649"/>
      <c r="B86" s="649"/>
      <c r="C86" s="649"/>
      <c r="D86" s="649"/>
      <c r="E86" s="649"/>
      <c r="F86" s="649"/>
      <c r="G86" s="649"/>
      <c r="H86" s="649"/>
      <c r="I86" s="649"/>
      <c r="J86" s="649"/>
      <c r="K86" s="649"/>
      <c r="L86" s="649"/>
      <c r="M86" s="649"/>
    </row>
    <row r="87" spans="1:13" s="469" customFormat="1" ht="10.5" customHeight="1">
      <c r="A87" s="649"/>
      <c r="B87" s="649"/>
      <c r="C87" s="649"/>
      <c r="D87" s="649"/>
      <c r="E87" s="649"/>
      <c r="F87" s="649"/>
      <c r="G87" s="649"/>
      <c r="H87" s="649"/>
      <c r="I87" s="649"/>
      <c r="J87" s="649"/>
      <c r="K87" s="649"/>
      <c r="L87" s="649"/>
      <c r="M87" s="649"/>
    </row>
    <row r="88" spans="1:13" s="469" customFormat="1" ht="10.5" customHeight="1">
      <c r="A88" s="649"/>
      <c r="B88" s="649"/>
      <c r="C88" s="649"/>
      <c r="D88" s="649"/>
      <c r="E88" s="649"/>
      <c r="F88" s="649"/>
      <c r="G88" s="649"/>
      <c r="H88" s="649"/>
      <c r="I88" s="649"/>
      <c r="J88" s="649"/>
      <c r="K88" s="649"/>
      <c r="L88" s="649"/>
      <c r="M88" s="649"/>
    </row>
    <row r="89" spans="1:13" s="469" customFormat="1" ht="10.5" customHeight="1">
      <c r="A89" s="649"/>
      <c r="B89" s="649"/>
      <c r="C89" s="649"/>
      <c r="D89" s="649"/>
      <c r="E89" s="649"/>
      <c r="F89" s="649"/>
      <c r="G89" s="649"/>
      <c r="H89" s="649"/>
      <c r="I89" s="649"/>
      <c r="J89" s="649"/>
      <c r="K89" s="649"/>
      <c r="L89" s="649"/>
      <c r="M89" s="649"/>
    </row>
    <row r="90" spans="1:13" s="469" customFormat="1" ht="10.5" customHeight="1">
      <c r="A90" s="649"/>
      <c r="B90" s="649"/>
      <c r="C90" s="649"/>
      <c r="D90" s="649"/>
      <c r="E90" s="649"/>
      <c r="F90" s="649"/>
      <c r="G90" s="649"/>
      <c r="H90" s="649"/>
      <c r="I90" s="649"/>
      <c r="J90" s="649"/>
      <c r="K90" s="649"/>
      <c r="L90" s="649"/>
      <c r="M90" s="649"/>
    </row>
    <row r="91" spans="1:13" s="469" customFormat="1" ht="10.5" customHeight="1">
      <c r="A91" s="649"/>
      <c r="B91" s="649"/>
      <c r="C91" s="649"/>
      <c r="D91" s="649"/>
      <c r="E91" s="649"/>
      <c r="F91" s="649"/>
      <c r="G91" s="649"/>
      <c r="H91" s="649"/>
      <c r="I91" s="649"/>
      <c r="J91" s="649"/>
      <c r="K91" s="649"/>
      <c r="L91" s="649"/>
      <c r="M91" s="649"/>
    </row>
    <row r="92" spans="1:13" s="469" customFormat="1" ht="10.5" customHeight="1">
      <c r="A92" s="649"/>
      <c r="B92" s="649"/>
      <c r="C92" s="649"/>
      <c r="D92" s="649"/>
      <c r="E92" s="649"/>
      <c r="F92" s="649"/>
      <c r="G92" s="649"/>
      <c r="H92" s="649"/>
      <c r="I92" s="649"/>
      <c r="J92" s="649"/>
      <c r="K92" s="649"/>
      <c r="L92" s="649"/>
      <c r="M92" s="649"/>
    </row>
    <row r="93" spans="1:13" s="469" customFormat="1" ht="10.5" customHeight="1">
      <c r="A93" s="649"/>
      <c r="B93" s="649"/>
      <c r="C93" s="649"/>
      <c r="D93" s="649"/>
      <c r="E93" s="649"/>
      <c r="F93" s="649"/>
      <c r="G93" s="649"/>
      <c r="H93" s="649"/>
      <c r="I93" s="649"/>
      <c r="J93" s="649"/>
      <c r="K93" s="649"/>
      <c r="L93" s="649"/>
      <c r="M93" s="649"/>
    </row>
    <row r="94" spans="1:13" s="469" customFormat="1" ht="10.5" customHeight="1">
      <c r="A94" s="649"/>
      <c r="B94" s="649"/>
      <c r="C94" s="649"/>
      <c r="D94" s="649"/>
      <c r="E94" s="649"/>
      <c r="F94" s="649"/>
      <c r="G94" s="649"/>
      <c r="H94" s="649"/>
      <c r="I94" s="649"/>
      <c r="J94" s="649"/>
      <c r="K94" s="649"/>
      <c r="L94" s="649"/>
      <c r="M94" s="649"/>
    </row>
    <row r="95" spans="1:13" s="469" customFormat="1" ht="10.5" customHeight="1">
      <c r="A95" s="649"/>
      <c r="B95" s="649"/>
      <c r="C95" s="649"/>
      <c r="D95" s="649"/>
      <c r="E95" s="649"/>
      <c r="F95" s="649"/>
      <c r="G95" s="649"/>
      <c r="H95" s="649"/>
      <c r="I95" s="649"/>
      <c r="J95" s="649"/>
      <c r="K95" s="649"/>
      <c r="L95" s="649"/>
      <c r="M95" s="649"/>
    </row>
    <row r="96" spans="1:13" s="469" customFormat="1" ht="10.5" customHeight="1">
      <c r="A96" s="649"/>
      <c r="B96" s="649"/>
      <c r="C96" s="649"/>
      <c r="D96" s="649"/>
      <c r="E96" s="649"/>
      <c r="F96" s="649"/>
      <c r="G96" s="649"/>
      <c r="H96" s="649"/>
      <c r="I96" s="649"/>
      <c r="J96" s="649"/>
      <c r="K96" s="649"/>
      <c r="L96" s="649"/>
      <c r="M96" s="649"/>
    </row>
    <row r="97" spans="1:13" s="469" customFormat="1" ht="10.5" customHeight="1">
      <c r="A97" s="649"/>
      <c r="B97" s="649"/>
      <c r="C97" s="649"/>
      <c r="D97" s="649"/>
      <c r="E97" s="649"/>
      <c r="F97" s="649"/>
      <c r="G97" s="649"/>
      <c r="H97" s="649"/>
      <c r="I97" s="649"/>
      <c r="J97" s="649"/>
      <c r="K97" s="649"/>
      <c r="L97" s="649"/>
      <c r="M97" s="649"/>
    </row>
    <row r="98" spans="1:13" s="469" customFormat="1" ht="10.5" customHeight="1">
      <c r="A98" s="649"/>
      <c r="B98" s="649"/>
      <c r="C98" s="649"/>
      <c r="D98" s="649"/>
      <c r="E98" s="649"/>
      <c r="F98" s="649"/>
      <c r="G98" s="649"/>
      <c r="H98" s="649"/>
      <c r="I98" s="649"/>
      <c r="J98" s="649"/>
      <c r="K98" s="649"/>
      <c r="L98" s="649"/>
      <c r="M98" s="649"/>
    </row>
    <row r="99" spans="1:13" s="469" customFormat="1" ht="10.5" customHeight="1">
      <c r="A99" s="649"/>
      <c r="B99" s="649"/>
      <c r="C99" s="649"/>
      <c r="D99" s="649"/>
      <c r="E99" s="649"/>
      <c r="F99" s="649"/>
      <c r="G99" s="649"/>
      <c r="H99" s="649"/>
      <c r="I99" s="649"/>
      <c r="J99" s="649"/>
      <c r="K99" s="649"/>
      <c r="L99" s="649"/>
      <c r="M99" s="649"/>
    </row>
    <row r="100" spans="1:13" s="469" customFormat="1" ht="10.5" customHeight="1">
      <c r="A100" s="649"/>
      <c r="B100" s="649"/>
      <c r="C100" s="649"/>
      <c r="D100" s="649"/>
      <c r="E100" s="649"/>
      <c r="F100" s="649"/>
      <c r="G100" s="649"/>
      <c r="H100" s="649"/>
      <c r="I100" s="649"/>
      <c r="J100" s="649"/>
      <c r="K100" s="649"/>
      <c r="L100" s="649"/>
      <c r="M100" s="649"/>
    </row>
    <row r="101" spans="1:13" s="469" customFormat="1" ht="10.5" customHeight="1">
      <c r="A101" s="649"/>
      <c r="B101" s="649"/>
      <c r="C101" s="649"/>
      <c r="D101" s="649"/>
      <c r="E101" s="649"/>
      <c r="F101" s="649"/>
      <c r="G101" s="649"/>
      <c r="H101" s="649"/>
      <c r="I101" s="649"/>
      <c r="J101" s="649"/>
      <c r="K101" s="649"/>
      <c r="L101" s="649"/>
      <c r="M101" s="649"/>
    </row>
    <row r="102" spans="1:13" s="469" customFormat="1" ht="10.5" customHeight="1">
      <c r="A102" s="649"/>
      <c r="B102" s="649"/>
      <c r="C102" s="649"/>
      <c r="D102" s="649"/>
      <c r="E102" s="649"/>
      <c r="F102" s="649"/>
      <c r="G102" s="649"/>
      <c r="H102" s="649"/>
      <c r="I102" s="649"/>
      <c r="J102" s="649"/>
      <c r="K102" s="649"/>
      <c r="L102" s="649"/>
      <c r="M102" s="649"/>
    </row>
    <row r="103" spans="1:13" s="469" customFormat="1" ht="10.5" customHeight="1">
      <c r="A103" s="649"/>
      <c r="B103" s="649"/>
      <c r="C103" s="649"/>
      <c r="D103" s="649"/>
      <c r="E103" s="649"/>
      <c r="F103" s="649"/>
      <c r="G103" s="649"/>
      <c r="H103" s="649"/>
      <c r="I103" s="649"/>
      <c r="J103" s="649"/>
      <c r="K103" s="649"/>
      <c r="L103" s="649"/>
      <c r="M103" s="649"/>
    </row>
    <row r="104" spans="1:13" s="469" customFormat="1" ht="10.5" customHeight="1">
      <c r="A104" s="649"/>
      <c r="B104" s="649"/>
      <c r="C104" s="649"/>
      <c r="D104" s="649"/>
      <c r="E104" s="649"/>
      <c r="F104" s="649"/>
      <c r="G104" s="649"/>
      <c r="H104" s="649"/>
      <c r="I104" s="649"/>
      <c r="J104" s="649"/>
      <c r="K104" s="649"/>
      <c r="L104" s="649"/>
      <c r="M104" s="649"/>
    </row>
    <row r="105" spans="1:13" s="469" customFormat="1" ht="10.5" customHeight="1">
      <c r="A105" s="649"/>
      <c r="B105" s="649"/>
      <c r="C105" s="649"/>
      <c r="D105" s="649"/>
      <c r="E105" s="649"/>
      <c r="F105" s="649"/>
      <c r="G105" s="649"/>
      <c r="H105" s="649"/>
      <c r="I105" s="649"/>
      <c r="J105" s="649"/>
      <c r="K105" s="649"/>
      <c r="L105" s="649"/>
      <c r="M105" s="649"/>
    </row>
    <row r="106" spans="1:13" s="469" customFormat="1" ht="10.5" customHeight="1">
      <c r="A106" s="649"/>
      <c r="B106" s="649"/>
      <c r="C106" s="649"/>
      <c r="D106" s="649"/>
      <c r="E106" s="649"/>
      <c r="F106" s="649"/>
      <c r="G106" s="649"/>
      <c r="H106" s="649"/>
      <c r="I106" s="649"/>
      <c r="J106" s="649"/>
      <c r="K106" s="649"/>
      <c r="L106" s="649"/>
      <c r="M106" s="649"/>
    </row>
    <row r="107" spans="1:13" s="469" customFormat="1" ht="10.5" customHeight="1">
      <c r="A107" s="649"/>
      <c r="B107" s="649"/>
      <c r="C107" s="649"/>
      <c r="D107" s="649"/>
      <c r="E107" s="649"/>
      <c r="F107" s="649"/>
      <c r="G107" s="649"/>
      <c r="H107" s="649"/>
      <c r="I107" s="649"/>
      <c r="J107" s="649"/>
      <c r="K107" s="649"/>
      <c r="L107" s="649"/>
      <c r="M107" s="649"/>
    </row>
    <row r="108" spans="1:13" s="469" customFormat="1" ht="10.5" customHeight="1">
      <c r="A108" s="649"/>
      <c r="B108" s="649"/>
      <c r="C108" s="649"/>
      <c r="D108" s="649"/>
      <c r="E108" s="649"/>
      <c r="F108" s="649"/>
      <c r="G108" s="649"/>
      <c r="H108" s="649"/>
      <c r="I108" s="649"/>
      <c r="J108" s="649"/>
      <c r="K108" s="649"/>
      <c r="L108" s="649"/>
      <c r="M108" s="649"/>
    </row>
    <row r="109" spans="1:13" s="469" customFormat="1" ht="10.5" customHeight="1">
      <c r="A109" s="649"/>
      <c r="B109" s="649"/>
      <c r="C109" s="649"/>
      <c r="D109" s="649"/>
      <c r="E109" s="649"/>
      <c r="F109" s="649"/>
      <c r="G109" s="649"/>
      <c r="H109" s="649"/>
      <c r="I109" s="649"/>
      <c r="J109" s="649"/>
      <c r="K109" s="649"/>
      <c r="L109" s="649"/>
      <c r="M109" s="649"/>
    </row>
    <row r="110" spans="1:13" s="469" customFormat="1" ht="10.5" customHeight="1">
      <c r="A110" s="649"/>
      <c r="B110" s="649"/>
      <c r="C110" s="649"/>
      <c r="D110" s="649"/>
      <c r="E110" s="649"/>
      <c r="F110" s="649"/>
      <c r="G110" s="649"/>
      <c r="H110" s="649"/>
      <c r="I110" s="649"/>
      <c r="J110" s="649"/>
      <c r="K110" s="649"/>
      <c r="L110" s="649"/>
      <c r="M110" s="649"/>
    </row>
    <row r="111" spans="1:13" s="469" customFormat="1" ht="10.5" customHeight="1">
      <c r="A111" s="649"/>
      <c r="B111" s="649"/>
      <c r="C111" s="649"/>
      <c r="D111" s="649"/>
      <c r="E111" s="649"/>
      <c r="F111" s="649"/>
      <c r="G111" s="649"/>
      <c r="H111" s="649"/>
      <c r="I111" s="649"/>
      <c r="J111" s="649"/>
      <c r="K111" s="649"/>
      <c r="L111" s="649"/>
      <c r="M111" s="649"/>
    </row>
    <row r="112" spans="1:13" s="469" customFormat="1" ht="10.5" customHeight="1">
      <c r="A112" s="649"/>
      <c r="B112" s="649"/>
      <c r="C112" s="649"/>
      <c r="D112" s="649"/>
      <c r="E112" s="649"/>
      <c r="F112" s="649"/>
      <c r="G112" s="649"/>
      <c r="H112" s="649"/>
      <c r="I112" s="649"/>
      <c r="J112" s="649"/>
      <c r="K112" s="649"/>
      <c r="L112" s="649"/>
      <c r="M112" s="649"/>
    </row>
    <row r="113" spans="1:13" s="469" customFormat="1" ht="10.5" customHeight="1">
      <c r="A113" s="649"/>
      <c r="B113" s="649"/>
      <c r="C113" s="649"/>
      <c r="D113" s="649"/>
      <c r="E113" s="649"/>
      <c r="F113" s="649"/>
      <c r="G113" s="649"/>
      <c r="H113" s="649"/>
      <c r="I113" s="649"/>
      <c r="J113" s="649"/>
      <c r="K113" s="649"/>
      <c r="L113" s="649"/>
      <c r="M113" s="649"/>
    </row>
    <row r="114" spans="1:13" s="469" customFormat="1" ht="10.5" customHeight="1">
      <c r="A114" s="649"/>
      <c r="B114" s="649"/>
      <c r="C114" s="649"/>
      <c r="D114" s="649"/>
      <c r="E114" s="649"/>
      <c r="F114" s="649"/>
      <c r="G114" s="649"/>
      <c r="H114" s="649"/>
      <c r="I114" s="649"/>
      <c r="J114" s="649"/>
      <c r="K114" s="649"/>
      <c r="L114" s="649"/>
      <c r="M114" s="649"/>
    </row>
    <row r="115" spans="1:13" s="469" customFormat="1" ht="10.5" customHeight="1">
      <c r="A115" s="649"/>
      <c r="B115" s="649"/>
      <c r="C115" s="649"/>
      <c r="D115" s="649"/>
      <c r="E115" s="649"/>
      <c r="F115" s="649"/>
      <c r="G115" s="649"/>
      <c r="H115" s="649"/>
      <c r="I115" s="649"/>
      <c r="J115" s="649"/>
      <c r="K115" s="649"/>
      <c r="L115" s="649"/>
      <c r="M115" s="649"/>
    </row>
    <row r="116" spans="1:13" s="469" customFormat="1" ht="10.5" customHeight="1">
      <c r="A116" s="649"/>
      <c r="B116" s="649"/>
      <c r="C116" s="649"/>
      <c r="D116" s="649"/>
      <c r="E116" s="649"/>
      <c r="F116" s="649"/>
      <c r="G116" s="649"/>
      <c r="H116" s="649"/>
      <c r="I116" s="649"/>
      <c r="J116" s="649"/>
      <c r="K116" s="649"/>
      <c r="L116" s="649"/>
      <c r="M116" s="649"/>
    </row>
    <row r="117" spans="1:13" s="469" customFormat="1" ht="10.5" customHeight="1">
      <c r="A117" s="649"/>
      <c r="B117" s="649"/>
      <c r="C117" s="649"/>
      <c r="D117" s="649"/>
      <c r="E117" s="649"/>
      <c r="F117" s="649"/>
      <c r="G117" s="649"/>
      <c r="H117" s="649"/>
      <c r="I117" s="649"/>
      <c r="J117" s="649"/>
      <c r="K117" s="649"/>
      <c r="L117" s="649"/>
      <c r="M117" s="649"/>
    </row>
    <row r="118" spans="1:13" s="469" customFormat="1" ht="10.5" customHeight="1">
      <c r="A118" s="649"/>
      <c r="B118" s="649"/>
      <c r="C118" s="649"/>
      <c r="D118" s="649"/>
      <c r="E118" s="649"/>
      <c r="F118" s="649"/>
      <c r="G118" s="649"/>
      <c r="H118" s="649"/>
      <c r="I118" s="649"/>
      <c r="J118" s="649"/>
      <c r="K118" s="649"/>
      <c r="L118" s="649"/>
      <c r="M118" s="649"/>
    </row>
    <row r="119" spans="1:13" s="469" customFormat="1" ht="10.5" customHeight="1">
      <c r="A119" s="649"/>
      <c r="B119" s="649"/>
      <c r="C119" s="649"/>
      <c r="D119" s="649"/>
      <c r="E119" s="649"/>
      <c r="F119" s="649"/>
      <c r="G119" s="649"/>
      <c r="H119" s="649"/>
      <c r="I119" s="649"/>
      <c r="J119" s="649"/>
      <c r="K119" s="649"/>
      <c r="L119" s="649"/>
      <c r="M119" s="649"/>
    </row>
    <row r="120" spans="1:13" s="469" customFormat="1" ht="10.5" customHeight="1">
      <c r="A120" s="649"/>
      <c r="B120" s="649"/>
      <c r="C120" s="649"/>
      <c r="D120" s="649"/>
      <c r="E120" s="649"/>
      <c r="F120" s="649"/>
      <c r="G120" s="649"/>
      <c r="H120" s="649"/>
      <c r="I120" s="649"/>
      <c r="J120" s="649"/>
      <c r="K120" s="649"/>
      <c r="L120" s="649"/>
      <c r="M120" s="649"/>
    </row>
    <row r="121" spans="1:13" s="469" customFormat="1" ht="10.5" customHeight="1">
      <c r="A121" s="649"/>
      <c r="B121" s="649"/>
      <c r="C121" s="649"/>
      <c r="D121" s="649"/>
      <c r="E121" s="649"/>
      <c r="F121" s="649"/>
      <c r="G121" s="649"/>
      <c r="H121" s="649"/>
      <c r="I121" s="649"/>
      <c r="J121" s="649"/>
      <c r="K121" s="649"/>
      <c r="L121" s="649"/>
      <c r="M121" s="649"/>
    </row>
    <row r="122" spans="1:13" s="469" customFormat="1" ht="10.5" customHeight="1">
      <c r="A122" s="649"/>
      <c r="B122" s="649"/>
      <c r="C122" s="649"/>
      <c r="D122" s="649"/>
      <c r="E122" s="649"/>
      <c r="F122" s="649"/>
      <c r="G122" s="649"/>
      <c r="H122" s="649"/>
      <c r="I122" s="649"/>
      <c r="J122" s="649"/>
      <c r="K122" s="649"/>
      <c r="L122" s="649"/>
      <c r="M122" s="649"/>
    </row>
    <row r="123" spans="1:13" s="469" customFormat="1" ht="10.5" customHeight="1">
      <c r="A123" s="649"/>
      <c r="B123" s="649"/>
      <c r="C123" s="649"/>
      <c r="D123" s="649"/>
      <c r="E123" s="649"/>
      <c r="F123" s="649"/>
      <c r="G123" s="649"/>
      <c r="H123" s="649"/>
      <c r="I123" s="649"/>
      <c r="J123" s="649"/>
      <c r="K123" s="649"/>
      <c r="L123" s="649"/>
      <c r="M123" s="649"/>
    </row>
    <row r="124" spans="1:13" s="469" customFormat="1" ht="10.5" customHeight="1">
      <c r="A124" s="649"/>
      <c r="B124" s="649"/>
      <c r="C124" s="649"/>
      <c r="D124" s="649"/>
      <c r="E124" s="649"/>
      <c r="F124" s="649"/>
      <c r="G124" s="649"/>
      <c r="H124" s="649"/>
      <c r="I124" s="649"/>
      <c r="J124" s="649"/>
      <c r="K124" s="649"/>
      <c r="L124" s="649"/>
      <c r="M124" s="649"/>
    </row>
    <row r="125" spans="1:13" s="469" customFormat="1" ht="10.5" customHeight="1">
      <c r="A125" s="649"/>
      <c r="B125" s="649"/>
      <c r="C125" s="649"/>
      <c r="D125" s="649"/>
      <c r="E125" s="649"/>
      <c r="F125" s="649"/>
      <c r="G125" s="649"/>
      <c r="H125" s="649"/>
      <c r="I125" s="649"/>
      <c r="J125" s="649"/>
      <c r="K125" s="649"/>
      <c r="L125" s="649"/>
      <c r="M125" s="649"/>
    </row>
    <row r="126" spans="1:13" s="469" customFormat="1" ht="10.5" customHeight="1">
      <c r="A126" s="649"/>
      <c r="B126" s="649"/>
      <c r="C126" s="649"/>
      <c r="D126" s="649"/>
      <c r="E126" s="649"/>
      <c r="F126" s="649"/>
      <c r="G126" s="649"/>
      <c r="H126" s="649"/>
      <c r="I126" s="649"/>
      <c r="J126" s="649"/>
      <c r="K126" s="649"/>
      <c r="L126" s="649"/>
      <c r="M126" s="649"/>
    </row>
    <row r="127" spans="1:13" s="469" customFormat="1" ht="10.5" customHeight="1">
      <c r="A127" s="649"/>
      <c r="B127" s="649"/>
      <c r="C127" s="649"/>
      <c r="D127" s="649"/>
      <c r="E127" s="649"/>
      <c r="F127" s="649"/>
      <c r="G127" s="649"/>
      <c r="H127" s="649"/>
      <c r="I127" s="649"/>
      <c r="J127" s="649"/>
      <c r="K127" s="649"/>
      <c r="L127" s="649"/>
      <c r="M127" s="649"/>
    </row>
    <row r="128" spans="1:13" s="469" customFormat="1" ht="10.5" customHeight="1">
      <c r="A128" s="649"/>
      <c r="B128" s="649"/>
      <c r="C128" s="649"/>
      <c r="D128" s="649"/>
      <c r="E128" s="649"/>
      <c r="F128" s="649"/>
      <c r="G128" s="649"/>
      <c r="H128" s="649"/>
      <c r="I128" s="649"/>
      <c r="J128" s="649"/>
      <c r="K128" s="649"/>
      <c r="L128" s="649"/>
      <c r="M128" s="649"/>
    </row>
    <row r="129" spans="1:13" s="469" customFormat="1" ht="10.5" customHeight="1">
      <c r="A129" s="649"/>
      <c r="B129" s="649"/>
      <c r="C129" s="649"/>
      <c r="D129" s="649"/>
      <c r="E129" s="649"/>
      <c r="F129" s="649"/>
      <c r="G129" s="649"/>
      <c r="H129" s="649"/>
      <c r="I129" s="649"/>
      <c r="J129" s="649"/>
      <c r="K129" s="649"/>
      <c r="L129" s="649"/>
      <c r="M129" s="649"/>
    </row>
    <row r="130" spans="1:13" s="469" customFormat="1" ht="10.5" customHeight="1">
      <c r="A130" s="649"/>
      <c r="B130" s="649"/>
      <c r="C130" s="649"/>
      <c r="D130" s="649"/>
      <c r="E130" s="649"/>
      <c r="F130" s="649"/>
      <c r="G130" s="649"/>
      <c r="H130" s="649"/>
      <c r="I130" s="649"/>
      <c r="J130" s="649"/>
      <c r="K130" s="649"/>
      <c r="L130" s="649"/>
      <c r="M130" s="649"/>
    </row>
    <row r="131" spans="1:13" s="469" customFormat="1" ht="10.5" customHeight="1">
      <c r="A131" s="649"/>
      <c r="B131" s="649"/>
      <c r="C131" s="649"/>
      <c r="D131" s="649"/>
      <c r="E131" s="649"/>
      <c r="F131" s="649"/>
      <c r="G131" s="649"/>
      <c r="H131" s="649"/>
      <c r="I131" s="649"/>
      <c r="J131" s="649"/>
      <c r="K131" s="649"/>
      <c r="L131" s="649"/>
      <c r="M131" s="649"/>
    </row>
    <row r="132" spans="1:13" s="469" customFormat="1" ht="10.5" customHeight="1">
      <c r="A132" s="649"/>
      <c r="B132" s="649"/>
      <c r="C132" s="649"/>
      <c r="D132" s="649"/>
      <c r="E132" s="649"/>
      <c r="F132" s="649"/>
      <c r="G132" s="649"/>
      <c r="H132" s="649"/>
      <c r="I132" s="649"/>
      <c r="J132" s="649"/>
      <c r="K132" s="649"/>
      <c r="L132" s="649"/>
      <c r="M132" s="649"/>
    </row>
    <row r="133" spans="1:13" s="469" customFormat="1" ht="10.5" customHeight="1">
      <c r="A133" s="649"/>
      <c r="B133" s="649"/>
      <c r="C133" s="649"/>
      <c r="D133" s="649"/>
      <c r="E133" s="649"/>
      <c r="F133" s="649"/>
      <c r="G133" s="649"/>
      <c r="H133" s="649"/>
      <c r="I133" s="649"/>
      <c r="J133" s="649"/>
      <c r="K133" s="649"/>
      <c r="L133" s="649"/>
      <c r="M133" s="649"/>
    </row>
    <row r="134" spans="1:13" s="469" customFormat="1" ht="10.5" customHeight="1">
      <c r="A134" s="649"/>
      <c r="B134" s="649"/>
      <c r="C134" s="649"/>
      <c r="D134" s="649"/>
      <c r="E134" s="649"/>
      <c r="F134" s="649"/>
      <c r="G134" s="649"/>
      <c r="H134" s="649"/>
      <c r="I134" s="649"/>
      <c r="J134" s="649"/>
      <c r="K134" s="649"/>
      <c r="L134" s="649"/>
      <c r="M134" s="649"/>
    </row>
    <row r="135" spans="1:13" s="469" customFormat="1" ht="10.5" customHeight="1">
      <c r="A135" s="649"/>
      <c r="B135" s="649"/>
      <c r="C135" s="649"/>
      <c r="D135" s="649"/>
      <c r="E135" s="649"/>
      <c r="F135" s="649"/>
      <c r="G135" s="649"/>
      <c r="H135" s="649"/>
      <c r="I135" s="649"/>
      <c r="J135" s="649"/>
      <c r="K135" s="649"/>
      <c r="L135" s="649"/>
      <c r="M135" s="649"/>
    </row>
    <row r="136" spans="1:13" s="469" customFormat="1" ht="10.5" customHeight="1">
      <c r="A136" s="649"/>
      <c r="B136" s="649"/>
      <c r="C136" s="649"/>
      <c r="D136" s="649"/>
      <c r="E136" s="649"/>
      <c r="F136" s="649"/>
      <c r="G136" s="649"/>
      <c r="H136" s="649"/>
      <c r="I136" s="649"/>
      <c r="J136" s="649"/>
      <c r="K136" s="649"/>
      <c r="L136" s="649"/>
      <c r="M136" s="649"/>
    </row>
    <row r="137" spans="1:13" s="469" customFormat="1" ht="10.5" customHeight="1">
      <c r="A137" s="649"/>
      <c r="B137" s="649"/>
      <c r="C137" s="649"/>
      <c r="D137" s="649"/>
      <c r="E137" s="649"/>
      <c r="F137" s="649"/>
      <c r="G137" s="649"/>
      <c r="H137" s="649"/>
      <c r="I137" s="649"/>
      <c r="J137" s="649"/>
      <c r="K137" s="649"/>
      <c r="L137" s="649"/>
      <c r="M137" s="649"/>
    </row>
    <row r="138" spans="1:13" s="469" customFormat="1" ht="10.5" customHeight="1">
      <c r="A138" s="649"/>
      <c r="B138" s="649"/>
      <c r="C138" s="649"/>
      <c r="D138" s="649"/>
      <c r="E138" s="649"/>
      <c r="F138" s="649"/>
      <c r="G138" s="649"/>
      <c r="H138" s="649"/>
      <c r="I138" s="649"/>
      <c r="J138" s="649"/>
      <c r="K138" s="649"/>
      <c r="L138" s="649"/>
      <c r="M138" s="649"/>
    </row>
    <row r="139" spans="1:13" s="469" customFormat="1" ht="10.5" customHeight="1">
      <c r="A139" s="649"/>
      <c r="B139" s="649"/>
      <c r="C139" s="649"/>
      <c r="D139" s="649"/>
      <c r="E139" s="649"/>
      <c r="F139" s="649"/>
      <c r="G139" s="649"/>
      <c r="H139" s="649"/>
      <c r="I139" s="649"/>
      <c r="J139" s="649"/>
      <c r="K139" s="649"/>
      <c r="L139" s="649"/>
      <c r="M139" s="649"/>
    </row>
    <row r="140" spans="1:13" s="469" customFormat="1" ht="10.5" customHeight="1">
      <c r="A140" s="649"/>
      <c r="B140" s="649"/>
      <c r="C140" s="649"/>
      <c r="D140" s="649"/>
      <c r="E140" s="649"/>
      <c r="F140" s="649"/>
      <c r="G140" s="649"/>
      <c r="H140" s="649"/>
      <c r="I140" s="649"/>
      <c r="J140" s="649"/>
      <c r="K140" s="649"/>
      <c r="L140" s="649"/>
      <c r="M140" s="649"/>
    </row>
    <row r="141" spans="1:13" s="469" customFormat="1" ht="10.5" customHeight="1">
      <c r="A141" s="649"/>
      <c r="B141" s="649"/>
      <c r="C141" s="649"/>
      <c r="D141" s="649"/>
      <c r="E141" s="649"/>
      <c r="F141" s="649"/>
      <c r="G141" s="649"/>
      <c r="H141" s="649"/>
      <c r="I141" s="649"/>
      <c r="J141" s="649"/>
      <c r="K141" s="649"/>
      <c r="L141" s="649"/>
      <c r="M141" s="649"/>
    </row>
    <row r="142" spans="1:13" s="469" customFormat="1" ht="10.5" customHeight="1">
      <c r="A142" s="649"/>
      <c r="B142" s="649"/>
      <c r="C142" s="649"/>
      <c r="D142" s="649"/>
      <c r="E142" s="649"/>
      <c r="F142" s="649"/>
      <c r="G142" s="649"/>
      <c r="H142" s="649"/>
      <c r="I142" s="649"/>
      <c r="J142" s="649"/>
      <c r="K142" s="649"/>
      <c r="L142" s="649"/>
      <c r="M142" s="649"/>
    </row>
    <row r="143" spans="1:13" s="469" customFormat="1" ht="10.5" customHeight="1">
      <c r="A143" s="649"/>
      <c r="B143" s="649"/>
      <c r="C143" s="649"/>
      <c r="D143" s="649"/>
      <c r="E143" s="649"/>
      <c r="F143" s="649"/>
      <c r="G143" s="649"/>
      <c r="H143" s="649"/>
      <c r="I143" s="649"/>
      <c r="J143" s="649"/>
      <c r="K143" s="649"/>
      <c r="L143" s="649"/>
      <c r="M143" s="649"/>
    </row>
    <row r="144" spans="1:13" s="469" customFormat="1" ht="10.5" customHeight="1">
      <c r="A144" s="649"/>
      <c r="B144" s="649"/>
      <c r="C144" s="649"/>
      <c r="D144" s="649"/>
      <c r="E144" s="649"/>
      <c r="F144" s="649"/>
      <c r="G144" s="649"/>
      <c r="H144" s="649"/>
      <c r="I144" s="649"/>
      <c r="J144" s="649"/>
      <c r="K144" s="649"/>
      <c r="L144" s="649"/>
      <c r="M144" s="649"/>
    </row>
    <row r="145" spans="1:13" s="469" customFormat="1" ht="10.5" customHeight="1">
      <c r="A145" s="649"/>
      <c r="B145" s="649"/>
      <c r="C145" s="649"/>
      <c r="D145" s="649"/>
      <c r="E145" s="649"/>
      <c r="F145" s="649"/>
      <c r="G145" s="649"/>
      <c r="H145" s="649"/>
      <c r="I145" s="649"/>
      <c r="J145" s="649"/>
      <c r="K145" s="649"/>
      <c r="L145" s="649"/>
      <c r="M145" s="649"/>
    </row>
    <row r="146" spans="1:13" s="469" customFormat="1" ht="10.5" customHeight="1">
      <c r="A146" s="649"/>
      <c r="B146" s="649"/>
      <c r="C146" s="649"/>
      <c r="D146" s="649"/>
      <c r="E146" s="649"/>
      <c r="F146" s="649"/>
      <c r="G146" s="649"/>
      <c r="H146" s="649"/>
      <c r="I146" s="649"/>
      <c r="J146" s="649"/>
      <c r="K146" s="649"/>
      <c r="L146" s="649"/>
      <c r="M146" s="649"/>
    </row>
    <row r="147" spans="1:13" s="469" customFormat="1" ht="10.5" customHeight="1">
      <c r="A147" s="649"/>
      <c r="B147" s="649"/>
      <c r="C147" s="649"/>
      <c r="D147" s="649"/>
      <c r="E147" s="649"/>
      <c r="F147" s="649"/>
      <c r="G147" s="649"/>
      <c r="H147" s="649"/>
      <c r="I147" s="649"/>
      <c r="J147" s="649"/>
      <c r="K147" s="649"/>
      <c r="L147" s="649"/>
      <c r="M147" s="649"/>
    </row>
    <row r="148" spans="1:13" s="469" customFormat="1" ht="10.5" customHeight="1">
      <c r="A148" s="649"/>
      <c r="B148" s="649"/>
      <c r="C148" s="649"/>
      <c r="D148" s="649"/>
      <c r="E148" s="649"/>
      <c r="F148" s="649"/>
      <c r="G148" s="649"/>
      <c r="H148" s="649"/>
      <c r="I148" s="649"/>
      <c r="J148" s="649"/>
      <c r="K148" s="649"/>
      <c r="L148" s="649"/>
      <c r="M148" s="649"/>
    </row>
    <row r="149" spans="1:13" s="469" customFormat="1" ht="10.5" customHeight="1">
      <c r="A149" s="649"/>
      <c r="B149" s="649"/>
      <c r="C149" s="649"/>
      <c r="D149" s="649"/>
      <c r="E149" s="649"/>
      <c r="F149" s="649"/>
      <c r="G149" s="649"/>
      <c r="H149" s="649"/>
      <c r="I149" s="649"/>
      <c r="J149" s="649"/>
      <c r="K149" s="649"/>
      <c r="L149" s="649"/>
      <c r="M149" s="649"/>
    </row>
    <row r="150" spans="1:13" s="469" customFormat="1" ht="10.5" customHeight="1">
      <c r="A150" s="649"/>
      <c r="B150" s="649"/>
      <c r="C150" s="649"/>
      <c r="D150" s="649"/>
      <c r="E150" s="649"/>
      <c r="F150" s="649"/>
      <c r="G150" s="649"/>
      <c r="H150" s="649"/>
      <c r="I150" s="649"/>
      <c r="J150" s="649"/>
      <c r="K150" s="649"/>
      <c r="L150" s="649"/>
      <c r="M150" s="649"/>
    </row>
    <row r="151" spans="1:13" s="469" customFormat="1" ht="10.5" customHeight="1">
      <c r="A151" s="649"/>
      <c r="B151" s="649"/>
      <c r="C151" s="649"/>
      <c r="D151" s="649"/>
      <c r="E151" s="649"/>
      <c r="F151" s="649"/>
      <c r="G151" s="649"/>
      <c r="H151" s="649"/>
      <c r="I151" s="649"/>
      <c r="J151" s="649"/>
      <c r="K151" s="649"/>
      <c r="L151" s="649"/>
      <c r="M151" s="649"/>
    </row>
    <row r="152" spans="1:13" s="469" customFormat="1" ht="10.5" customHeight="1">
      <c r="A152" s="649"/>
      <c r="B152" s="649"/>
      <c r="C152" s="649"/>
      <c r="D152" s="649"/>
      <c r="E152" s="649"/>
      <c r="F152" s="649"/>
      <c r="G152" s="649"/>
      <c r="H152" s="649"/>
      <c r="I152" s="649"/>
      <c r="J152" s="649"/>
      <c r="K152" s="649"/>
      <c r="L152" s="649"/>
      <c r="M152" s="649"/>
    </row>
    <row r="153" spans="1:13" s="469" customFormat="1" ht="10.5" customHeight="1">
      <c r="A153" s="649"/>
      <c r="B153" s="649"/>
      <c r="C153" s="649"/>
      <c r="D153" s="649"/>
      <c r="E153" s="649"/>
      <c r="F153" s="649"/>
      <c r="G153" s="649"/>
      <c r="H153" s="649"/>
      <c r="I153" s="649"/>
      <c r="J153" s="649"/>
      <c r="K153" s="649"/>
      <c r="L153" s="649"/>
      <c r="M153" s="649"/>
    </row>
    <row r="154" spans="1:13" s="469" customFormat="1" ht="10.5" customHeight="1">
      <c r="A154" s="649"/>
      <c r="B154" s="649"/>
      <c r="C154" s="649"/>
      <c r="D154" s="649"/>
      <c r="E154" s="649"/>
      <c r="F154" s="649"/>
      <c r="G154" s="649"/>
      <c r="H154" s="649"/>
      <c r="I154" s="649"/>
      <c r="J154" s="649"/>
      <c r="K154" s="649"/>
      <c r="L154" s="649"/>
      <c r="M154" s="649"/>
    </row>
    <row r="155" spans="1:13" s="469" customFormat="1" ht="10.5" customHeight="1">
      <c r="A155" s="649"/>
      <c r="B155" s="649"/>
      <c r="C155" s="649"/>
      <c r="D155" s="649"/>
      <c r="E155" s="649"/>
      <c r="F155" s="649"/>
      <c r="G155" s="649"/>
      <c r="H155" s="649"/>
      <c r="I155" s="649"/>
      <c r="J155" s="649"/>
      <c r="K155" s="649"/>
      <c r="L155" s="649"/>
      <c r="M155" s="649"/>
    </row>
    <row r="156" spans="1:13" s="469" customFormat="1" ht="10.5" customHeight="1">
      <c r="A156" s="649"/>
      <c r="B156" s="649"/>
      <c r="C156" s="649"/>
      <c r="D156" s="649"/>
      <c r="E156" s="649"/>
      <c r="F156" s="649"/>
      <c r="G156" s="649"/>
      <c r="H156" s="649"/>
      <c r="I156" s="649"/>
      <c r="J156" s="649"/>
      <c r="K156" s="649"/>
      <c r="L156" s="649"/>
      <c r="M156" s="649"/>
    </row>
    <row r="157" spans="1:13" s="469" customFormat="1" ht="10.5" customHeight="1">
      <c r="A157" s="649"/>
      <c r="B157" s="649"/>
      <c r="C157" s="649"/>
      <c r="D157" s="649"/>
      <c r="E157" s="649"/>
      <c r="F157" s="649"/>
      <c r="G157" s="649"/>
      <c r="H157" s="649"/>
      <c r="I157" s="649"/>
      <c r="J157" s="649"/>
      <c r="K157" s="649"/>
      <c r="L157" s="649"/>
      <c r="M157" s="649"/>
    </row>
    <row r="158" spans="1:13" s="469" customFormat="1" ht="10.5" customHeight="1">
      <c r="A158" s="649"/>
      <c r="B158" s="649"/>
      <c r="C158" s="649"/>
      <c r="D158" s="649"/>
      <c r="E158" s="649"/>
      <c r="F158" s="649"/>
      <c r="G158" s="649"/>
      <c r="H158" s="649"/>
      <c r="I158" s="649"/>
      <c r="J158" s="649"/>
      <c r="K158" s="649"/>
      <c r="L158" s="649"/>
      <c r="M158" s="649"/>
    </row>
    <row r="159" spans="1:13" s="469" customFormat="1" ht="10.5" customHeight="1">
      <c r="A159" s="649"/>
      <c r="B159" s="649"/>
      <c r="C159" s="649"/>
      <c r="D159" s="649"/>
      <c r="E159" s="649"/>
      <c r="F159" s="649"/>
      <c r="G159" s="649"/>
      <c r="H159" s="649"/>
      <c r="I159" s="649"/>
      <c r="J159" s="649"/>
      <c r="K159" s="649"/>
      <c r="L159" s="649"/>
      <c r="M159" s="649"/>
    </row>
    <row r="160" spans="1:13" s="469" customFormat="1" ht="10.5" customHeight="1">
      <c r="A160" s="649"/>
      <c r="B160" s="649"/>
      <c r="C160" s="649"/>
      <c r="D160" s="649"/>
      <c r="E160" s="649"/>
      <c r="F160" s="649"/>
      <c r="G160" s="649"/>
      <c r="H160" s="649"/>
      <c r="I160" s="649"/>
      <c r="J160" s="649"/>
      <c r="K160" s="649"/>
      <c r="L160" s="649"/>
      <c r="M160" s="649"/>
    </row>
    <row r="161" spans="1:13" s="469" customFormat="1" ht="10.5" customHeight="1">
      <c r="A161" s="649"/>
      <c r="B161" s="649"/>
      <c r="C161" s="649"/>
      <c r="D161" s="649"/>
      <c r="E161" s="649"/>
      <c r="F161" s="649"/>
      <c r="G161" s="649"/>
      <c r="H161" s="649"/>
      <c r="I161" s="649"/>
      <c r="J161" s="649"/>
      <c r="K161" s="649"/>
      <c r="L161" s="649"/>
      <c r="M161" s="649"/>
    </row>
    <row r="162" spans="1:13" s="469" customFormat="1" ht="10.5" customHeight="1">
      <c r="A162" s="649"/>
      <c r="B162" s="649"/>
      <c r="C162" s="649"/>
      <c r="D162" s="649"/>
      <c r="E162" s="649"/>
      <c r="F162" s="649"/>
      <c r="G162" s="649"/>
      <c r="H162" s="649"/>
      <c r="I162" s="649"/>
      <c r="J162" s="649"/>
      <c r="K162" s="649"/>
      <c r="L162" s="649"/>
      <c r="M162" s="649"/>
    </row>
    <row r="163" spans="1:13" s="469" customFormat="1" ht="10.5" customHeight="1">
      <c r="A163" s="649"/>
      <c r="B163" s="649"/>
      <c r="C163" s="649"/>
      <c r="D163" s="649"/>
      <c r="E163" s="649"/>
      <c r="F163" s="649"/>
      <c r="G163" s="649"/>
      <c r="H163" s="649"/>
      <c r="I163" s="649"/>
      <c r="J163" s="649"/>
      <c r="K163" s="649"/>
      <c r="L163" s="649"/>
      <c r="M163" s="649"/>
    </row>
    <row r="164" spans="1:13" s="469" customFormat="1" ht="8.25">
      <c r="A164" s="649"/>
      <c r="B164" s="649"/>
      <c r="C164" s="649"/>
      <c r="D164" s="649"/>
      <c r="E164" s="649"/>
      <c r="F164" s="649"/>
      <c r="G164" s="649"/>
      <c r="H164" s="649"/>
      <c r="I164" s="649"/>
      <c r="J164" s="649"/>
      <c r="K164" s="649"/>
      <c r="L164" s="649"/>
      <c r="M164" s="649"/>
    </row>
    <row r="165" spans="1:13" s="469" customFormat="1" ht="8.25">
      <c r="A165" s="649"/>
      <c r="B165" s="649"/>
      <c r="C165" s="649"/>
      <c r="D165" s="649"/>
      <c r="E165" s="649"/>
      <c r="F165" s="649"/>
      <c r="G165" s="649"/>
      <c r="H165" s="649"/>
      <c r="I165" s="649"/>
      <c r="J165" s="649"/>
      <c r="K165" s="649"/>
      <c r="L165" s="649"/>
      <c r="M165" s="649"/>
    </row>
    <row r="166" spans="1:13" s="469" customFormat="1" ht="8.25">
      <c r="A166" s="649"/>
      <c r="B166" s="649"/>
      <c r="C166" s="649"/>
      <c r="D166" s="649"/>
      <c r="E166" s="649"/>
      <c r="F166" s="649"/>
      <c r="G166" s="649"/>
      <c r="H166" s="649"/>
      <c r="I166" s="649"/>
      <c r="J166" s="649"/>
      <c r="K166" s="649"/>
      <c r="L166" s="649"/>
      <c r="M166" s="649"/>
    </row>
    <row r="167" spans="1:13" s="469" customFormat="1" ht="8.25">
      <c r="A167" s="649"/>
      <c r="B167" s="649"/>
      <c r="C167" s="649"/>
      <c r="D167" s="649"/>
      <c r="E167" s="649"/>
      <c r="F167" s="649"/>
      <c r="G167" s="649"/>
      <c r="H167" s="649"/>
      <c r="I167" s="649"/>
      <c r="J167" s="649"/>
      <c r="K167" s="649"/>
      <c r="L167" s="649"/>
      <c r="M167" s="649"/>
    </row>
    <row r="168" spans="1:13" s="469" customFormat="1" ht="8.25">
      <c r="A168" s="649"/>
      <c r="B168" s="649"/>
      <c r="C168" s="649"/>
      <c r="D168" s="649"/>
      <c r="E168" s="649"/>
      <c r="F168" s="649"/>
      <c r="G168" s="649"/>
      <c r="H168" s="649"/>
      <c r="I168" s="649"/>
      <c r="J168" s="649"/>
      <c r="K168" s="649"/>
      <c r="L168" s="649"/>
      <c r="M168" s="649"/>
    </row>
    <row r="169" spans="1:13" s="469" customFormat="1" ht="8.25">
      <c r="A169" s="649"/>
      <c r="B169" s="649"/>
      <c r="C169" s="649"/>
      <c r="D169" s="649"/>
      <c r="E169" s="649"/>
      <c r="F169" s="649"/>
      <c r="G169" s="649"/>
      <c r="H169" s="649"/>
      <c r="I169" s="649"/>
      <c r="J169" s="649"/>
      <c r="K169" s="649"/>
      <c r="L169" s="649"/>
      <c r="M169" s="649"/>
    </row>
    <row r="170" spans="1:13" s="469" customFormat="1" ht="8.25">
      <c r="A170" s="649"/>
      <c r="B170" s="649"/>
      <c r="C170" s="649"/>
      <c r="D170" s="649"/>
      <c r="E170" s="649"/>
      <c r="F170" s="649"/>
      <c r="G170" s="649"/>
      <c r="H170" s="649"/>
      <c r="I170" s="649"/>
      <c r="J170" s="649"/>
      <c r="K170" s="649"/>
      <c r="L170" s="649"/>
      <c r="M170" s="649"/>
    </row>
    <row r="171" spans="1:13" s="469" customFormat="1" ht="8.25">
      <c r="A171" s="649"/>
      <c r="B171" s="649"/>
      <c r="C171" s="649"/>
      <c r="D171" s="649"/>
      <c r="E171" s="649"/>
      <c r="F171" s="649"/>
      <c r="G171" s="649"/>
      <c r="H171" s="649"/>
      <c r="I171" s="649"/>
      <c r="J171" s="649"/>
      <c r="K171" s="649"/>
      <c r="L171" s="649"/>
      <c r="M171" s="649"/>
    </row>
    <row r="172" spans="1:13" s="469" customFormat="1" ht="8.25">
      <c r="A172" s="649"/>
      <c r="B172" s="649"/>
      <c r="C172" s="649"/>
      <c r="D172" s="649"/>
      <c r="E172" s="649"/>
      <c r="F172" s="649"/>
      <c r="G172" s="649"/>
      <c r="H172" s="649"/>
      <c r="I172" s="649"/>
      <c r="J172" s="649"/>
      <c r="K172" s="649"/>
      <c r="L172" s="649"/>
      <c r="M172" s="649"/>
    </row>
    <row r="173" spans="1:13" s="469" customFormat="1" ht="8.25">
      <c r="A173" s="649"/>
      <c r="B173" s="649"/>
      <c r="C173" s="649"/>
      <c r="D173" s="649"/>
      <c r="E173" s="649"/>
      <c r="F173" s="649"/>
      <c r="G173" s="649"/>
      <c r="H173" s="649"/>
      <c r="I173" s="649"/>
      <c r="J173" s="649"/>
      <c r="K173" s="649"/>
      <c r="L173" s="649"/>
      <c r="M173" s="649"/>
    </row>
    <row r="174" spans="1:13" s="469" customFormat="1" ht="8.25">
      <c r="A174" s="649"/>
      <c r="B174" s="649"/>
      <c r="C174" s="649"/>
      <c r="D174" s="649"/>
      <c r="E174" s="649"/>
      <c r="F174" s="649"/>
      <c r="G174" s="649"/>
      <c r="H174" s="649"/>
      <c r="I174" s="649"/>
      <c r="J174" s="649"/>
      <c r="K174" s="649"/>
      <c r="L174" s="649"/>
      <c r="M174" s="649"/>
    </row>
    <row r="175" spans="1:13" s="469" customFormat="1" ht="8.25">
      <c r="A175" s="649"/>
      <c r="B175" s="649"/>
      <c r="C175" s="649"/>
      <c r="D175" s="649"/>
      <c r="E175" s="649"/>
      <c r="F175" s="649"/>
      <c r="G175" s="649"/>
      <c r="H175" s="649"/>
      <c r="I175" s="649"/>
      <c r="J175" s="649"/>
      <c r="K175" s="649"/>
      <c r="L175" s="649"/>
      <c r="M175" s="649"/>
    </row>
    <row r="176" spans="1:13" s="469" customFormat="1" ht="8.25">
      <c r="A176" s="649"/>
      <c r="B176" s="649"/>
      <c r="C176" s="649"/>
      <c r="D176" s="649"/>
      <c r="E176" s="649"/>
      <c r="F176" s="649"/>
      <c r="G176" s="649"/>
      <c r="H176" s="649"/>
      <c r="I176" s="649"/>
      <c r="J176" s="649"/>
      <c r="K176" s="649"/>
      <c r="L176" s="649"/>
      <c r="M176" s="649"/>
    </row>
    <row r="177" spans="1:13" s="469" customFormat="1" ht="8.25">
      <c r="A177" s="649"/>
      <c r="B177" s="649"/>
      <c r="C177" s="649"/>
      <c r="D177" s="649"/>
      <c r="E177" s="649"/>
      <c r="F177" s="649"/>
      <c r="G177" s="649"/>
      <c r="H177" s="649"/>
      <c r="I177" s="649"/>
      <c r="J177" s="649"/>
      <c r="K177" s="649"/>
      <c r="L177" s="649"/>
      <c r="M177" s="649"/>
    </row>
    <row r="178" spans="1:13" s="469" customFormat="1" ht="8.25">
      <c r="A178" s="649"/>
      <c r="B178" s="649"/>
      <c r="C178" s="649"/>
      <c r="D178" s="649"/>
      <c r="E178" s="649"/>
      <c r="F178" s="649"/>
      <c r="G178" s="649"/>
      <c r="H178" s="649"/>
      <c r="I178" s="649"/>
      <c r="J178" s="649"/>
      <c r="K178" s="649"/>
      <c r="L178" s="649"/>
      <c r="M178" s="649"/>
    </row>
    <row r="179" spans="1:13" s="469" customFormat="1" ht="8.25">
      <c r="A179" s="649"/>
      <c r="B179" s="649"/>
      <c r="C179" s="649"/>
      <c r="D179" s="649"/>
      <c r="E179" s="649"/>
      <c r="F179" s="649"/>
      <c r="G179" s="649"/>
      <c r="H179" s="649"/>
      <c r="I179" s="649"/>
      <c r="J179" s="649"/>
      <c r="K179" s="649"/>
      <c r="L179" s="649"/>
      <c r="M179" s="649"/>
    </row>
    <row r="180" spans="1:13" s="469" customFormat="1" ht="8.25">
      <c r="A180" s="649"/>
      <c r="B180" s="649"/>
      <c r="C180" s="649"/>
      <c r="D180" s="649"/>
      <c r="E180" s="649"/>
      <c r="F180" s="649"/>
      <c r="G180" s="649"/>
      <c r="H180" s="649"/>
      <c r="I180" s="649"/>
      <c r="J180" s="649"/>
      <c r="K180" s="649"/>
      <c r="L180" s="649"/>
      <c r="M180" s="649"/>
    </row>
    <row r="181" spans="1:13" s="469" customFormat="1" ht="8.25">
      <c r="A181" s="649"/>
      <c r="B181" s="649"/>
      <c r="C181" s="649"/>
      <c r="D181" s="649"/>
      <c r="E181" s="649"/>
      <c r="F181" s="649"/>
      <c r="G181" s="649"/>
      <c r="H181" s="649"/>
      <c r="I181" s="649"/>
      <c r="J181" s="649"/>
      <c r="K181" s="649"/>
      <c r="L181" s="649"/>
      <c r="M181" s="649"/>
    </row>
    <row r="182" spans="1:13" s="469" customFormat="1" ht="8.25">
      <c r="A182" s="649"/>
      <c r="B182" s="649"/>
      <c r="C182" s="649"/>
      <c r="D182" s="649"/>
      <c r="E182" s="649"/>
      <c r="F182" s="649"/>
      <c r="G182" s="649"/>
      <c r="H182" s="649"/>
      <c r="I182" s="649"/>
      <c r="J182" s="649"/>
      <c r="K182" s="649"/>
      <c r="L182" s="649"/>
      <c r="M182" s="649"/>
    </row>
    <row r="183" spans="1:13" s="469" customFormat="1" ht="8.25">
      <c r="A183" s="649"/>
      <c r="B183" s="649"/>
      <c r="C183" s="649"/>
      <c r="D183" s="649"/>
      <c r="E183" s="649"/>
      <c r="F183" s="649"/>
      <c r="G183" s="649"/>
      <c r="H183" s="649"/>
      <c r="I183" s="649"/>
      <c r="J183" s="649"/>
      <c r="K183" s="649"/>
      <c r="L183" s="649"/>
      <c r="M183" s="649"/>
    </row>
    <row r="184" spans="1:13" s="469" customFormat="1" ht="8.25">
      <c r="A184" s="649"/>
      <c r="B184" s="649"/>
      <c r="C184" s="649"/>
      <c r="D184" s="649"/>
      <c r="E184" s="649"/>
      <c r="F184" s="649"/>
      <c r="G184" s="649"/>
      <c r="H184" s="649"/>
      <c r="I184" s="649"/>
      <c r="J184" s="649"/>
      <c r="K184" s="649"/>
      <c r="L184" s="649"/>
      <c r="M184" s="649"/>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K114"/>
  <sheetViews>
    <sheetView showGridLines="0" view="pageBreakPreview" zoomScale="120" zoomScaleNormal="100" zoomScaleSheetLayoutView="120" zoomScalePageLayoutView="160" workbookViewId="0">
      <selection activeCell="D4" sqref="D4"/>
    </sheetView>
  </sheetViews>
  <sheetFormatPr defaultColWidth="9.33203125" defaultRowHeight="9"/>
  <cols>
    <col min="1" max="1" width="28.6640625" style="358" customWidth="1"/>
    <col min="2" max="2" width="22.1640625" style="358" customWidth="1"/>
    <col min="3" max="4" width="17.6640625" style="358" customWidth="1"/>
    <col min="5" max="5" width="15.1640625" style="358" customWidth="1"/>
    <col min="6" max="6" width="13.33203125" style="358" customWidth="1"/>
    <col min="7" max="7" width="6.33203125" style="358" customWidth="1"/>
    <col min="8" max="9" width="9.33203125" style="358"/>
    <col min="10" max="16384" width="9.33203125" style="359"/>
  </cols>
  <sheetData>
    <row r="1" spans="1:11" s="469" customFormat="1" ht="11.25" customHeight="1">
      <c r="A1" s="1010" t="s">
        <v>279</v>
      </c>
      <c r="B1" s="1013" t="s">
        <v>56</v>
      </c>
      <c r="C1" s="1013" t="s">
        <v>439</v>
      </c>
      <c r="D1" s="1013"/>
      <c r="E1" s="1013"/>
      <c r="F1" s="1016"/>
      <c r="G1" s="655"/>
      <c r="H1" s="649"/>
      <c r="I1" s="649"/>
    </row>
    <row r="2" spans="1:11" s="469" customFormat="1" ht="11.25" customHeight="1">
      <c r="A2" s="1011"/>
      <c r="B2" s="1014"/>
      <c r="C2" s="766" t="str">
        <f>+'21. ANEXOII-1'!C3</f>
        <v>DICIEMBRE 2018</v>
      </c>
      <c r="D2" s="767" t="str">
        <f>+'21. ANEXOII-1'!D3</f>
        <v>DICIEMBRE 2017</v>
      </c>
      <c r="E2" s="768">
        <v>2018</v>
      </c>
      <c r="F2" s="769" t="s">
        <v>437</v>
      </c>
      <c r="G2" s="656"/>
      <c r="H2" s="657"/>
      <c r="I2" s="649"/>
    </row>
    <row r="3" spans="1:11" s="469" customFormat="1" ht="11.25" customHeight="1">
      <c r="A3" s="1011"/>
      <c r="B3" s="1014"/>
      <c r="C3" s="770">
        <f>+'8. Max Potencia'!D8</f>
        <v>43451.822916666664</v>
      </c>
      <c r="D3" s="770">
        <f>+'8. Max Potencia'!E8</f>
        <v>43087.822916666664</v>
      </c>
      <c r="E3" s="770">
        <f>+'8. Max Potencia'!G8</f>
        <v>43451.822916666664</v>
      </c>
      <c r="F3" s="771" t="s">
        <v>431</v>
      </c>
      <c r="G3" s="658"/>
      <c r="H3" s="657"/>
      <c r="I3" s="649"/>
    </row>
    <row r="4" spans="1:11" s="469" customFormat="1" ht="11.25" customHeight="1">
      <c r="A4" s="1012"/>
      <c r="B4" s="1015"/>
      <c r="C4" s="772">
        <f>+'8. Max Potencia'!D9</f>
        <v>43451.822916666664</v>
      </c>
      <c r="D4" s="772">
        <f>+'8. Max Potencia'!E9</f>
        <v>43087.822916666664</v>
      </c>
      <c r="E4" s="772">
        <f>+'8. Max Potencia'!G9</f>
        <v>43451.822916666664</v>
      </c>
      <c r="F4" s="773" t="s">
        <v>432</v>
      </c>
      <c r="G4" s="658"/>
      <c r="H4" s="660"/>
      <c r="I4" s="649"/>
    </row>
    <row r="5" spans="1:11" s="469" customFormat="1" ht="10.5" customHeight="1">
      <c r="A5" s="654" t="s">
        <v>102</v>
      </c>
      <c r="B5" s="644" t="s">
        <v>770</v>
      </c>
      <c r="C5" s="652">
        <v>0</v>
      </c>
      <c r="D5" s="652">
        <v>0</v>
      </c>
      <c r="E5" s="652">
        <v>0</v>
      </c>
      <c r="F5" s="857" t="str">
        <f t="shared" ref="F5:F36" si="0">+IF(D5=0,"",C5/D5-1)</f>
        <v/>
      </c>
      <c r="G5" s="649"/>
      <c r="H5" s="649"/>
      <c r="I5" s="649"/>
      <c r="J5" s="830"/>
      <c r="K5" s="830"/>
    </row>
    <row r="6" spans="1:11" s="469" customFormat="1" ht="10.5" customHeight="1">
      <c r="A6" s="654"/>
      <c r="B6" s="644" t="s">
        <v>771</v>
      </c>
      <c r="C6" s="652">
        <v>84.311989999999994</v>
      </c>
      <c r="D6" s="652"/>
      <c r="E6" s="652">
        <v>84.311989999999994</v>
      </c>
      <c r="F6" s="857" t="str">
        <f t="shared" si="0"/>
        <v/>
      </c>
      <c r="G6" s="649"/>
      <c r="H6" s="649"/>
      <c r="I6" s="649"/>
      <c r="J6" s="830"/>
      <c r="K6" s="830"/>
    </row>
    <row r="7" spans="1:11" s="469" customFormat="1" ht="10.5" customHeight="1">
      <c r="A7" s="788" t="s">
        <v>363</v>
      </c>
      <c r="B7" s="789"/>
      <c r="C7" s="793">
        <v>84.311989999999994</v>
      </c>
      <c r="D7" s="793">
        <v>0</v>
      </c>
      <c r="E7" s="793">
        <v>84.311989999999994</v>
      </c>
      <c r="F7" s="794" t="str">
        <f t="shared" si="0"/>
        <v/>
      </c>
      <c r="G7" s="649"/>
      <c r="H7" s="649"/>
      <c r="I7" s="649"/>
      <c r="J7" s="830"/>
      <c r="K7" s="830"/>
    </row>
    <row r="8" spans="1:11" s="469" customFormat="1" ht="10.5" customHeight="1">
      <c r="A8" s="654" t="s">
        <v>101</v>
      </c>
      <c r="B8" s="644" t="s">
        <v>80</v>
      </c>
      <c r="C8" s="652">
        <v>53.3857</v>
      </c>
      <c r="D8" s="652">
        <v>62.647910000000003</v>
      </c>
      <c r="E8" s="652">
        <v>53.3857</v>
      </c>
      <c r="F8" s="857">
        <f t="shared" si="0"/>
        <v>-0.14784547481312627</v>
      </c>
      <c r="G8" s="649"/>
    </row>
    <row r="9" spans="1:11" s="469" customFormat="1" ht="10.5" customHeight="1">
      <c r="A9" s="654"/>
      <c r="B9" s="644" t="s">
        <v>82</v>
      </c>
      <c r="C9" s="652">
        <v>3.42049</v>
      </c>
      <c r="D9" s="652">
        <v>23.366589999999999</v>
      </c>
      <c r="E9" s="652">
        <v>3.42049</v>
      </c>
      <c r="F9" s="857">
        <f t="shared" si="0"/>
        <v>-0.85361621015304334</v>
      </c>
      <c r="G9" s="649"/>
    </row>
    <row r="10" spans="1:11" s="469" customFormat="1" ht="10.5" customHeight="1">
      <c r="A10" s="788" t="s">
        <v>364</v>
      </c>
      <c r="B10" s="789"/>
      <c r="C10" s="793">
        <v>56.806190000000001</v>
      </c>
      <c r="D10" s="793">
        <v>86.014499999999998</v>
      </c>
      <c r="E10" s="793">
        <v>56.806190000000001</v>
      </c>
      <c r="F10" s="794">
        <f t="shared" si="0"/>
        <v>-0.33957425782862194</v>
      </c>
      <c r="G10" s="649"/>
    </row>
    <row r="11" spans="1:11" s="469" customFormat="1" ht="10.5" customHeight="1">
      <c r="A11" s="654" t="s">
        <v>91</v>
      </c>
      <c r="B11" s="644" t="s">
        <v>365</v>
      </c>
      <c r="C11" s="652">
        <v>89.527320000000003</v>
      </c>
      <c r="D11" s="652">
        <v>56.129220000000004</v>
      </c>
      <c r="E11" s="652">
        <v>89.527320000000003</v>
      </c>
      <c r="F11" s="857">
        <f t="shared" si="0"/>
        <v>0.5950216304448912</v>
      </c>
      <c r="G11" s="649"/>
      <c r="H11" s="649"/>
      <c r="I11" s="649"/>
      <c r="J11" s="830"/>
      <c r="K11" s="830"/>
    </row>
    <row r="12" spans="1:11" s="469" customFormat="1" ht="10.5" customHeight="1">
      <c r="A12" s="654"/>
      <c r="B12" s="644" t="s">
        <v>366</v>
      </c>
      <c r="C12" s="652">
        <v>129.71377000000001</v>
      </c>
      <c r="D12" s="652">
        <v>129.70477</v>
      </c>
      <c r="E12" s="652">
        <v>129.71377000000001</v>
      </c>
      <c r="F12" s="857">
        <f t="shared" si="0"/>
        <v>6.9388350174115487E-5</v>
      </c>
      <c r="G12" s="649"/>
      <c r="H12" s="649"/>
      <c r="I12" s="649"/>
      <c r="J12" s="830"/>
      <c r="K12" s="830"/>
    </row>
    <row r="13" spans="1:11" s="469" customFormat="1" ht="10.5" customHeight="1">
      <c r="A13" s="654"/>
      <c r="B13" s="644" t="s">
        <v>367</v>
      </c>
      <c r="C13" s="652">
        <v>734.36417000000006</v>
      </c>
      <c r="D13" s="652">
        <v>507.18386999999996</v>
      </c>
      <c r="E13" s="652">
        <v>734.36417000000006</v>
      </c>
      <c r="F13" s="857">
        <f t="shared" si="0"/>
        <v>0.44792493105113951</v>
      </c>
      <c r="G13" s="649"/>
      <c r="H13" s="649"/>
      <c r="I13" s="649"/>
      <c r="J13" s="830"/>
      <c r="K13" s="830"/>
    </row>
    <row r="14" spans="1:11" s="469" customFormat="1" ht="10.5" customHeight="1">
      <c r="A14" s="654"/>
      <c r="B14" s="644" t="s">
        <v>368</v>
      </c>
      <c r="C14" s="652">
        <v>63.899379999999994</v>
      </c>
      <c r="D14" s="652">
        <v>105.46995</v>
      </c>
      <c r="E14" s="652">
        <v>63.899379999999994</v>
      </c>
      <c r="F14" s="857">
        <f t="shared" si="0"/>
        <v>-0.39414610512283366</v>
      </c>
      <c r="G14" s="649"/>
      <c r="H14" s="649"/>
      <c r="I14" s="649"/>
      <c r="J14" s="830"/>
      <c r="K14" s="830"/>
    </row>
    <row r="15" spans="1:11" s="469" customFormat="1" ht="10.5" customHeight="1">
      <c r="A15" s="654"/>
      <c r="B15" s="644" t="s">
        <v>434</v>
      </c>
      <c r="C15" s="652"/>
      <c r="D15" s="652">
        <v>0</v>
      </c>
      <c r="E15" s="652"/>
      <c r="F15" s="857" t="str">
        <f t="shared" si="0"/>
        <v/>
      </c>
      <c r="G15" s="649"/>
      <c r="H15" s="649"/>
      <c r="I15" s="649"/>
      <c r="J15" s="830"/>
      <c r="K15" s="830"/>
    </row>
    <row r="16" spans="1:11" s="469" customFormat="1" ht="10.5" customHeight="1">
      <c r="A16" s="654"/>
      <c r="B16" s="644" t="s">
        <v>369</v>
      </c>
      <c r="C16" s="652">
        <v>0</v>
      </c>
      <c r="D16" s="652">
        <v>0</v>
      </c>
      <c r="E16" s="652">
        <v>0</v>
      </c>
      <c r="F16" s="857" t="str">
        <f t="shared" si="0"/>
        <v/>
      </c>
      <c r="G16" s="649"/>
      <c r="H16" s="649"/>
      <c r="I16" s="649"/>
      <c r="J16" s="830"/>
      <c r="K16" s="830"/>
    </row>
    <row r="17" spans="1:11" s="469" customFormat="1" ht="10.5" customHeight="1">
      <c r="A17" s="654"/>
      <c r="B17" s="644" t="s">
        <v>370</v>
      </c>
      <c r="C17" s="652">
        <v>0</v>
      </c>
      <c r="D17" s="652">
        <v>0</v>
      </c>
      <c r="E17" s="652">
        <v>0</v>
      </c>
      <c r="F17" s="857" t="str">
        <f t="shared" si="0"/>
        <v/>
      </c>
      <c r="G17" s="649"/>
      <c r="H17" s="649"/>
      <c r="I17" s="649"/>
      <c r="J17" s="830"/>
      <c r="K17" s="830"/>
    </row>
    <row r="18" spans="1:11" s="469" customFormat="1" ht="10.5" customHeight="1">
      <c r="A18" s="654"/>
      <c r="B18" s="644" t="s">
        <v>371</v>
      </c>
      <c r="C18" s="652">
        <v>0</v>
      </c>
      <c r="D18" s="652">
        <v>0</v>
      </c>
      <c r="E18" s="652">
        <v>0</v>
      </c>
      <c r="F18" s="857" t="str">
        <f t="shared" si="0"/>
        <v/>
      </c>
      <c r="G18" s="649"/>
      <c r="H18" s="649"/>
      <c r="I18" s="649"/>
      <c r="J18" s="830"/>
      <c r="K18" s="830"/>
    </row>
    <row r="19" spans="1:11" s="469" customFormat="1" ht="10.5" customHeight="1">
      <c r="A19" s="654"/>
      <c r="B19" s="644" t="s">
        <v>776</v>
      </c>
      <c r="C19" s="652">
        <v>0</v>
      </c>
      <c r="D19" s="652">
        <v>0</v>
      </c>
      <c r="E19" s="652">
        <v>0</v>
      </c>
      <c r="F19" s="857" t="str">
        <f t="shared" si="0"/>
        <v/>
      </c>
      <c r="G19" s="649"/>
      <c r="H19" s="649"/>
      <c r="I19" s="649"/>
      <c r="J19" s="830"/>
      <c r="K19" s="830"/>
    </row>
    <row r="20" spans="1:11" s="469" customFormat="1" ht="10.5" customHeight="1">
      <c r="A20" s="788" t="s">
        <v>372</v>
      </c>
      <c r="B20" s="789"/>
      <c r="C20" s="793">
        <v>1017.50464</v>
      </c>
      <c r="D20" s="793">
        <v>798.48780999999997</v>
      </c>
      <c r="E20" s="793">
        <v>1017.50464</v>
      </c>
      <c r="F20" s="794">
        <f t="shared" si="0"/>
        <v>0.27428950981731326</v>
      </c>
      <c r="G20" s="649"/>
      <c r="H20" s="649"/>
      <c r="I20" s="649"/>
      <c r="J20" s="830"/>
      <c r="K20" s="830"/>
    </row>
    <row r="21" spans="1:11" s="469" customFormat="1" ht="10.5" customHeight="1">
      <c r="A21" s="654" t="s">
        <v>266</v>
      </c>
      <c r="B21" s="644" t="s">
        <v>373</v>
      </c>
      <c r="C21" s="652">
        <v>541.04791</v>
      </c>
      <c r="D21" s="652">
        <v>548.05982000000006</v>
      </c>
      <c r="E21" s="652">
        <v>541.04791</v>
      </c>
      <c r="F21" s="857">
        <f t="shared" si="0"/>
        <v>-1.2794059597363017E-2</v>
      </c>
      <c r="G21" s="649"/>
      <c r="H21" s="649"/>
      <c r="I21" s="649"/>
      <c r="J21" s="830"/>
      <c r="K21" s="830"/>
    </row>
    <row r="22" spans="1:11" s="469" customFormat="1" ht="10.5" customHeight="1">
      <c r="A22" s="788" t="s">
        <v>374</v>
      </c>
      <c r="B22" s="789"/>
      <c r="C22" s="793">
        <v>541.04791</v>
      </c>
      <c r="D22" s="793">
        <v>548.05982000000006</v>
      </c>
      <c r="E22" s="793">
        <v>541.04791</v>
      </c>
      <c r="F22" s="794">
        <f t="shared" si="0"/>
        <v>-1.2794059597363017E-2</v>
      </c>
      <c r="G22" s="649"/>
      <c r="H22" s="649"/>
      <c r="I22" s="649"/>
      <c r="J22" s="830"/>
      <c r="K22" s="830"/>
    </row>
    <row r="23" spans="1:11" s="469" customFormat="1" ht="10.5" customHeight="1">
      <c r="A23" s="654" t="s">
        <v>112</v>
      </c>
      <c r="B23" s="644" t="s">
        <v>68</v>
      </c>
      <c r="C23" s="652">
        <v>4.4050000000000002</v>
      </c>
      <c r="D23" s="652">
        <v>6.56175</v>
      </c>
      <c r="E23" s="652">
        <v>4.4050000000000002</v>
      </c>
      <c r="F23" s="857">
        <f t="shared" si="0"/>
        <v>-0.32868518306854111</v>
      </c>
      <c r="G23" s="649"/>
      <c r="H23" s="649"/>
      <c r="I23" s="649"/>
      <c r="J23" s="830"/>
      <c r="K23" s="830"/>
    </row>
    <row r="24" spans="1:11" s="469" customFormat="1" ht="10.5" customHeight="1">
      <c r="A24" s="654"/>
      <c r="B24" s="644" t="s">
        <v>780</v>
      </c>
      <c r="C24" s="652">
        <v>7.4499599999999999</v>
      </c>
      <c r="D24" s="652"/>
      <c r="E24" s="652">
        <v>7.4499599999999999</v>
      </c>
      <c r="F24" s="857" t="str">
        <f t="shared" si="0"/>
        <v/>
      </c>
      <c r="G24" s="649"/>
      <c r="H24" s="649"/>
      <c r="I24" s="649"/>
      <c r="J24" s="830"/>
      <c r="K24" s="830"/>
    </row>
    <row r="25" spans="1:11" s="469" customFormat="1" ht="10.5" customHeight="1">
      <c r="A25" s="654"/>
      <c r="B25" s="644" t="s">
        <v>781</v>
      </c>
      <c r="C25" s="652">
        <v>12.12335</v>
      </c>
      <c r="D25" s="652"/>
      <c r="E25" s="652">
        <v>12.12335</v>
      </c>
      <c r="F25" s="857" t="str">
        <f t="shared" si="0"/>
        <v/>
      </c>
      <c r="G25" s="649"/>
      <c r="H25" s="649"/>
      <c r="I25" s="649"/>
      <c r="J25" s="830"/>
      <c r="K25" s="830"/>
    </row>
    <row r="26" spans="1:11" s="469" customFormat="1" ht="10.5" customHeight="1">
      <c r="A26" s="654"/>
      <c r="B26" s="644" t="s">
        <v>782</v>
      </c>
      <c r="C26" s="652">
        <v>10.800599999999999</v>
      </c>
      <c r="D26" s="652"/>
      <c r="E26" s="652">
        <v>10.800599999999999</v>
      </c>
      <c r="F26" s="857" t="str">
        <f t="shared" si="0"/>
        <v/>
      </c>
      <c r="G26" s="649"/>
      <c r="H26" s="649"/>
      <c r="I26" s="649"/>
      <c r="J26" s="830"/>
      <c r="K26" s="830"/>
    </row>
    <row r="27" spans="1:11" s="469" customFormat="1" ht="10.5" customHeight="1">
      <c r="A27" s="788" t="s">
        <v>375</v>
      </c>
      <c r="B27" s="789"/>
      <c r="C27" s="793">
        <v>34.778909999999996</v>
      </c>
      <c r="D27" s="793">
        <v>6.56175</v>
      </c>
      <c r="E27" s="793">
        <v>34.778909999999996</v>
      </c>
      <c r="F27" s="794">
        <f t="shared" si="0"/>
        <v>4.3002491713338662</v>
      </c>
      <c r="G27" s="649"/>
      <c r="H27" s="649"/>
      <c r="I27" s="649"/>
      <c r="J27" s="830"/>
      <c r="K27" s="830"/>
    </row>
    <row r="28" spans="1:11" s="469" customFormat="1" ht="10.5" customHeight="1">
      <c r="A28" s="654" t="s">
        <v>115</v>
      </c>
      <c r="B28" s="644" t="s">
        <v>258</v>
      </c>
      <c r="C28" s="652">
        <v>0</v>
      </c>
      <c r="D28" s="652">
        <v>0</v>
      </c>
      <c r="E28" s="652">
        <v>0</v>
      </c>
      <c r="F28" s="857" t="str">
        <f t="shared" si="0"/>
        <v/>
      </c>
      <c r="G28" s="649"/>
      <c r="H28" s="649"/>
      <c r="I28" s="649"/>
      <c r="J28" s="830"/>
      <c r="K28" s="830"/>
    </row>
    <row r="29" spans="1:11" s="469" customFormat="1" ht="10.5" customHeight="1">
      <c r="A29" s="788" t="s">
        <v>376</v>
      </c>
      <c r="B29" s="789"/>
      <c r="C29" s="793">
        <v>0</v>
      </c>
      <c r="D29" s="793">
        <v>0</v>
      </c>
      <c r="E29" s="793">
        <v>0</v>
      </c>
      <c r="F29" s="794" t="str">
        <f t="shared" si="0"/>
        <v/>
      </c>
      <c r="G29" s="649"/>
      <c r="H29" s="649"/>
      <c r="I29" s="649"/>
      <c r="J29" s="830"/>
      <c r="K29" s="830"/>
    </row>
    <row r="30" spans="1:11" s="469" customFormat="1" ht="10.5" customHeight="1">
      <c r="A30" s="654" t="s">
        <v>116</v>
      </c>
      <c r="B30" s="644" t="s">
        <v>86</v>
      </c>
      <c r="C30" s="652">
        <v>0</v>
      </c>
      <c r="D30" s="652">
        <v>0</v>
      </c>
      <c r="E30" s="652">
        <v>0</v>
      </c>
      <c r="F30" s="857" t="str">
        <f t="shared" si="0"/>
        <v/>
      </c>
      <c r="G30" s="649"/>
      <c r="H30" s="649"/>
      <c r="I30" s="649"/>
      <c r="J30" s="830"/>
      <c r="K30" s="830"/>
    </row>
    <row r="31" spans="1:11" s="469" customFormat="1" ht="10.5" customHeight="1">
      <c r="A31" s="788" t="s">
        <v>377</v>
      </c>
      <c r="B31" s="789"/>
      <c r="C31" s="793">
        <v>0</v>
      </c>
      <c r="D31" s="793">
        <v>0</v>
      </c>
      <c r="E31" s="793">
        <v>0</v>
      </c>
      <c r="F31" s="794" t="str">
        <f t="shared" si="0"/>
        <v/>
      </c>
      <c r="G31" s="649"/>
      <c r="H31" s="649"/>
      <c r="I31" s="649"/>
      <c r="J31" s="830"/>
      <c r="K31" s="830"/>
    </row>
    <row r="32" spans="1:11" s="469" customFormat="1" ht="10.5" customHeight="1">
      <c r="A32" s="654" t="s">
        <v>120</v>
      </c>
      <c r="B32" s="644" t="s">
        <v>76</v>
      </c>
      <c r="C32" s="652">
        <v>2.4</v>
      </c>
      <c r="D32" s="652">
        <v>3.6</v>
      </c>
      <c r="E32" s="652">
        <v>2.4</v>
      </c>
      <c r="F32" s="857">
        <f t="shared" si="0"/>
        <v>-0.33333333333333337</v>
      </c>
      <c r="G32" s="649"/>
      <c r="H32" s="649"/>
      <c r="I32" s="649"/>
      <c r="J32" s="830"/>
      <c r="K32" s="830"/>
    </row>
    <row r="33" spans="1:11" s="469" customFormat="1" ht="10.5" customHeight="1">
      <c r="A33" s="788" t="s">
        <v>378</v>
      </c>
      <c r="B33" s="789"/>
      <c r="C33" s="793">
        <v>2.4</v>
      </c>
      <c r="D33" s="793">
        <v>3.6</v>
      </c>
      <c r="E33" s="793">
        <v>2.4</v>
      </c>
      <c r="F33" s="794">
        <f t="shared" si="0"/>
        <v>-0.33333333333333337</v>
      </c>
      <c r="G33" s="649"/>
      <c r="H33" s="649"/>
      <c r="I33" s="649"/>
      <c r="J33" s="830"/>
      <c r="K33" s="830"/>
    </row>
    <row r="34" spans="1:11" s="469" customFormat="1" ht="10.5" customHeight="1">
      <c r="A34" s="654" t="s">
        <v>107</v>
      </c>
      <c r="B34" s="644" t="s">
        <v>379</v>
      </c>
      <c r="C34" s="652">
        <v>17.88</v>
      </c>
      <c r="D34" s="652">
        <v>17.423999999999999</v>
      </c>
      <c r="E34" s="652">
        <v>17.88</v>
      </c>
      <c r="F34" s="857">
        <f t="shared" si="0"/>
        <v>2.6170798898071501E-2</v>
      </c>
      <c r="G34" s="649"/>
      <c r="H34" s="649"/>
      <c r="I34" s="649"/>
      <c r="J34" s="830"/>
      <c r="K34" s="830"/>
    </row>
    <row r="35" spans="1:11" s="469" customFormat="1" ht="10.5" customHeight="1">
      <c r="A35" s="788" t="s">
        <v>380</v>
      </c>
      <c r="B35" s="789"/>
      <c r="C35" s="793">
        <v>17.88</v>
      </c>
      <c r="D35" s="793">
        <v>17.423999999999999</v>
      </c>
      <c r="E35" s="793">
        <v>17.88</v>
      </c>
      <c r="F35" s="794">
        <f t="shared" si="0"/>
        <v>2.6170798898071501E-2</v>
      </c>
      <c r="G35" s="649"/>
      <c r="H35" s="649"/>
      <c r="I35" s="649"/>
      <c r="J35" s="830"/>
      <c r="K35" s="830"/>
    </row>
    <row r="36" spans="1:11" s="469" customFormat="1" ht="18" customHeight="1">
      <c r="A36" s="867" t="s">
        <v>777</v>
      </c>
      <c r="B36" s="858" t="s">
        <v>381</v>
      </c>
      <c r="C36" s="652">
        <v>18.877369999999999</v>
      </c>
      <c r="D36" s="652">
        <v>19.46772</v>
      </c>
      <c r="E36" s="652">
        <v>18.877369999999999</v>
      </c>
      <c r="F36" s="857">
        <f t="shared" si="0"/>
        <v>-3.0324557780777694E-2</v>
      </c>
      <c r="G36" s="649"/>
      <c r="H36" s="649"/>
      <c r="I36" s="649"/>
      <c r="J36" s="830"/>
      <c r="K36" s="830"/>
    </row>
    <row r="37" spans="1:11" s="469" customFormat="1" ht="10.5" customHeight="1">
      <c r="A37" s="788" t="s">
        <v>716</v>
      </c>
      <c r="B37" s="789"/>
      <c r="C37" s="793">
        <v>18.877369999999999</v>
      </c>
      <c r="D37" s="793">
        <v>19.46772</v>
      </c>
      <c r="E37" s="793">
        <v>18.877369999999999</v>
      </c>
      <c r="F37" s="794">
        <f t="shared" ref="F37:F70" si="1">+IF(D37=0,"",C37/D37-1)</f>
        <v>-3.0324557780777694E-2</v>
      </c>
      <c r="G37" s="649"/>
      <c r="H37" s="649"/>
      <c r="I37" s="649"/>
      <c r="J37" s="830"/>
      <c r="K37" s="830"/>
    </row>
    <row r="38" spans="1:11" s="469" customFormat="1" ht="10.5" customHeight="1">
      <c r="A38" s="654" t="s">
        <v>267</v>
      </c>
      <c r="B38" s="644" t="s">
        <v>61</v>
      </c>
      <c r="C38" s="652">
        <v>18.104219999999998</v>
      </c>
      <c r="D38" s="652">
        <v>17.134370000000001</v>
      </c>
      <c r="E38" s="652">
        <v>18.104219999999998</v>
      </c>
      <c r="F38" s="857">
        <f t="shared" si="1"/>
        <v>5.6602606340355521E-2</v>
      </c>
      <c r="G38" s="649"/>
      <c r="H38" s="649"/>
      <c r="I38" s="649"/>
      <c r="J38" s="830"/>
      <c r="K38" s="830"/>
    </row>
    <row r="39" spans="1:11" s="469" customFormat="1" ht="10.5" customHeight="1">
      <c r="A39" s="788" t="s">
        <v>382</v>
      </c>
      <c r="B39" s="789"/>
      <c r="C39" s="793">
        <v>18.104219999999998</v>
      </c>
      <c r="D39" s="793">
        <v>17.134370000000001</v>
      </c>
      <c r="E39" s="793">
        <v>18.104219999999998</v>
      </c>
      <c r="F39" s="794">
        <f t="shared" si="1"/>
        <v>5.6602606340355521E-2</v>
      </c>
      <c r="G39" s="649"/>
      <c r="H39" s="649"/>
      <c r="I39" s="649"/>
      <c r="J39" s="830"/>
      <c r="K39" s="830"/>
    </row>
    <row r="40" spans="1:11" s="469" customFormat="1" ht="10.5" customHeight="1">
      <c r="A40" s="654" t="s">
        <v>566</v>
      </c>
      <c r="B40" s="644" t="s">
        <v>790</v>
      </c>
      <c r="C40" s="652">
        <v>0.90700000000000003</v>
      </c>
      <c r="D40" s="652"/>
      <c r="E40" s="652">
        <v>0.90700000000000003</v>
      </c>
      <c r="F40" s="857" t="str">
        <f t="shared" si="1"/>
        <v/>
      </c>
      <c r="G40" s="649"/>
      <c r="H40" s="649"/>
      <c r="I40" s="649"/>
      <c r="J40" s="830"/>
      <c r="K40" s="830"/>
    </row>
    <row r="41" spans="1:11" s="469" customFormat="1" ht="10.5" customHeight="1">
      <c r="A41" s="788" t="s">
        <v>572</v>
      </c>
      <c r="B41" s="789"/>
      <c r="C41" s="793">
        <v>0.90700000000000003</v>
      </c>
      <c r="D41" s="793"/>
      <c r="E41" s="793">
        <v>0.90700000000000003</v>
      </c>
      <c r="F41" s="794" t="str">
        <f t="shared" si="1"/>
        <v/>
      </c>
      <c r="G41" s="649"/>
      <c r="H41" s="649"/>
      <c r="I41" s="649"/>
      <c r="J41" s="830"/>
      <c r="K41" s="830"/>
    </row>
    <row r="42" spans="1:11" s="469" customFormat="1" ht="10.5" customHeight="1">
      <c r="A42" s="654" t="s">
        <v>122</v>
      </c>
      <c r="B42" s="651" t="s">
        <v>383</v>
      </c>
      <c r="C42" s="652">
        <v>0</v>
      </c>
      <c r="D42" s="652">
        <v>0</v>
      </c>
      <c r="E42" s="652">
        <v>0</v>
      </c>
      <c r="F42" s="857" t="str">
        <f t="shared" si="1"/>
        <v/>
      </c>
      <c r="G42" s="649"/>
      <c r="H42" s="649"/>
      <c r="I42" s="649"/>
      <c r="J42" s="830"/>
      <c r="K42" s="830"/>
    </row>
    <row r="43" spans="1:11" s="469" customFormat="1" ht="10.5" customHeight="1">
      <c r="A43" s="654"/>
      <c r="B43" s="644" t="s">
        <v>384</v>
      </c>
      <c r="C43" s="652">
        <v>0</v>
      </c>
      <c r="D43" s="652">
        <v>0</v>
      </c>
      <c r="E43" s="652">
        <v>0</v>
      </c>
      <c r="F43" s="857" t="str">
        <f t="shared" si="1"/>
        <v/>
      </c>
      <c r="G43" s="649"/>
      <c r="H43" s="649"/>
      <c r="I43" s="649"/>
      <c r="J43" s="830"/>
      <c r="K43" s="830"/>
    </row>
    <row r="44" spans="1:11" s="469" customFormat="1" ht="10.5" customHeight="1">
      <c r="A44" s="788" t="s">
        <v>385</v>
      </c>
      <c r="B44" s="789"/>
      <c r="C44" s="793">
        <v>0</v>
      </c>
      <c r="D44" s="793">
        <v>0</v>
      </c>
      <c r="E44" s="793">
        <v>0</v>
      </c>
      <c r="F44" s="794" t="str">
        <f t="shared" si="1"/>
        <v/>
      </c>
      <c r="G44" s="649"/>
      <c r="H44" s="649"/>
      <c r="I44" s="649"/>
      <c r="J44" s="830"/>
      <c r="K44" s="830"/>
    </row>
    <row r="45" spans="1:11" s="469" customFormat="1" ht="10.5" customHeight="1">
      <c r="A45" s="654" t="s">
        <v>559</v>
      </c>
      <c r="B45" s="644" t="s">
        <v>386</v>
      </c>
      <c r="C45" s="652">
        <v>421.22234000000003</v>
      </c>
      <c r="D45" s="652">
        <v>0</v>
      </c>
      <c r="E45" s="652">
        <v>421.22234000000003</v>
      </c>
      <c r="F45" s="857" t="str">
        <f t="shared" si="1"/>
        <v/>
      </c>
      <c r="G45" s="649"/>
      <c r="H45" s="649"/>
      <c r="I45" s="649"/>
      <c r="J45" s="830"/>
      <c r="K45" s="830"/>
    </row>
    <row r="46" spans="1:11" s="469" customFormat="1" ht="10.5" customHeight="1">
      <c r="A46" s="654"/>
      <c r="B46" s="644" t="s">
        <v>387</v>
      </c>
      <c r="C46" s="652">
        <v>0</v>
      </c>
      <c r="D46" s="652">
        <v>0</v>
      </c>
      <c r="E46" s="652">
        <v>0</v>
      </c>
      <c r="F46" s="857" t="str">
        <f t="shared" si="1"/>
        <v/>
      </c>
      <c r="G46" s="649"/>
      <c r="H46" s="649"/>
      <c r="I46" s="649"/>
      <c r="J46" s="830"/>
      <c r="K46" s="830"/>
    </row>
    <row r="47" spans="1:11" s="469" customFormat="1" ht="10.5" customHeight="1">
      <c r="A47" s="654"/>
      <c r="B47" s="651" t="s">
        <v>768</v>
      </c>
      <c r="C47" s="652">
        <v>325.00319000000002</v>
      </c>
      <c r="D47" s="652">
        <v>398.60511000000002</v>
      </c>
      <c r="E47" s="652">
        <v>325.00319000000002</v>
      </c>
      <c r="F47" s="857">
        <f t="shared" si="1"/>
        <v>-0.18464871160332086</v>
      </c>
      <c r="G47" s="649"/>
      <c r="H47" s="649"/>
      <c r="I47" s="649"/>
      <c r="J47" s="830"/>
      <c r="K47" s="830"/>
    </row>
    <row r="48" spans="1:11" s="469" customFormat="1" ht="10.5" customHeight="1">
      <c r="A48" s="654"/>
      <c r="B48" s="644" t="s">
        <v>388</v>
      </c>
      <c r="C48" s="652">
        <v>4.9887199999999998</v>
      </c>
      <c r="D48" s="652">
        <v>9.2215299999999996</v>
      </c>
      <c r="E48" s="652">
        <v>4.9887199999999998</v>
      </c>
      <c r="F48" s="857">
        <f t="shared" si="1"/>
        <v>-0.45901385128064431</v>
      </c>
      <c r="G48" s="649"/>
      <c r="H48" s="649"/>
      <c r="I48" s="649"/>
      <c r="J48" s="830"/>
      <c r="K48" s="830"/>
    </row>
    <row r="49" spans="1:11" s="469" customFormat="1" ht="10.5" customHeight="1">
      <c r="A49" s="788" t="s">
        <v>389</v>
      </c>
      <c r="B49" s="789"/>
      <c r="C49" s="793">
        <v>751.21424999999999</v>
      </c>
      <c r="D49" s="793">
        <v>407.82664</v>
      </c>
      <c r="E49" s="793">
        <v>751.21424999999999</v>
      </c>
      <c r="F49" s="794">
        <f t="shared" si="1"/>
        <v>0.8419940639483483</v>
      </c>
      <c r="G49" s="649"/>
      <c r="H49" s="649"/>
      <c r="I49" s="649"/>
      <c r="J49" s="830"/>
      <c r="K49" s="830"/>
    </row>
    <row r="50" spans="1:11" s="469" customFormat="1" ht="10.5" customHeight="1">
      <c r="A50" s="654" t="s">
        <v>762</v>
      </c>
      <c r="B50" s="644" t="s">
        <v>773</v>
      </c>
      <c r="C50" s="652">
        <v>90.325099999999992</v>
      </c>
      <c r="D50" s="652">
        <v>90.423689999999993</v>
      </c>
      <c r="E50" s="652">
        <v>90.325099999999992</v>
      </c>
      <c r="F50" s="857">
        <f t="shared" si="1"/>
        <v>-1.0903116207711117E-3</v>
      </c>
      <c r="G50" s="649"/>
      <c r="H50" s="649"/>
      <c r="I50" s="649"/>
      <c r="J50" s="830"/>
      <c r="K50" s="830"/>
    </row>
    <row r="51" spans="1:11" s="469" customFormat="1" ht="10.5" customHeight="1">
      <c r="A51" s="788" t="s">
        <v>789</v>
      </c>
      <c r="B51" s="789"/>
      <c r="C51" s="793">
        <v>90.325099999999992</v>
      </c>
      <c r="D51" s="793">
        <v>90.423689999999993</v>
      </c>
      <c r="E51" s="793">
        <v>90.325099999999992</v>
      </c>
      <c r="F51" s="794">
        <f t="shared" si="1"/>
        <v>-1.0903116207711117E-3</v>
      </c>
      <c r="G51" s="649"/>
      <c r="H51" s="649"/>
      <c r="I51" s="649"/>
      <c r="J51" s="830"/>
      <c r="K51" s="830"/>
    </row>
    <row r="52" spans="1:11" s="469" customFormat="1" ht="10.5" customHeight="1">
      <c r="A52" s="654" t="s">
        <v>121</v>
      </c>
      <c r="B52" s="644" t="s">
        <v>74</v>
      </c>
      <c r="C52" s="652">
        <v>1.5269999999999999</v>
      </c>
      <c r="D52" s="652">
        <v>3.1520000000000001</v>
      </c>
      <c r="E52" s="652">
        <v>1.5269999999999999</v>
      </c>
      <c r="F52" s="857">
        <f t="shared" si="1"/>
        <v>-0.51554568527918787</v>
      </c>
      <c r="G52" s="649"/>
      <c r="H52" s="649"/>
      <c r="I52" s="649"/>
      <c r="J52" s="830"/>
      <c r="K52" s="830"/>
    </row>
    <row r="53" spans="1:11" s="469" customFormat="1" ht="10.5" customHeight="1">
      <c r="A53" s="788" t="s">
        <v>390</v>
      </c>
      <c r="B53" s="789"/>
      <c r="C53" s="793">
        <v>1.5269999999999999</v>
      </c>
      <c r="D53" s="793">
        <v>3.1520000000000001</v>
      </c>
      <c r="E53" s="793">
        <v>1.5269999999999999</v>
      </c>
      <c r="F53" s="794">
        <f t="shared" si="1"/>
        <v>-0.51554568527918787</v>
      </c>
      <c r="G53" s="649"/>
      <c r="H53" s="649"/>
      <c r="I53" s="649"/>
      <c r="J53" s="830"/>
      <c r="K53" s="830"/>
    </row>
    <row r="54" spans="1:11" s="469" customFormat="1" ht="10.5" customHeight="1">
      <c r="A54" s="654" t="s">
        <v>114</v>
      </c>
      <c r="B54" s="644" t="s">
        <v>84</v>
      </c>
      <c r="C54" s="652">
        <v>0</v>
      </c>
      <c r="D54" s="652">
        <v>0</v>
      </c>
      <c r="E54" s="652">
        <v>0</v>
      </c>
      <c r="F54" s="857" t="str">
        <f t="shared" si="1"/>
        <v/>
      </c>
      <c r="G54" s="649"/>
      <c r="H54" s="649"/>
      <c r="I54" s="649"/>
      <c r="J54" s="830"/>
      <c r="K54" s="830"/>
    </row>
    <row r="55" spans="1:11" s="469" customFormat="1" ht="10.5" customHeight="1">
      <c r="A55" s="788" t="s">
        <v>391</v>
      </c>
      <c r="B55" s="789"/>
      <c r="C55" s="793">
        <v>0</v>
      </c>
      <c r="D55" s="793">
        <v>0</v>
      </c>
      <c r="E55" s="793">
        <v>0</v>
      </c>
      <c r="F55" s="794" t="str">
        <f t="shared" si="1"/>
        <v/>
      </c>
      <c r="G55" s="649"/>
      <c r="H55" s="649"/>
      <c r="I55" s="649"/>
      <c r="J55" s="830"/>
      <c r="K55" s="830"/>
    </row>
    <row r="56" spans="1:11" s="469" customFormat="1" ht="10.5" customHeight="1">
      <c r="A56" s="654" t="s">
        <v>268</v>
      </c>
      <c r="B56" s="644" t="s">
        <v>73</v>
      </c>
      <c r="C56" s="652">
        <v>4.7496700000000001</v>
      </c>
      <c r="D56" s="652">
        <v>4.8937099999999996</v>
      </c>
      <c r="E56" s="652">
        <v>4.7496700000000001</v>
      </c>
      <c r="F56" s="857">
        <f t="shared" si="1"/>
        <v>-2.9433701629234199E-2</v>
      </c>
      <c r="G56" s="649"/>
      <c r="H56" s="649"/>
      <c r="I56" s="649"/>
      <c r="J56" s="830"/>
      <c r="K56" s="830"/>
    </row>
    <row r="57" spans="1:11" s="469" customFormat="1" ht="10.5" customHeight="1">
      <c r="A57" s="654"/>
      <c r="B57" s="644" t="s">
        <v>392</v>
      </c>
      <c r="C57" s="652">
        <v>255.49514000000002</v>
      </c>
      <c r="D57" s="652">
        <v>251.64778999999999</v>
      </c>
      <c r="E57" s="652">
        <v>255.49514000000002</v>
      </c>
      <c r="F57" s="857">
        <f t="shared" si="1"/>
        <v>1.5288630192222374E-2</v>
      </c>
      <c r="G57" s="649"/>
      <c r="H57" s="649"/>
      <c r="I57" s="649"/>
      <c r="J57" s="830"/>
      <c r="K57" s="830"/>
    </row>
    <row r="58" spans="1:11" s="469" customFormat="1" ht="10.5" customHeight="1">
      <c r="A58" s="654"/>
      <c r="B58" s="651" t="s">
        <v>393</v>
      </c>
      <c r="C58" s="652">
        <v>70.419589999999999</v>
      </c>
      <c r="D58" s="652">
        <v>90.142589999999998</v>
      </c>
      <c r="E58" s="652">
        <v>70.419589999999999</v>
      </c>
      <c r="F58" s="857">
        <f t="shared" si="1"/>
        <v>-0.21879779580329339</v>
      </c>
      <c r="G58" s="649"/>
      <c r="H58" s="649"/>
      <c r="I58" s="649"/>
      <c r="J58" s="830"/>
      <c r="K58" s="830"/>
    </row>
    <row r="59" spans="1:11" s="469" customFormat="1" ht="10.5" customHeight="1">
      <c r="A59" s="654"/>
      <c r="B59" s="644" t="s">
        <v>64</v>
      </c>
      <c r="C59" s="652">
        <v>8.4359599999999997</v>
      </c>
      <c r="D59" s="652">
        <v>9.9318000000000008</v>
      </c>
      <c r="E59" s="652">
        <v>8.4359599999999997</v>
      </c>
      <c r="F59" s="857">
        <f t="shared" si="1"/>
        <v>-0.15061116816689835</v>
      </c>
      <c r="G59" s="649"/>
      <c r="H59" s="649"/>
      <c r="I59" s="649"/>
      <c r="J59" s="830"/>
      <c r="K59" s="830"/>
    </row>
    <row r="60" spans="1:11" s="469" customFormat="1" ht="10.5" customHeight="1">
      <c r="A60" s="788" t="s">
        <v>394</v>
      </c>
      <c r="B60" s="789"/>
      <c r="C60" s="793">
        <v>339.10036000000002</v>
      </c>
      <c r="D60" s="793">
        <v>356.61588999999998</v>
      </c>
      <c r="E60" s="793">
        <v>339.10036000000002</v>
      </c>
      <c r="F60" s="794">
        <f t="shared" si="1"/>
        <v>-4.911595498450716E-2</v>
      </c>
      <c r="G60" s="649"/>
      <c r="H60" s="649"/>
      <c r="I60" s="649"/>
      <c r="J60" s="830"/>
      <c r="K60" s="830"/>
    </row>
    <row r="61" spans="1:11" s="469" customFormat="1" ht="10.5" customHeight="1">
      <c r="A61" s="654" t="s">
        <v>269</v>
      </c>
      <c r="B61" s="644" t="s">
        <v>81</v>
      </c>
      <c r="C61" s="652">
        <v>25.828679999999999</v>
      </c>
      <c r="D61" s="652">
        <v>10.36957</v>
      </c>
      <c r="E61" s="652">
        <v>25.828679999999999</v>
      </c>
      <c r="F61" s="857">
        <f t="shared" si="1"/>
        <v>1.490814951825389</v>
      </c>
      <c r="G61" s="649"/>
      <c r="H61" s="649"/>
      <c r="I61" s="649"/>
      <c r="J61" s="830"/>
      <c r="K61" s="830"/>
    </row>
    <row r="62" spans="1:11" s="469" customFormat="1" ht="10.5" customHeight="1">
      <c r="A62" s="788" t="s">
        <v>395</v>
      </c>
      <c r="B62" s="789"/>
      <c r="C62" s="793">
        <v>25.828679999999999</v>
      </c>
      <c r="D62" s="793">
        <v>10.36957</v>
      </c>
      <c r="E62" s="793">
        <v>25.828679999999999</v>
      </c>
      <c r="F62" s="794">
        <f t="shared" si="1"/>
        <v>1.490814951825389</v>
      </c>
      <c r="G62" s="649"/>
      <c r="H62" s="649"/>
      <c r="I62" s="649"/>
      <c r="J62" s="830"/>
      <c r="K62" s="830"/>
    </row>
    <row r="63" spans="1:11" s="469" customFormat="1" ht="10.5" customHeight="1">
      <c r="A63" s="654" t="s">
        <v>103</v>
      </c>
      <c r="B63" s="644" t="s">
        <v>78</v>
      </c>
      <c r="C63" s="652">
        <v>80.15558</v>
      </c>
      <c r="D63" s="652">
        <v>33.914949999999997</v>
      </c>
      <c r="E63" s="652">
        <v>80.15558</v>
      </c>
      <c r="F63" s="857">
        <f t="shared" si="1"/>
        <v>1.3634291072226263</v>
      </c>
      <c r="G63" s="649"/>
      <c r="H63" s="649"/>
      <c r="I63" s="649"/>
      <c r="J63" s="830"/>
      <c r="K63" s="830"/>
    </row>
    <row r="64" spans="1:11" s="469" customFormat="1" ht="10.5" customHeight="1">
      <c r="A64" s="788" t="s">
        <v>396</v>
      </c>
      <c r="B64" s="789"/>
      <c r="C64" s="793">
        <v>80.15558</v>
      </c>
      <c r="D64" s="793">
        <v>33.914949999999997</v>
      </c>
      <c r="E64" s="793">
        <v>80.15558</v>
      </c>
      <c r="F64" s="794">
        <f t="shared" si="1"/>
        <v>1.3634291072226263</v>
      </c>
      <c r="G64" s="649"/>
      <c r="H64" s="649"/>
      <c r="I64" s="649"/>
      <c r="J64" s="830"/>
      <c r="K64" s="830"/>
    </row>
    <row r="65" spans="1:11" s="469" customFormat="1" ht="10.5" customHeight="1">
      <c r="A65" s="654" t="s">
        <v>111</v>
      </c>
      <c r="B65" s="644" t="s">
        <v>257</v>
      </c>
      <c r="C65" s="652">
        <v>0</v>
      </c>
      <c r="D65" s="652">
        <v>0</v>
      </c>
      <c r="E65" s="652">
        <v>0</v>
      </c>
      <c r="F65" s="857" t="str">
        <f t="shared" si="1"/>
        <v/>
      </c>
      <c r="G65" s="649"/>
      <c r="H65" s="649"/>
      <c r="I65" s="649"/>
      <c r="J65" s="830"/>
      <c r="K65" s="830"/>
    </row>
    <row r="66" spans="1:11" s="469" customFormat="1" ht="10.5" customHeight="1">
      <c r="A66" s="788" t="s">
        <v>397</v>
      </c>
      <c r="B66" s="789"/>
      <c r="C66" s="793">
        <v>0</v>
      </c>
      <c r="D66" s="793">
        <v>0</v>
      </c>
      <c r="E66" s="793">
        <v>0</v>
      </c>
      <c r="F66" s="794" t="str">
        <f t="shared" si="1"/>
        <v/>
      </c>
      <c r="G66" s="649"/>
      <c r="H66" s="649"/>
      <c r="I66" s="649"/>
      <c r="J66" s="830"/>
      <c r="K66" s="830"/>
    </row>
    <row r="67" spans="1:11" s="469" customFormat="1" ht="10.5" customHeight="1">
      <c r="A67" s="654" t="s">
        <v>560</v>
      </c>
      <c r="B67" s="644" t="s">
        <v>769</v>
      </c>
      <c r="C67" s="652">
        <v>1.4024000000000001</v>
      </c>
      <c r="D67" s="652">
        <v>0</v>
      </c>
      <c r="E67" s="652">
        <v>1.4024000000000001</v>
      </c>
      <c r="F67" s="857" t="str">
        <f t="shared" si="1"/>
        <v/>
      </c>
      <c r="G67" s="649"/>
      <c r="H67" s="649"/>
      <c r="I67" s="649"/>
      <c r="J67" s="830"/>
      <c r="K67" s="830"/>
    </row>
    <row r="68" spans="1:11" s="469" customFormat="1" ht="10.5" customHeight="1">
      <c r="A68" s="654"/>
      <c r="B68" s="651" t="s">
        <v>88</v>
      </c>
      <c r="C68" s="652">
        <v>3.0061</v>
      </c>
      <c r="D68" s="652">
        <v>4.3065999999999995</v>
      </c>
      <c r="E68" s="652">
        <v>3.0061</v>
      </c>
      <c r="F68" s="857">
        <f t="shared" si="1"/>
        <v>-0.30197835879812374</v>
      </c>
      <c r="G68" s="649"/>
      <c r="H68" s="649"/>
      <c r="I68" s="649"/>
      <c r="J68" s="830"/>
      <c r="K68" s="830"/>
    </row>
    <row r="69" spans="1:11" s="469" customFormat="1" ht="10.5" customHeight="1">
      <c r="A69" s="654"/>
      <c r="B69" s="644" t="s">
        <v>778</v>
      </c>
      <c r="C69" s="652">
        <v>2.3997000000000002</v>
      </c>
      <c r="D69" s="652"/>
      <c r="E69" s="652">
        <v>2.3997000000000002</v>
      </c>
      <c r="F69" s="857" t="str">
        <f t="shared" si="1"/>
        <v/>
      </c>
      <c r="G69" s="649"/>
      <c r="H69" s="649"/>
      <c r="I69" s="649"/>
      <c r="J69" s="830"/>
      <c r="K69" s="830"/>
    </row>
    <row r="70" spans="1:11" s="469" customFormat="1" ht="10.5" customHeight="1">
      <c r="A70" s="788" t="s">
        <v>398</v>
      </c>
      <c r="B70" s="789"/>
      <c r="C70" s="793">
        <v>6.8082000000000003</v>
      </c>
      <c r="D70" s="793">
        <v>4.3065999999999995</v>
      </c>
      <c r="E70" s="793">
        <v>6.8082000000000003</v>
      </c>
      <c r="F70" s="794">
        <f t="shared" si="1"/>
        <v>0.58087586495147003</v>
      </c>
      <c r="G70" s="649"/>
      <c r="H70" s="649"/>
      <c r="I70" s="649"/>
      <c r="J70" s="830"/>
      <c r="K70" s="830"/>
    </row>
    <row r="71" spans="1:11" s="469" customFormat="1" ht="10.5" customHeight="1">
      <c r="A71" s="649"/>
      <c r="B71" s="649"/>
      <c r="C71" s="649"/>
      <c r="D71" s="649"/>
      <c r="E71" s="649"/>
      <c r="F71" s="649"/>
      <c r="G71" s="649"/>
      <c r="H71" s="649"/>
      <c r="I71" s="649"/>
    </row>
    <row r="72" spans="1:11" s="469" customFormat="1" ht="10.5" customHeight="1">
      <c r="A72" s="649"/>
      <c r="B72" s="649"/>
      <c r="C72" s="649"/>
      <c r="D72" s="649"/>
      <c r="E72" s="649"/>
      <c r="F72" s="649"/>
      <c r="G72" s="649"/>
      <c r="H72" s="649"/>
      <c r="I72" s="649"/>
    </row>
    <row r="73" spans="1:11" s="469" customFormat="1" ht="10.5" customHeight="1">
      <c r="A73" s="649"/>
      <c r="B73" s="649"/>
      <c r="C73" s="649"/>
      <c r="D73" s="649"/>
      <c r="E73" s="649"/>
      <c r="F73" s="649"/>
      <c r="G73" s="649"/>
      <c r="H73" s="649"/>
      <c r="I73" s="649"/>
    </row>
    <row r="74" spans="1:11" s="469" customFormat="1" ht="10.5" customHeight="1">
      <c r="A74" s="649"/>
      <c r="B74" s="649"/>
      <c r="C74" s="649"/>
      <c r="D74" s="649"/>
      <c r="E74" s="649"/>
      <c r="F74" s="649"/>
      <c r="G74" s="649"/>
      <c r="H74" s="649"/>
      <c r="I74" s="649"/>
    </row>
    <row r="75" spans="1:11" s="469" customFormat="1" ht="10.5" customHeight="1">
      <c r="A75" s="649"/>
      <c r="B75" s="649"/>
      <c r="C75" s="649"/>
      <c r="D75" s="649"/>
      <c r="E75" s="649"/>
      <c r="F75" s="649"/>
      <c r="G75" s="649"/>
      <c r="H75" s="649"/>
      <c r="I75" s="649"/>
    </row>
    <row r="76" spans="1:11" s="469" customFormat="1" ht="10.5" customHeight="1">
      <c r="A76" s="649"/>
      <c r="B76" s="649"/>
      <c r="C76" s="649"/>
      <c r="D76" s="649"/>
      <c r="E76" s="649"/>
      <c r="F76" s="649"/>
      <c r="G76" s="649"/>
      <c r="H76" s="649"/>
      <c r="I76" s="649"/>
    </row>
    <row r="77" spans="1:11" s="469" customFormat="1" ht="10.5" customHeight="1">
      <c r="A77" s="649"/>
      <c r="B77" s="649"/>
      <c r="C77" s="649"/>
      <c r="D77" s="649"/>
      <c r="E77" s="649"/>
      <c r="F77" s="649"/>
      <c r="G77" s="649"/>
      <c r="H77" s="649"/>
      <c r="I77" s="649"/>
    </row>
    <row r="78" spans="1:11" s="469" customFormat="1" ht="10.5" customHeight="1">
      <c r="A78" s="649"/>
      <c r="B78" s="649"/>
      <c r="C78" s="649"/>
      <c r="D78" s="649"/>
      <c r="E78" s="649"/>
      <c r="F78" s="649"/>
      <c r="G78" s="649"/>
      <c r="H78" s="649"/>
      <c r="I78" s="649"/>
    </row>
    <row r="79" spans="1:11" s="469" customFormat="1" ht="10.5" customHeight="1">
      <c r="A79" s="649"/>
      <c r="B79" s="649"/>
      <c r="C79" s="649"/>
      <c r="D79" s="649"/>
      <c r="E79" s="649"/>
      <c r="F79" s="649"/>
      <c r="G79" s="649"/>
      <c r="H79" s="649"/>
      <c r="I79" s="649"/>
    </row>
    <row r="80" spans="1:11" s="469" customFormat="1" ht="10.5" customHeight="1">
      <c r="A80" s="649"/>
      <c r="B80" s="649"/>
      <c r="C80" s="649"/>
      <c r="D80" s="649"/>
      <c r="E80" s="649"/>
      <c r="F80" s="649"/>
      <c r="G80" s="649"/>
      <c r="H80" s="649"/>
      <c r="I80" s="649"/>
    </row>
    <row r="81" spans="1:9" s="469" customFormat="1" ht="10.5" customHeight="1">
      <c r="A81" s="649"/>
      <c r="B81" s="649"/>
      <c r="C81" s="649"/>
      <c r="D81" s="649"/>
      <c r="E81" s="649"/>
      <c r="F81" s="649"/>
      <c r="G81" s="649"/>
      <c r="H81" s="649"/>
      <c r="I81" s="649"/>
    </row>
    <row r="82" spans="1:9" s="469" customFormat="1" ht="8.25">
      <c r="A82" s="649"/>
      <c r="B82" s="649"/>
      <c r="C82" s="649"/>
      <c r="D82" s="649"/>
      <c r="E82" s="649"/>
      <c r="F82" s="649"/>
      <c r="G82" s="649"/>
      <c r="H82" s="649"/>
      <c r="I82" s="649"/>
    </row>
    <row r="83" spans="1:9" s="469" customFormat="1" ht="8.25">
      <c r="A83" s="649"/>
      <c r="B83" s="649"/>
      <c r="C83" s="649"/>
      <c r="D83" s="649"/>
      <c r="E83" s="649"/>
      <c r="F83" s="649"/>
      <c r="G83" s="649"/>
      <c r="H83" s="649"/>
      <c r="I83" s="649"/>
    </row>
    <row r="84" spans="1:9" s="469" customFormat="1" ht="8.25">
      <c r="A84" s="649"/>
      <c r="B84" s="649"/>
      <c r="C84" s="649"/>
      <c r="D84" s="649"/>
      <c r="E84" s="649"/>
      <c r="F84" s="649"/>
      <c r="G84" s="649"/>
      <c r="H84" s="649"/>
      <c r="I84" s="649"/>
    </row>
    <row r="85" spans="1:9" s="469" customFormat="1" ht="8.25">
      <c r="A85" s="649"/>
      <c r="B85" s="649"/>
      <c r="C85" s="649"/>
      <c r="D85" s="649"/>
      <c r="E85" s="649"/>
      <c r="F85" s="649"/>
      <c r="G85" s="649"/>
      <c r="H85" s="649"/>
      <c r="I85" s="649"/>
    </row>
    <row r="86" spans="1:9" s="469" customFormat="1" ht="8.25">
      <c r="A86" s="649"/>
      <c r="B86" s="649"/>
      <c r="C86" s="649"/>
      <c r="D86" s="649"/>
      <c r="E86" s="649"/>
      <c r="F86" s="649"/>
      <c r="G86" s="649"/>
      <c r="H86" s="649"/>
      <c r="I86" s="649"/>
    </row>
    <row r="87" spans="1:9" s="469" customFormat="1" ht="8.25">
      <c r="A87" s="649"/>
      <c r="B87" s="649"/>
      <c r="C87" s="649"/>
      <c r="D87" s="649"/>
      <c r="E87" s="649"/>
      <c r="F87" s="649"/>
      <c r="G87" s="649"/>
      <c r="H87" s="649"/>
      <c r="I87" s="649"/>
    </row>
    <row r="88" spans="1:9" s="469" customFormat="1" ht="8.25">
      <c r="A88" s="649"/>
      <c r="B88" s="649"/>
      <c r="C88" s="649"/>
      <c r="D88" s="649"/>
      <c r="E88" s="649"/>
      <c r="F88" s="649"/>
      <c r="G88" s="649"/>
      <c r="H88" s="649"/>
      <c r="I88" s="649"/>
    </row>
    <row r="89" spans="1:9" s="469" customFormat="1" ht="8.25">
      <c r="A89" s="649"/>
      <c r="B89" s="649"/>
      <c r="C89" s="649"/>
      <c r="D89" s="649"/>
      <c r="E89" s="649"/>
      <c r="F89" s="649"/>
      <c r="G89" s="649"/>
      <c r="H89" s="649"/>
      <c r="I89" s="649"/>
    </row>
    <row r="90" spans="1:9" s="469" customFormat="1" ht="8.25">
      <c r="A90" s="649"/>
      <c r="B90" s="649"/>
      <c r="C90" s="649"/>
      <c r="D90" s="649"/>
      <c r="E90" s="649"/>
      <c r="F90" s="649"/>
      <c r="G90" s="649"/>
      <c r="H90" s="649"/>
      <c r="I90" s="649"/>
    </row>
    <row r="91" spans="1:9" s="469" customFormat="1" ht="8.25">
      <c r="A91" s="649"/>
      <c r="B91" s="649"/>
      <c r="C91" s="649"/>
      <c r="D91" s="649"/>
      <c r="E91" s="649"/>
      <c r="F91" s="649"/>
      <c r="G91" s="649"/>
      <c r="H91" s="649"/>
      <c r="I91" s="649"/>
    </row>
    <row r="92" spans="1:9" s="469" customFormat="1" ht="8.25">
      <c r="A92" s="649"/>
      <c r="B92" s="649"/>
      <c r="C92" s="649"/>
      <c r="D92" s="649"/>
      <c r="E92" s="649"/>
      <c r="F92" s="649"/>
      <c r="G92" s="649"/>
      <c r="H92" s="649"/>
      <c r="I92" s="649"/>
    </row>
    <row r="93" spans="1:9" s="469" customFormat="1" ht="8.25">
      <c r="A93" s="649"/>
      <c r="B93" s="649"/>
      <c r="C93" s="649"/>
      <c r="D93" s="649"/>
      <c r="E93" s="649"/>
      <c r="F93" s="649"/>
      <c r="G93" s="649"/>
      <c r="H93" s="649"/>
      <c r="I93" s="649"/>
    </row>
    <row r="94" spans="1:9" s="469" customFormat="1" ht="8.25">
      <c r="A94" s="649"/>
      <c r="B94" s="649"/>
      <c r="C94" s="649"/>
      <c r="D94" s="649"/>
      <c r="E94" s="649"/>
      <c r="F94" s="649"/>
      <c r="G94" s="649"/>
      <c r="H94" s="649"/>
      <c r="I94" s="649"/>
    </row>
    <row r="95" spans="1:9" s="469" customFormat="1" ht="8.25">
      <c r="A95" s="649"/>
      <c r="B95" s="649"/>
      <c r="C95" s="649"/>
      <c r="D95" s="649"/>
      <c r="E95" s="649"/>
      <c r="F95" s="649"/>
      <c r="G95" s="649"/>
      <c r="H95" s="649"/>
      <c r="I95" s="649"/>
    </row>
    <row r="96" spans="1:9" s="469" customFormat="1" ht="8.25">
      <c r="A96" s="649"/>
      <c r="B96" s="649"/>
      <c r="C96" s="649"/>
      <c r="D96" s="649"/>
      <c r="E96" s="649"/>
      <c r="F96" s="649"/>
      <c r="G96" s="649"/>
      <c r="H96" s="649"/>
      <c r="I96" s="649"/>
    </row>
    <row r="97" spans="1:9" s="469" customFormat="1" ht="8.25">
      <c r="A97" s="649"/>
      <c r="B97" s="649"/>
      <c r="C97" s="649"/>
      <c r="D97" s="649"/>
      <c r="E97" s="649"/>
      <c r="F97" s="649"/>
      <c r="G97" s="649"/>
      <c r="H97" s="649"/>
      <c r="I97" s="649"/>
    </row>
    <row r="98" spans="1:9" s="469" customFormat="1" ht="8.25">
      <c r="A98" s="649"/>
      <c r="B98" s="649"/>
      <c r="C98" s="649"/>
      <c r="D98" s="649"/>
      <c r="E98" s="649"/>
      <c r="F98" s="649"/>
      <c r="G98" s="649"/>
      <c r="H98" s="649"/>
      <c r="I98" s="649"/>
    </row>
    <row r="99" spans="1:9" s="469" customFormat="1" ht="8.25">
      <c r="A99" s="649"/>
      <c r="B99" s="649"/>
      <c r="C99" s="649"/>
      <c r="D99" s="649"/>
      <c r="E99" s="649"/>
      <c r="F99" s="649"/>
      <c r="G99" s="649"/>
      <c r="H99" s="649"/>
      <c r="I99" s="649"/>
    </row>
    <row r="100" spans="1:9" s="469" customFormat="1" ht="8.25">
      <c r="A100" s="649"/>
      <c r="B100" s="649"/>
      <c r="C100" s="649"/>
      <c r="D100" s="649"/>
      <c r="E100" s="649"/>
      <c r="F100" s="649"/>
      <c r="G100" s="649"/>
      <c r="H100" s="649"/>
      <c r="I100" s="649"/>
    </row>
    <row r="101" spans="1:9" s="469" customFormat="1" ht="8.25">
      <c r="A101" s="649"/>
      <c r="B101" s="649"/>
      <c r="C101" s="649"/>
      <c r="D101" s="649"/>
      <c r="E101" s="649"/>
      <c r="F101" s="649"/>
      <c r="G101" s="649"/>
      <c r="H101" s="649"/>
      <c r="I101" s="649"/>
    </row>
    <row r="102" spans="1:9" s="469" customFormat="1" ht="8.25">
      <c r="A102" s="649"/>
      <c r="B102" s="649"/>
      <c r="C102" s="649"/>
      <c r="D102" s="649"/>
      <c r="E102" s="649"/>
      <c r="F102" s="649"/>
      <c r="G102" s="649"/>
      <c r="H102" s="649"/>
      <c r="I102" s="649"/>
    </row>
    <row r="103" spans="1:9" s="469" customFormat="1" ht="8.25">
      <c r="A103" s="649"/>
      <c r="B103" s="649"/>
      <c r="C103" s="649"/>
      <c r="D103" s="649"/>
      <c r="E103" s="649"/>
      <c r="F103" s="649"/>
      <c r="G103" s="649"/>
      <c r="H103" s="649"/>
      <c r="I103" s="649"/>
    </row>
    <row r="104" spans="1:9" s="469" customFormat="1" ht="8.25">
      <c r="A104" s="649"/>
      <c r="B104" s="649"/>
      <c r="C104" s="649"/>
      <c r="D104" s="649"/>
      <c r="E104" s="649"/>
      <c r="F104" s="649"/>
      <c r="G104" s="649"/>
      <c r="H104" s="649"/>
      <c r="I104" s="649"/>
    </row>
    <row r="105" spans="1:9" s="469" customFormat="1" ht="8.25">
      <c r="A105" s="649"/>
      <c r="B105" s="649"/>
      <c r="C105" s="649"/>
      <c r="D105" s="649"/>
      <c r="E105" s="649"/>
      <c r="F105" s="649"/>
      <c r="G105" s="649"/>
      <c r="H105" s="649"/>
      <c r="I105" s="649"/>
    </row>
    <row r="106" spans="1:9" s="469" customFormat="1" ht="8.25">
      <c r="A106" s="649"/>
      <c r="B106" s="649"/>
      <c r="C106" s="649"/>
      <c r="D106" s="649"/>
      <c r="E106" s="649"/>
      <c r="F106" s="649"/>
      <c r="G106" s="649"/>
      <c r="H106" s="649"/>
      <c r="I106" s="649"/>
    </row>
    <row r="107" spans="1:9" s="469" customFormat="1" ht="8.25">
      <c r="A107" s="649"/>
      <c r="B107" s="649"/>
      <c r="C107" s="649"/>
      <c r="D107" s="649"/>
      <c r="E107" s="649"/>
      <c r="F107" s="649"/>
      <c r="G107" s="649"/>
      <c r="H107" s="649"/>
      <c r="I107" s="649"/>
    </row>
    <row r="108" spans="1:9" s="469" customFormat="1" ht="8.25">
      <c r="A108" s="649"/>
      <c r="B108" s="649"/>
      <c r="C108" s="649"/>
      <c r="D108" s="649"/>
      <c r="E108" s="649"/>
      <c r="F108" s="649"/>
      <c r="G108" s="649"/>
      <c r="H108" s="649"/>
      <c r="I108" s="649"/>
    </row>
    <row r="109" spans="1:9" s="469" customFormat="1" ht="8.25">
      <c r="A109" s="649"/>
      <c r="B109" s="649"/>
      <c r="C109" s="649"/>
      <c r="D109" s="649"/>
      <c r="E109" s="649"/>
      <c r="F109" s="649"/>
      <c r="G109" s="649"/>
      <c r="H109" s="649"/>
      <c r="I109" s="649"/>
    </row>
    <row r="110" spans="1:9" s="469" customFormat="1" ht="8.25">
      <c r="A110" s="649"/>
      <c r="B110" s="649"/>
      <c r="C110" s="649"/>
      <c r="D110" s="649"/>
      <c r="E110" s="649"/>
      <c r="F110" s="649"/>
      <c r="G110" s="649"/>
      <c r="H110" s="649"/>
      <c r="I110" s="649"/>
    </row>
    <row r="111" spans="1:9" s="469" customFormat="1" ht="8.25">
      <c r="A111" s="649"/>
      <c r="B111" s="649"/>
      <c r="C111" s="649"/>
      <c r="D111" s="649"/>
      <c r="E111" s="649"/>
      <c r="F111" s="649"/>
      <c r="G111" s="649"/>
      <c r="H111" s="649"/>
      <c r="I111" s="649"/>
    </row>
    <row r="112" spans="1:9" s="469" customFormat="1" ht="8.25">
      <c r="A112" s="649"/>
      <c r="B112" s="649"/>
      <c r="C112" s="649"/>
      <c r="D112" s="649"/>
      <c r="E112" s="649"/>
      <c r="F112" s="649"/>
      <c r="G112" s="649"/>
      <c r="H112" s="649"/>
      <c r="I112" s="649"/>
    </row>
    <row r="113" spans="1:9" s="469" customFormat="1" ht="8.25">
      <c r="A113" s="649"/>
      <c r="B113" s="649"/>
      <c r="C113" s="649"/>
      <c r="D113" s="649"/>
      <c r="E113" s="649"/>
      <c r="F113" s="649"/>
      <c r="G113" s="649"/>
      <c r="H113" s="649"/>
      <c r="I113" s="649"/>
    </row>
    <row r="114" spans="1:9" s="469" customFormat="1" ht="8.25">
      <c r="A114" s="649"/>
      <c r="B114" s="649"/>
      <c r="C114" s="649"/>
      <c r="D114" s="649"/>
      <c r="E114" s="649"/>
      <c r="F114" s="649"/>
      <c r="G114" s="649"/>
      <c r="H114" s="649"/>
      <c r="I114" s="649"/>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7"/>
  <sheetViews>
    <sheetView showGridLines="0" view="pageBreakPreview" zoomScale="145" zoomScaleNormal="100" zoomScaleSheetLayoutView="145" zoomScalePageLayoutView="130" workbookViewId="0">
      <selection activeCell="D4" sqref="D4"/>
    </sheetView>
  </sheetViews>
  <sheetFormatPr defaultColWidth="9.33203125" defaultRowHeight="9"/>
  <cols>
    <col min="1" max="1" width="27" style="358" customWidth="1"/>
    <col min="2" max="2" width="23" style="358" customWidth="1"/>
    <col min="3" max="4" width="17.6640625" style="358" customWidth="1"/>
    <col min="5" max="5" width="15.1640625" style="358" customWidth="1"/>
    <col min="6" max="6" width="13.33203125" style="358" customWidth="1"/>
    <col min="7" max="7" width="9.33203125" style="359"/>
    <col min="8" max="8" width="13.1640625" style="359" customWidth="1"/>
    <col min="9" max="9" width="17.33203125" style="359" customWidth="1"/>
    <col min="10" max="16384" width="9.33203125" style="359"/>
  </cols>
  <sheetData>
    <row r="1" spans="1:11" s="469" customFormat="1" ht="11.25" customHeight="1">
      <c r="A1" s="1010" t="s">
        <v>279</v>
      </c>
      <c r="B1" s="1013" t="s">
        <v>56</v>
      </c>
      <c r="C1" s="1013" t="s">
        <v>439</v>
      </c>
      <c r="D1" s="1013"/>
      <c r="E1" s="1013"/>
      <c r="F1" s="1016"/>
    </row>
    <row r="2" spans="1:11" s="469" customFormat="1" ht="11.25" customHeight="1">
      <c r="A2" s="1011"/>
      <c r="B2" s="1014"/>
      <c r="C2" s="766" t="str">
        <f>+'22. ANEXOII-2'!C2</f>
        <v>DICIEMBRE 2018</v>
      </c>
      <c r="D2" s="767" t="str">
        <f>+'22. ANEXOII-2'!D2</f>
        <v>DICIEMBRE 2017</v>
      </c>
      <c r="E2" s="768">
        <v>2018</v>
      </c>
      <c r="F2" s="769" t="s">
        <v>437</v>
      </c>
    </row>
    <row r="3" spans="1:11" s="469" customFormat="1" ht="11.25" customHeight="1">
      <c r="A3" s="1011"/>
      <c r="B3" s="1014"/>
      <c r="C3" s="770">
        <f>+'8. Max Potencia'!D8</f>
        <v>43451.822916666664</v>
      </c>
      <c r="D3" s="770">
        <f>+'8. Max Potencia'!E8</f>
        <v>43087.822916666664</v>
      </c>
      <c r="E3" s="770">
        <f>+'8. Max Potencia'!G8</f>
        <v>43451.822916666664</v>
      </c>
      <c r="F3" s="771" t="s">
        <v>431</v>
      </c>
    </row>
    <row r="4" spans="1:11" s="469" customFormat="1" ht="11.25" customHeight="1">
      <c r="A4" s="1012"/>
      <c r="B4" s="1015"/>
      <c r="C4" s="772">
        <f>+'8. Max Potencia'!D9</f>
        <v>43451.822916666664</v>
      </c>
      <c r="D4" s="772">
        <f>+'8. Max Potencia'!E9</f>
        <v>43087.822916666664</v>
      </c>
      <c r="E4" s="772">
        <f>+'8. Max Potencia'!G9</f>
        <v>43451.822916666664</v>
      </c>
      <c r="F4" s="773" t="s">
        <v>432</v>
      </c>
    </row>
    <row r="5" spans="1:11" s="469" customFormat="1" ht="10.5" customHeight="1">
      <c r="A5" s="654" t="s">
        <v>270</v>
      </c>
      <c r="B5" s="644" t="s">
        <v>399</v>
      </c>
      <c r="C5" s="652">
        <v>0</v>
      </c>
      <c r="D5" s="652">
        <v>0</v>
      </c>
      <c r="E5" s="652">
        <v>0</v>
      </c>
      <c r="F5" s="857" t="s">
        <v>788</v>
      </c>
    </row>
    <row r="6" spans="1:11" s="469" customFormat="1" ht="10.5" customHeight="1">
      <c r="A6" s="788" t="s">
        <v>400</v>
      </c>
      <c r="B6" s="789"/>
      <c r="C6" s="793">
        <v>0</v>
      </c>
      <c r="D6" s="793">
        <v>0</v>
      </c>
      <c r="E6" s="793">
        <v>0</v>
      </c>
      <c r="F6" s="794" t="s">
        <v>788</v>
      </c>
    </row>
    <row r="7" spans="1:11" s="469" customFormat="1" ht="10.5" customHeight="1">
      <c r="A7" s="654" t="s">
        <v>127</v>
      </c>
      <c r="B7" s="644" t="s">
        <v>622</v>
      </c>
      <c r="C7" s="652"/>
      <c r="D7" s="652">
        <v>0</v>
      </c>
      <c r="E7" s="652"/>
      <c r="F7" s="857" t="s">
        <v>788</v>
      </c>
      <c r="J7" s="830"/>
      <c r="K7" s="830"/>
    </row>
    <row r="8" spans="1:11" s="469" customFormat="1" ht="10.5" customHeight="1">
      <c r="A8" s="788" t="s">
        <v>623</v>
      </c>
      <c r="B8" s="789"/>
      <c r="C8" s="793"/>
      <c r="D8" s="793">
        <v>0</v>
      </c>
      <c r="E8" s="793"/>
      <c r="F8" s="794" t="s">
        <v>788</v>
      </c>
      <c r="J8" s="830"/>
      <c r="K8" s="830"/>
    </row>
    <row r="9" spans="1:11" s="469" customFormat="1" ht="10.5" customHeight="1">
      <c r="A9" s="654" t="s">
        <v>108</v>
      </c>
      <c r="B9" s="644" t="s">
        <v>63</v>
      </c>
      <c r="C9" s="652">
        <v>9.4473900000000004</v>
      </c>
      <c r="D9" s="652">
        <v>13.553619999999999</v>
      </c>
      <c r="E9" s="652">
        <v>9.4473900000000004</v>
      </c>
      <c r="F9" s="857">
        <v>-0.30296186553850546</v>
      </c>
      <c r="H9" s="609"/>
      <c r="I9" s="812"/>
      <c r="J9" s="830"/>
      <c r="K9" s="830"/>
    </row>
    <row r="10" spans="1:11" s="469" customFormat="1" ht="10.5" customHeight="1">
      <c r="A10" s="788" t="s">
        <v>401</v>
      </c>
      <c r="B10" s="789"/>
      <c r="C10" s="793">
        <v>9.4473900000000004</v>
      </c>
      <c r="D10" s="793">
        <v>13.553619999999999</v>
      </c>
      <c r="E10" s="793">
        <v>9.4473900000000004</v>
      </c>
      <c r="F10" s="794">
        <v>-0.30296186553850546</v>
      </c>
      <c r="H10" s="609"/>
      <c r="I10" s="812"/>
      <c r="J10" s="830"/>
      <c r="K10" s="830"/>
    </row>
    <row r="11" spans="1:11" s="469" customFormat="1" ht="10.5" customHeight="1">
      <c r="A11" s="654" t="s">
        <v>271</v>
      </c>
      <c r="B11" s="644" t="s">
        <v>402</v>
      </c>
      <c r="C11" s="652">
        <v>0</v>
      </c>
      <c r="D11" s="652">
        <v>0</v>
      </c>
      <c r="E11" s="652">
        <v>0</v>
      </c>
      <c r="F11" s="857" t="s">
        <v>788</v>
      </c>
      <c r="H11" s="609"/>
      <c r="I11" s="812"/>
      <c r="J11" s="830"/>
      <c r="K11" s="830"/>
    </row>
    <row r="12" spans="1:11" s="469" customFormat="1" ht="10.5" customHeight="1">
      <c r="A12" s="788" t="s">
        <v>403</v>
      </c>
      <c r="B12" s="789"/>
      <c r="C12" s="793">
        <v>0</v>
      </c>
      <c r="D12" s="793">
        <v>0</v>
      </c>
      <c r="E12" s="793">
        <v>0</v>
      </c>
      <c r="F12" s="794" t="s">
        <v>788</v>
      </c>
      <c r="H12" s="609"/>
      <c r="I12" s="812"/>
      <c r="J12" s="830"/>
      <c r="K12" s="830"/>
    </row>
    <row r="13" spans="1:11" s="469" customFormat="1" ht="10.5" customHeight="1">
      <c r="A13" s="654" t="s">
        <v>99</v>
      </c>
      <c r="B13" s="644" t="s">
        <v>404</v>
      </c>
      <c r="C13" s="652">
        <v>110.10356</v>
      </c>
      <c r="D13" s="652">
        <v>110.82124999999999</v>
      </c>
      <c r="E13" s="652">
        <v>110.10356</v>
      </c>
      <c r="F13" s="857">
        <v>-6.4761045377126347E-3</v>
      </c>
      <c r="H13" s="609"/>
      <c r="I13" s="812"/>
      <c r="J13" s="830"/>
      <c r="K13" s="830"/>
    </row>
    <row r="14" spans="1:11" s="469" customFormat="1" ht="10.5" customHeight="1">
      <c r="A14" s="654"/>
      <c r="B14" s="644" t="s">
        <v>435</v>
      </c>
      <c r="C14" s="652"/>
      <c r="D14" s="652">
        <v>0</v>
      </c>
      <c r="E14" s="652"/>
      <c r="F14" s="857" t="s">
        <v>788</v>
      </c>
      <c r="H14" s="609"/>
      <c r="I14" s="812"/>
      <c r="J14" s="830"/>
      <c r="K14" s="830"/>
    </row>
    <row r="15" spans="1:11" s="469" customFormat="1" ht="10.5" customHeight="1">
      <c r="A15" s="788" t="s">
        <v>405</v>
      </c>
      <c r="B15" s="789"/>
      <c r="C15" s="793">
        <v>110.10356</v>
      </c>
      <c r="D15" s="793">
        <v>110.82124999999999</v>
      </c>
      <c r="E15" s="793">
        <v>110.10356</v>
      </c>
      <c r="F15" s="794">
        <v>-6.4761045377126347E-3</v>
      </c>
      <c r="H15" s="609"/>
      <c r="I15" s="812"/>
      <c r="J15" s="830"/>
      <c r="K15" s="830"/>
    </row>
    <row r="16" spans="1:11" s="469" customFormat="1" ht="10.5" customHeight="1">
      <c r="A16" s="654" t="s">
        <v>497</v>
      </c>
      <c r="B16" s="644" t="s">
        <v>774</v>
      </c>
      <c r="C16" s="652">
        <v>19.850020000000001</v>
      </c>
      <c r="D16" s="652"/>
      <c r="E16" s="652">
        <v>19.850020000000001</v>
      </c>
      <c r="F16" s="857" t="s">
        <v>788</v>
      </c>
      <c r="H16" s="609"/>
      <c r="I16" s="812"/>
      <c r="J16" s="830"/>
      <c r="K16" s="830"/>
    </row>
    <row r="17" spans="1:11" s="469" customFormat="1" ht="10.5" customHeight="1">
      <c r="A17" s="788" t="s">
        <v>499</v>
      </c>
      <c r="B17" s="789"/>
      <c r="C17" s="793">
        <v>19.850020000000001</v>
      </c>
      <c r="D17" s="793"/>
      <c r="E17" s="793">
        <v>19.850020000000001</v>
      </c>
      <c r="F17" s="794" t="s">
        <v>788</v>
      </c>
      <c r="H17" s="609"/>
      <c r="I17" s="812"/>
      <c r="J17" s="830"/>
      <c r="K17" s="830"/>
    </row>
    <row r="18" spans="1:11" s="469" customFormat="1" ht="10.5" customHeight="1">
      <c r="A18" s="654" t="s">
        <v>272</v>
      </c>
      <c r="B18" s="644" t="s">
        <v>67</v>
      </c>
      <c r="C18" s="652">
        <v>4.6718500000000001</v>
      </c>
      <c r="D18" s="652">
        <v>4.8843699999999997</v>
      </c>
      <c r="E18" s="652">
        <v>4.6718500000000001</v>
      </c>
      <c r="F18" s="857">
        <v>-4.3510217284931207E-2</v>
      </c>
      <c r="H18" s="609"/>
      <c r="I18" s="812"/>
      <c r="J18" s="830"/>
      <c r="K18" s="830"/>
    </row>
    <row r="19" spans="1:11" s="469" customFormat="1" ht="10.5" customHeight="1">
      <c r="A19" s="654"/>
      <c r="B19" s="644" t="s">
        <v>66</v>
      </c>
      <c r="C19" s="652">
        <v>4.8367300000000002</v>
      </c>
      <c r="D19" s="652">
        <v>5.0522499999999999</v>
      </c>
      <c r="E19" s="652">
        <v>4.8367300000000002</v>
      </c>
      <c r="F19" s="857">
        <v>-4.2658221584442546E-2</v>
      </c>
      <c r="H19" s="609"/>
      <c r="I19" s="812"/>
      <c r="J19" s="830"/>
      <c r="K19" s="830"/>
    </row>
    <row r="20" spans="1:11" s="469" customFormat="1" ht="10.5" customHeight="1">
      <c r="A20" s="654"/>
      <c r="B20" s="644" t="s">
        <v>70</v>
      </c>
      <c r="C20" s="652">
        <v>3.4198599999999999</v>
      </c>
      <c r="D20" s="652">
        <v>3.8876200000000001</v>
      </c>
      <c r="E20" s="652">
        <v>3.4198599999999999</v>
      </c>
      <c r="F20" s="857">
        <v>-0.12032040168534996</v>
      </c>
      <c r="H20" s="609"/>
      <c r="I20" s="812"/>
      <c r="J20" s="830"/>
      <c r="K20" s="830"/>
    </row>
    <row r="21" spans="1:11" s="469" customFormat="1" ht="10.5" customHeight="1">
      <c r="A21" s="654"/>
      <c r="B21" s="644" t="s">
        <v>69</v>
      </c>
      <c r="C21" s="652">
        <v>3.8866399999999999</v>
      </c>
      <c r="D21" s="652">
        <v>4.6178299999999997</v>
      </c>
      <c r="E21" s="652">
        <v>3.8866399999999999</v>
      </c>
      <c r="F21" s="857">
        <v>-0.15834060586899035</v>
      </c>
      <c r="H21" s="609"/>
      <c r="I21" s="812"/>
      <c r="J21" s="830"/>
      <c r="K21" s="830"/>
    </row>
    <row r="22" spans="1:11" s="469" customFormat="1" ht="10.5" customHeight="1">
      <c r="A22" s="788" t="s">
        <v>406</v>
      </c>
      <c r="B22" s="789"/>
      <c r="C22" s="793">
        <v>16.815080000000002</v>
      </c>
      <c r="D22" s="793">
        <v>18.442070000000001</v>
      </c>
      <c r="E22" s="793">
        <v>16.815080000000002</v>
      </c>
      <c r="F22" s="794">
        <v>-8.8221658414700643E-2</v>
      </c>
      <c r="H22" s="609"/>
      <c r="I22" s="812"/>
      <c r="J22" s="830"/>
      <c r="K22" s="830"/>
    </row>
    <row r="23" spans="1:11" s="469" customFormat="1" ht="10.5" customHeight="1">
      <c r="A23" s="654" t="s">
        <v>106</v>
      </c>
      <c r="B23" s="644" t="s">
        <v>407</v>
      </c>
      <c r="C23" s="652">
        <v>27.943930000000002</v>
      </c>
      <c r="D23" s="652">
        <v>27.69003</v>
      </c>
      <c r="E23" s="652">
        <v>27.943930000000002</v>
      </c>
      <c r="F23" s="857">
        <v>9.1693652914064394E-3</v>
      </c>
      <c r="H23" s="609"/>
      <c r="I23" s="812"/>
      <c r="J23" s="830"/>
      <c r="K23" s="830"/>
    </row>
    <row r="24" spans="1:11" s="469" customFormat="1" ht="10.5" customHeight="1">
      <c r="A24" s="788" t="s">
        <v>408</v>
      </c>
      <c r="B24" s="789"/>
      <c r="C24" s="793">
        <v>27.943930000000002</v>
      </c>
      <c r="D24" s="793">
        <v>27.69003</v>
      </c>
      <c r="E24" s="793">
        <v>27.943930000000002</v>
      </c>
      <c r="F24" s="794">
        <v>9.1693652914064394E-3</v>
      </c>
      <c r="H24" s="609"/>
      <c r="I24" s="812"/>
      <c r="J24" s="830"/>
      <c r="K24" s="830"/>
    </row>
    <row r="25" spans="1:11" s="469" customFormat="1" ht="10.5" customHeight="1">
      <c r="A25" s="654" t="s">
        <v>124</v>
      </c>
      <c r="B25" s="644" t="s">
        <v>409</v>
      </c>
      <c r="C25" s="652">
        <v>20.883690000000001</v>
      </c>
      <c r="D25" s="652">
        <v>0</v>
      </c>
      <c r="E25" s="652">
        <v>20.883690000000001</v>
      </c>
      <c r="F25" s="857" t="s">
        <v>788</v>
      </c>
      <c r="H25" s="609"/>
      <c r="I25" s="812"/>
      <c r="J25" s="830"/>
      <c r="K25" s="830"/>
    </row>
    <row r="26" spans="1:11" s="469" customFormat="1" ht="10.5" customHeight="1">
      <c r="A26" s="788" t="s">
        <v>410</v>
      </c>
      <c r="B26" s="789"/>
      <c r="C26" s="793">
        <v>20.883690000000001</v>
      </c>
      <c r="D26" s="793">
        <v>0</v>
      </c>
      <c r="E26" s="793">
        <v>20.883690000000001</v>
      </c>
      <c r="F26" s="794" t="s">
        <v>788</v>
      </c>
      <c r="H26" s="609"/>
      <c r="I26" s="812"/>
      <c r="J26" s="830"/>
      <c r="K26" s="830"/>
    </row>
    <row r="27" spans="1:11" s="469" customFormat="1" ht="10.5" customHeight="1">
      <c r="A27" s="654" t="s">
        <v>117</v>
      </c>
      <c r="B27" s="644" t="s">
        <v>436</v>
      </c>
      <c r="C27" s="652"/>
      <c r="D27" s="652">
        <v>0</v>
      </c>
      <c r="E27" s="652"/>
      <c r="F27" s="857" t="s">
        <v>788</v>
      </c>
      <c r="H27" s="609"/>
      <c r="I27" s="812"/>
      <c r="J27" s="830"/>
      <c r="K27" s="830"/>
    </row>
    <row r="28" spans="1:11" s="469" customFormat="1" ht="10.5" customHeight="1">
      <c r="A28" s="654"/>
      <c r="B28" s="644" t="s">
        <v>71</v>
      </c>
      <c r="C28" s="652">
        <v>2.3944800000000002</v>
      </c>
      <c r="D28" s="652">
        <v>2.8185899999999999</v>
      </c>
      <c r="E28" s="652">
        <v>2.3944800000000002</v>
      </c>
      <c r="F28" s="857">
        <v>-0.15046885144700006</v>
      </c>
      <c r="H28" s="609"/>
      <c r="I28" s="812"/>
      <c r="J28" s="830"/>
      <c r="K28" s="830"/>
    </row>
    <row r="29" spans="1:11" s="469" customFormat="1" ht="10.5" customHeight="1">
      <c r="A29" s="788" t="s">
        <v>411</v>
      </c>
      <c r="B29" s="789"/>
      <c r="C29" s="793">
        <v>2.3944800000000002</v>
      </c>
      <c r="D29" s="793">
        <v>2.8185899999999999</v>
      </c>
      <c r="E29" s="793">
        <v>2.3944800000000002</v>
      </c>
      <c r="F29" s="794">
        <v>-0.15046885144700006</v>
      </c>
      <c r="H29" s="609"/>
      <c r="I29" s="812"/>
      <c r="J29" s="830"/>
      <c r="K29" s="830"/>
    </row>
    <row r="30" spans="1:11" s="469" customFormat="1" ht="10.5" customHeight="1">
      <c r="A30" s="654" t="s">
        <v>94</v>
      </c>
      <c r="B30" s="644" t="s">
        <v>412</v>
      </c>
      <c r="C30" s="652">
        <v>42.447450000000003</v>
      </c>
      <c r="D30" s="652">
        <v>45.58549</v>
      </c>
      <c r="E30" s="652">
        <v>42.447450000000003</v>
      </c>
      <c r="F30" s="857">
        <v>-6.8838571220798506E-2</v>
      </c>
      <c r="H30" s="609"/>
      <c r="I30" s="812"/>
      <c r="J30" s="830"/>
      <c r="K30" s="830"/>
    </row>
    <row r="31" spans="1:11" s="469" customFormat="1" ht="10.5" customHeight="1">
      <c r="A31" s="654"/>
      <c r="B31" s="644" t="s">
        <v>413</v>
      </c>
      <c r="C31" s="652">
        <v>152.39676</v>
      </c>
      <c r="D31" s="652">
        <v>101.18937</v>
      </c>
      <c r="E31" s="652">
        <v>152.39676</v>
      </c>
      <c r="F31" s="857">
        <v>0.5060550332510223</v>
      </c>
      <c r="H31" s="609"/>
      <c r="I31" s="812"/>
      <c r="J31" s="830"/>
      <c r="K31" s="830"/>
    </row>
    <row r="32" spans="1:11" s="469" customFormat="1" ht="10.5" customHeight="1">
      <c r="A32" s="654"/>
      <c r="B32" s="644" t="s">
        <v>414</v>
      </c>
      <c r="C32" s="652">
        <v>14.91785</v>
      </c>
      <c r="D32" s="652">
        <v>30.554829999999999</v>
      </c>
      <c r="E32" s="652">
        <v>14.91785</v>
      </c>
      <c r="F32" s="857">
        <v>-0.51176786125139628</v>
      </c>
      <c r="H32" s="609"/>
      <c r="I32" s="812"/>
      <c r="J32" s="830"/>
      <c r="K32" s="830"/>
    </row>
    <row r="33" spans="1:11" s="469" customFormat="1" ht="10.5" customHeight="1">
      <c r="A33" s="654"/>
      <c r="B33" s="644" t="s">
        <v>415</v>
      </c>
      <c r="C33" s="652">
        <v>0</v>
      </c>
      <c r="D33" s="652">
        <v>0</v>
      </c>
      <c r="E33" s="652">
        <v>0</v>
      </c>
      <c r="F33" s="857" t="s">
        <v>788</v>
      </c>
      <c r="H33" s="609"/>
      <c r="I33" s="812"/>
      <c r="J33" s="830"/>
      <c r="K33" s="830"/>
    </row>
    <row r="34" spans="1:11" s="469" customFormat="1" ht="10.5" customHeight="1">
      <c r="A34" s="654"/>
      <c r="B34" s="644" t="s">
        <v>416</v>
      </c>
      <c r="C34" s="652">
        <v>29.68533</v>
      </c>
      <c r="D34" s="652">
        <v>30.70251</v>
      </c>
      <c r="E34" s="652">
        <v>29.68533</v>
      </c>
      <c r="F34" s="857">
        <v>-3.313019033297282E-2</v>
      </c>
      <c r="H34" s="609"/>
      <c r="I34" s="812"/>
      <c r="J34" s="830"/>
      <c r="K34" s="830"/>
    </row>
    <row r="35" spans="1:11" s="469" customFormat="1" ht="10.5" customHeight="1">
      <c r="A35" s="654"/>
      <c r="B35" s="644" t="s">
        <v>417</v>
      </c>
      <c r="C35" s="652">
        <v>0.96462999999999999</v>
      </c>
      <c r="D35" s="652">
        <v>1.4356800000000001</v>
      </c>
      <c r="E35" s="652">
        <v>0.96462999999999999</v>
      </c>
      <c r="F35" s="857">
        <v>-0.32810236264348602</v>
      </c>
      <c r="H35" s="609"/>
      <c r="I35" s="812"/>
      <c r="J35" s="830"/>
      <c r="K35" s="830"/>
    </row>
    <row r="36" spans="1:11" s="469" customFormat="1" ht="10.5" customHeight="1">
      <c r="A36" s="654"/>
      <c r="B36" s="644" t="s">
        <v>418</v>
      </c>
      <c r="C36" s="652">
        <v>8.2976400000000012</v>
      </c>
      <c r="D36" s="652">
        <v>7.4944799999999994</v>
      </c>
      <c r="E36" s="652">
        <v>8.2976400000000012</v>
      </c>
      <c r="F36" s="857">
        <v>0.10716687481986775</v>
      </c>
      <c r="H36" s="609"/>
      <c r="I36" s="812"/>
      <c r="J36" s="830"/>
      <c r="K36" s="830"/>
    </row>
    <row r="37" spans="1:11" s="469" customFormat="1" ht="10.5" customHeight="1">
      <c r="A37" s="654"/>
      <c r="B37" s="644" t="s">
        <v>419</v>
      </c>
      <c r="C37" s="652">
        <v>5.0954300000000003</v>
      </c>
      <c r="D37" s="652">
        <v>4.4617599999999999</v>
      </c>
      <c r="E37" s="652">
        <v>5.0954300000000003</v>
      </c>
      <c r="F37" s="857">
        <v>0.14202243061034214</v>
      </c>
      <c r="H37" s="609"/>
      <c r="I37" s="812"/>
      <c r="J37" s="830"/>
      <c r="K37" s="830"/>
    </row>
    <row r="38" spans="1:11" s="469" customFormat="1" ht="10.5" customHeight="1">
      <c r="A38" s="654"/>
      <c r="B38" s="644" t="s">
        <v>420</v>
      </c>
      <c r="C38" s="652">
        <v>1.4777899999999999</v>
      </c>
      <c r="D38" s="652">
        <v>4.2775400000000001</v>
      </c>
      <c r="E38" s="652">
        <v>1.4777899999999999</v>
      </c>
      <c r="F38" s="857">
        <v>-0.65452339428737083</v>
      </c>
      <c r="H38" s="609"/>
      <c r="I38" s="812"/>
      <c r="J38" s="830"/>
      <c r="K38" s="830"/>
    </row>
    <row r="39" spans="1:11" s="469" customFormat="1" ht="10.5" customHeight="1">
      <c r="A39" s="654"/>
      <c r="B39" s="644" t="s">
        <v>421</v>
      </c>
      <c r="C39" s="652">
        <v>0</v>
      </c>
      <c r="D39" s="652">
        <v>0</v>
      </c>
      <c r="E39" s="652">
        <v>0</v>
      </c>
      <c r="F39" s="857" t="s">
        <v>788</v>
      </c>
      <c r="H39" s="609"/>
      <c r="I39" s="812"/>
      <c r="J39" s="830"/>
      <c r="K39" s="830"/>
    </row>
    <row r="40" spans="1:11" s="469" customFormat="1" ht="10.5" customHeight="1">
      <c r="A40" s="654"/>
      <c r="B40" s="644" t="s">
        <v>422</v>
      </c>
      <c r="C40" s="652">
        <v>0</v>
      </c>
      <c r="D40" s="652">
        <v>0</v>
      </c>
      <c r="E40" s="652">
        <v>0</v>
      </c>
      <c r="F40" s="857" t="s">
        <v>788</v>
      </c>
      <c r="H40" s="609"/>
      <c r="I40" s="812"/>
      <c r="J40" s="830"/>
      <c r="K40" s="830"/>
    </row>
    <row r="41" spans="1:11" s="469" customFormat="1" ht="10.5" customHeight="1">
      <c r="A41" s="654"/>
      <c r="B41" s="644" t="s">
        <v>423</v>
      </c>
      <c r="C41" s="652">
        <v>84.296870000000013</v>
      </c>
      <c r="D41" s="652">
        <v>107.44102000000001</v>
      </c>
      <c r="E41" s="652">
        <v>84.296870000000013</v>
      </c>
      <c r="F41" s="857">
        <v>-0.21541260498085368</v>
      </c>
      <c r="H41" s="609"/>
      <c r="I41" s="812"/>
      <c r="J41" s="830"/>
      <c r="K41" s="830"/>
    </row>
    <row r="42" spans="1:11" s="469" customFormat="1" ht="10.5" customHeight="1">
      <c r="A42" s="788" t="s">
        <v>424</v>
      </c>
      <c r="B42" s="789"/>
      <c r="C42" s="793">
        <v>339.57974999999999</v>
      </c>
      <c r="D42" s="793">
        <v>333.14267999999998</v>
      </c>
      <c r="E42" s="793">
        <v>339.57974999999999</v>
      </c>
      <c r="F42" s="794">
        <v>1.9322261560722254E-2</v>
      </c>
      <c r="H42" s="609"/>
      <c r="I42" s="812"/>
      <c r="J42" s="830"/>
      <c r="K42" s="830"/>
    </row>
    <row r="43" spans="1:11" s="469" customFormat="1" ht="10.5" customHeight="1">
      <c r="A43" s="654" t="s">
        <v>113</v>
      </c>
      <c r="B43" s="644" t="s">
        <v>256</v>
      </c>
      <c r="C43" s="652">
        <v>0</v>
      </c>
      <c r="D43" s="652">
        <v>0</v>
      </c>
      <c r="E43" s="652">
        <v>0</v>
      </c>
      <c r="F43" s="857" t="s">
        <v>788</v>
      </c>
      <c r="H43" s="609"/>
      <c r="I43" s="812"/>
      <c r="J43" s="830"/>
      <c r="K43" s="830"/>
    </row>
    <row r="44" spans="1:11" s="469" customFormat="1" ht="10.5" customHeight="1">
      <c r="A44" s="788" t="s">
        <v>425</v>
      </c>
      <c r="B44" s="789"/>
      <c r="C44" s="793">
        <v>0</v>
      </c>
      <c r="D44" s="793">
        <v>0</v>
      </c>
      <c r="E44" s="793">
        <v>0</v>
      </c>
      <c r="F44" s="794" t="s">
        <v>788</v>
      </c>
      <c r="H44" s="609"/>
      <c r="I44" s="812"/>
      <c r="J44" s="830"/>
      <c r="K44" s="830"/>
    </row>
    <row r="45" spans="1:11" s="469" customFormat="1" ht="10.5" customHeight="1">
      <c r="A45" s="654" t="s">
        <v>104</v>
      </c>
      <c r="B45" s="644" t="s">
        <v>775</v>
      </c>
      <c r="C45" s="652">
        <v>291.77163999999999</v>
      </c>
      <c r="D45" s="652">
        <v>184.45033000000001</v>
      </c>
      <c r="E45" s="652">
        <v>291.77163999999999</v>
      </c>
      <c r="F45" s="857">
        <v>0.58184395766600128</v>
      </c>
      <c r="H45" s="609"/>
      <c r="I45" s="812"/>
      <c r="J45" s="830"/>
      <c r="K45" s="830"/>
    </row>
    <row r="46" spans="1:11" s="469" customFormat="1" ht="10.5" customHeight="1">
      <c r="A46" s="788" t="s">
        <v>426</v>
      </c>
      <c r="B46" s="789"/>
      <c r="C46" s="793">
        <v>291.77163999999999</v>
      </c>
      <c r="D46" s="793">
        <v>184.45033000000001</v>
      </c>
      <c r="E46" s="793">
        <v>291.77163999999999</v>
      </c>
      <c r="F46" s="794">
        <v>0.58184395766600128</v>
      </c>
      <c r="J46" s="830"/>
      <c r="K46" s="830"/>
    </row>
    <row r="47" spans="1:11" s="469" customFormat="1" ht="10.5" customHeight="1">
      <c r="A47" s="654" t="s">
        <v>109</v>
      </c>
      <c r="B47" s="644" t="s">
        <v>427</v>
      </c>
      <c r="C47" s="652">
        <v>0</v>
      </c>
      <c r="D47" s="652">
        <v>0</v>
      </c>
      <c r="E47" s="652">
        <v>0</v>
      </c>
      <c r="F47" s="857" t="s">
        <v>788</v>
      </c>
      <c r="H47" s="609"/>
      <c r="I47" s="812"/>
      <c r="J47" s="658"/>
      <c r="K47" s="658"/>
    </row>
    <row r="48" spans="1:11" s="469" customFormat="1" ht="10.5" customHeight="1">
      <c r="A48" s="788" t="s">
        <v>428</v>
      </c>
      <c r="B48" s="789"/>
      <c r="C48" s="793">
        <v>0</v>
      </c>
      <c r="D48" s="793">
        <v>0</v>
      </c>
      <c r="E48" s="793">
        <v>0</v>
      </c>
      <c r="F48" s="794" t="s">
        <v>788</v>
      </c>
    </row>
    <row r="49" spans="1:13" ht="6.75" customHeight="1">
      <c r="A49" s="859"/>
      <c r="B49" s="859"/>
      <c r="C49" s="860"/>
      <c r="D49" s="860"/>
      <c r="E49" s="860"/>
      <c r="F49" s="861"/>
      <c r="G49" s="675"/>
      <c r="H49" s="862"/>
    </row>
    <row r="50" spans="1:13" s="592" customFormat="1" ht="12" customHeight="1">
      <c r="A50" s="758" t="s">
        <v>500</v>
      </c>
      <c r="B50" s="780"/>
      <c r="C50" s="759">
        <v>6884.5913399999981</v>
      </c>
      <c r="D50" s="759">
        <v>6462.4026000000003</v>
      </c>
      <c r="E50" s="759">
        <v>6884.5913399999981</v>
      </c>
      <c r="F50" s="781">
        <f>+IF(D50=0,"",C50/D50-1)</f>
        <v>6.5329996617666364E-2</v>
      </c>
      <c r="G50" s="359"/>
      <c r="H50" s="359"/>
      <c r="I50" s="359"/>
      <c r="J50" s="359"/>
      <c r="K50" s="359"/>
      <c r="L50" s="359"/>
      <c r="M50" s="359"/>
    </row>
    <row r="51" spans="1:13" s="592" customFormat="1" ht="12" customHeight="1">
      <c r="A51" s="760" t="s">
        <v>429</v>
      </c>
      <c r="B51" s="761"/>
      <c r="C51" s="759">
        <v>0</v>
      </c>
      <c r="D51" s="759">
        <v>0</v>
      </c>
      <c r="E51" s="763">
        <v>0</v>
      </c>
      <c r="F51" s="782">
        <v>0</v>
      </c>
      <c r="G51" s="359"/>
      <c r="H51" s="359"/>
      <c r="I51" s="359"/>
      <c r="J51" s="359"/>
      <c r="K51" s="359"/>
      <c r="L51" s="359"/>
      <c r="M51" s="359"/>
    </row>
    <row r="52" spans="1:13" s="592" customFormat="1" ht="12" customHeight="1">
      <c r="A52" s="764" t="s">
        <v>430</v>
      </c>
      <c r="B52" s="765"/>
      <c r="C52" s="759">
        <v>0</v>
      </c>
      <c r="D52" s="759">
        <v>0</v>
      </c>
      <c r="E52" s="763">
        <v>0</v>
      </c>
      <c r="F52" s="782">
        <v>0</v>
      </c>
      <c r="G52" s="359"/>
      <c r="H52" s="359"/>
      <c r="I52" s="359"/>
      <c r="J52" s="359"/>
      <c r="K52" s="359"/>
      <c r="L52" s="359"/>
      <c r="M52" s="359"/>
    </row>
    <row r="53" spans="1:13" ht="12" customHeight="1">
      <c r="A53" s="649" t="s">
        <v>532</v>
      </c>
    </row>
    <row r="54" spans="1:13" ht="12" customHeight="1">
      <c r="A54" s="649" t="s">
        <v>551</v>
      </c>
    </row>
    <row r="55" spans="1:13" ht="12" customHeight="1">
      <c r="A55" s="649" t="s">
        <v>552</v>
      </c>
    </row>
    <row r="56" spans="1:13" ht="12" customHeight="1">
      <c r="A56" s="649" t="s">
        <v>553</v>
      </c>
    </row>
    <row r="57" spans="1:13" ht="12" customHeight="1">
      <c r="A57" s="649" t="s">
        <v>554</v>
      </c>
    </row>
    <row r="58" spans="1:13" ht="12" customHeight="1">
      <c r="A58" s="649" t="s">
        <v>555</v>
      </c>
    </row>
    <row r="59" spans="1:13" ht="12" customHeight="1">
      <c r="A59" s="649" t="s">
        <v>556</v>
      </c>
    </row>
    <row r="60" spans="1:13" ht="12" customHeight="1">
      <c r="A60" s="649" t="s">
        <v>557</v>
      </c>
    </row>
    <row r="61" spans="1:13" ht="12" customHeight="1">
      <c r="A61" s="649" t="s">
        <v>796</v>
      </c>
    </row>
    <row r="62" spans="1:13" ht="12" customHeight="1">
      <c r="A62" s="649" t="s">
        <v>797</v>
      </c>
    </row>
    <row r="63" spans="1:13" ht="12" customHeight="1">
      <c r="A63" s="649" t="s">
        <v>794</v>
      </c>
    </row>
    <row r="64" spans="1:13" ht="12" customHeight="1">
      <c r="A64" s="649" t="s">
        <v>795</v>
      </c>
    </row>
    <row r="65" spans="1:1" ht="12" customHeight="1">
      <c r="A65" s="649" t="s">
        <v>793</v>
      </c>
    </row>
    <row r="66" spans="1:1" ht="12" customHeight="1">
      <c r="A66" s="649" t="s">
        <v>784</v>
      </c>
    </row>
    <row r="67" spans="1:1" ht="12" customHeight="1">
      <c r="A67" s="649" t="s">
        <v>785</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6"/>
  <sheetViews>
    <sheetView showGridLines="0" view="pageBreakPreview" zoomScale="190" zoomScaleNormal="100" zoomScaleSheetLayoutView="190" zoomScalePageLayoutView="145" workbookViewId="0">
      <selection activeCell="D4" sqref="D4"/>
    </sheetView>
  </sheetViews>
  <sheetFormatPr defaultColWidth="9.33203125" defaultRowHeight="11.25"/>
  <cols>
    <col min="1" max="1" width="9.83203125" style="50" customWidth="1"/>
    <col min="2" max="2" width="6.6640625" style="50" customWidth="1"/>
    <col min="3" max="3" width="10.1640625" style="50"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369" t="s">
        <v>447</v>
      </c>
      <c r="B3" s="367"/>
    </row>
    <row r="4" spans="1:13" s="50" customFormat="1" ht="11.25" customHeight="1">
      <c r="A4" s="344"/>
      <c r="B4" s="367"/>
    </row>
    <row r="5" spans="1:13" s="50" customFormat="1" ht="11.25" customHeight="1">
      <c r="A5" s="368" t="s">
        <v>558</v>
      </c>
      <c r="C5" s="844">
        <v>6884.5913399999999</v>
      </c>
    </row>
    <row r="6" spans="1:13" s="50" customFormat="1" ht="11.25" customHeight="1">
      <c r="A6" s="368" t="s">
        <v>448</v>
      </c>
      <c r="C6" s="845" t="s">
        <v>734</v>
      </c>
    </row>
    <row r="7" spans="1:13" s="50" customFormat="1" ht="11.25" customHeight="1">
      <c r="A7" s="368" t="s">
        <v>449</v>
      </c>
      <c r="C7" s="846" t="s">
        <v>506</v>
      </c>
    </row>
    <row r="8" spans="1:13" s="50" customFormat="1" ht="11.25" customHeight="1"/>
    <row r="9" spans="1:13" s="50" customFormat="1" ht="14.25" customHeight="1">
      <c r="A9" s="1017" t="s">
        <v>440</v>
      </c>
      <c r="B9" s="1018" t="s">
        <v>441</v>
      </c>
      <c r="C9" s="1018"/>
      <c r="D9" s="1018"/>
      <c r="E9" s="1018"/>
      <c r="F9" s="1018"/>
      <c r="G9" s="1018" t="s">
        <v>442</v>
      </c>
      <c r="H9" s="1018"/>
      <c r="I9" s="1018"/>
      <c r="J9" s="1018"/>
      <c r="K9" s="1018"/>
    </row>
    <row r="10" spans="1:13" s="50" customFormat="1" ht="26.25" customHeight="1">
      <c r="A10" s="1017"/>
      <c r="B10" s="774" t="s">
        <v>443</v>
      </c>
      <c r="C10" s="774" t="s">
        <v>208</v>
      </c>
      <c r="D10" s="774" t="s">
        <v>429</v>
      </c>
      <c r="E10" s="774" t="s">
        <v>430</v>
      </c>
      <c r="F10" s="775" t="s">
        <v>446</v>
      </c>
      <c r="G10" s="774" t="s">
        <v>443</v>
      </c>
      <c r="H10" s="774" t="s">
        <v>208</v>
      </c>
      <c r="I10" s="774" t="s">
        <v>429</v>
      </c>
      <c r="J10" s="774" t="s">
        <v>430</v>
      </c>
      <c r="K10" s="775" t="s">
        <v>446</v>
      </c>
      <c r="L10" s="234"/>
      <c r="M10" s="61"/>
    </row>
    <row r="11" spans="1:13" s="50" customFormat="1" ht="11.25" customHeight="1">
      <c r="A11" s="1017"/>
      <c r="B11" s="774" t="s">
        <v>444</v>
      </c>
      <c r="C11" s="774" t="s">
        <v>445</v>
      </c>
      <c r="D11" s="774" t="s">
        <v>445</v>
      </c>
      <c r="E11" s="774" t="s">
        <v>445</v>
      </c>
      <c r="F11" s="774" t="s">
        <v>445</v>
      </c>
      <c r="G11" s="774" t="s">
        <v>444</v>
      </c>
      <c r="H11" s="774" t="s">
        <v>445</v>
      </c>
      <c r="I11" s="774" t="s">
        <v>445</v>
      </c>
      <c r="J11" s="774" t="s">
        <v>445</v>
      </c>
      <c r="K11" s="774" t="s">
        <v>445</v>
      </c>
      <c r="L11" s="234"/>
      <c r="M11" s="61"/>
    </row>
    <row r="12" spans="1:13" s="50" customFormat="1" ht="11.25" customHeight="1">
      <c r="A12" s="480" t="s">
        <v>717</v>
      </c>
      <c r="B12" s="863" t="s">
        <v>508</v>
      </c>
      <c r="C12" s="364">
        <v>6443.9166400000004</v>
      </c>
      <c r="D12" s="364">
        <v>0</v>
      </c>
      <c r="E12" s="364">
        <v>0</v>
      </c>
      <c r="F12" s="364">
        <v>6443.9166400000004</v>
      </c>
      <c r="G12" s="863" t="s">
        <v>597</v>
      </c>
      <c r="H12" s="364">
        <v>6561.4566199999999</v>
      </c>
      <c r="I12" s="364">
        <v>0</v>
      </c>
      <c r="J12" s="364">
        <v>0</v>
      </c>
      <c r="K12" s="364">
        <v>6561.4566199999999</v>
      </c>
      <c r="L12" s="245"/>
      <c r="M12" s="61"/>
    </row>
    <row r="13" spans="1:13" s="50" customFormat="1" ht="11.25" customHeight="1">
      <c r="A13" s="480" t="s">
        <v>718</v>
      </c>
      <c r="B13" s="864" t="s">
        <v>505</v>
      </c>
      <c r="C13" s="365">
        <v>5833.6746300000004</v>
      </c>
      <c r="D13" s="365">
        <v>0</v>
      </c>
      <c r="E13" s="365">
        <v>0</v>
      </c>
      <c r="F13" s="365">
        <v>5833.6746300000004</v>
      </c>
      <c r="G13" s="864" t="s">
        <v>564</v>
      </c>
      <c r="H13" s="365">
        <v>6587.8513999999996</v>
      </c>
      <c r="I13" s="365">
        <v>0</v>
      </c>
      <c r="J13" s="365">
        <v>0</v>
      </c>
      <c r="K13" s="365">
        <v>6587.8513999999996</v>
      </c>
      <c r="L13" s="7"/>
    </row>
    <row r="14" spans="1:13" s="50" customFormat="1" ht="11.25" customHeight="1">
      <c r="A14" s="480" t="s">
        <v>719</v>
      </c>
      <c r="B14" s="864" t="s">
        <v>720</v>
      </c>
      <c r="C14" s="365">
        <v>6635.9227499999997</v>
      </c>
      <c r="D14" s="365">
        <v>0</v>
      </c>
      <c r="E14" s="365">
        <v>0</v>
      </c>
      <c r="F14" s="365">
        <v>6635.9227499999997</v>
      </c>
      <c r="G14" s="864" t="s">
        <v>611</v>
      </c>
      <c r="H14" s="365">
        <v>6808.6102700000001</v>
      </c>
      <c r="I14" s="365">
        <v>0</v>
      </c>
      <c r="J14" s="365">
        <v>0</v>
      </c>
      <c r="K14" s="365">
        <v>6808.6102700000001</v>
      </c>
      <c r="L14" s="20"/>
    </row>
    <row r="15" spans="1:13" s="50" customFormat="1" ht="11.25" customHeight="1">
      <c r="A15" s="480" t="s">
        <v>721</v>
      </c>
      <c r="B15" s="864" t="s">
        <v>598</v>
      </c>
      <c r="C15" s="365">
        <v>6697.6833699999997</v>
      </c>
      <c r="D15" s="365">
        <v>0</v>
      </c>
      <c r="E15" s="365">
        <v>0</v>
      </c>
      <c r="F15" s="365">
        <v>6697.6833699999997</v>
      </c>
      <c r="G15" s="864" t="s">
        <v>610</v>
      </c>
      <c r="H15" s="365">
        <v>6808.5709100000004</v>
      </c>
      <c r="I15" s="365">
        <v>0</v>
      </c>
      <c r="J15" s="365">
        <v>0</v>
      </c>
      <c r="K15" s="365">
        <v>6808.5709100000004</v>
      </c>
      <c r="L15" s="16"/>
    </row>
    <row r="16" spans="1:13" s="50" customFormat="1" ht="11.25" customHeight="1">
      <c r="A16" s="480" t="s">
        <v>722</v>
      </c>
      <c r="B16" s="864" t="s">
        <v>561</v>
      </c>
      <c r="C16" s="365">
        <v>6596.86978</v>
      </c>
      <c r="D16" s="365">
        <v>0</v>
      </c>
      <c r="E16" s="365">
        <v>0</v>
      </c>
      <c r="F16" s="365">
        <v>6596.86978</v>
      </c>
      <c r="G16" s="864" t="s">
        <v>610</v>
      </c>
      <c r="H16" s="365">
        <v>6718.2854900000002</v>
      </c>
      <c r="I16" s="365">
        <v>0</v>
      </c>
      <c r="J16" s="365">
        <v>0</v>
      </c>
      <c r="K16" s="365">
        <v>6718.2854900000002</v>
      </c>
      <c r="L16" s="29"/>
    </row>
    <row r="17" spans="1:12" s="50" customFormat="1" ht="11.25" customHeight="1">
      <c r="A17" s="480" t="s">
        <v>723</v>
      </c>
      <c r="B17" s="864" t="s">
        <v>613</v>
      </c>
      <c r="C17" s="365">
        <v>6694.2040800000004</v>
      </c>
      <c r="D17" s="365">
        <v>0</v>
      </c>
      <c r="E17" s="365">
        <v>0</v>
      </c>
      <c r="F17" s="365">
        <v>6694.2040800000004</v>
      </c>
      <c r="G17" s="864" t="s">
        <v>504</v>
      </c>
      <c r="H17" s="365">
        <v>6819.2035999999998</v>
      </c>
      <c r="I17" s="365">
        <v>0</v>
      </c>
      <c r="J17" s="365">
        <v>0</v>
      </c>
      <c r="K17" s="365">
        <v>6819.2035999999998</v>
      </c>
      <c r="L17" s="29"/>
    </row>
    <row r="18" spans="1:12" s="50" customFormat="1" ht="11.25" customHeight="1">
      <c r="A18" s="480" t="s">
        <v>724</v>
      </c>
      <c r="B18" s="864" t="s">
        <v>508</v>
      </c>
      <c r="C18" s="365">
        <v>6777.9714800000002</v>
      </c>
      <c r="D18" s="365">
        <v>0</v>
      </c>
      <c r="E18" s="365">
        <v>0</v>
      </c>
      <c r="F18" s="365">
        <v>6777.9714800000002</v>
      </c>
      <c r="G18" s="864" t="s">
        <v>504</v>
      </c>
      <c r="H18" s="365">
        <v>6816.6825500000004</v>
      </c>
      <c r="I18" s="365">
        <v>0</v>
      </c>
      <c r="J18" s="365">
        <v>0</v>
      </c>
      <c r="K18" s="365">
        <v>6816.6825500000004</v>
      </c>
      <c r="L18" s="29"/>
    </row>
    <row r="19" spans="1:12" s="50" customFormat="1" ht="11.25" customHeight="1">
      <c r="A19" s="480" t="s">
        <v>725</v>
      </c>
      <c r="B19" s="864" t="s">
        <v>507</v>
      </c>
      <c r="C19" s="365">
        <v>6058.5810000000001</v>
      </c>
      <c r="D19" s="365">
        <v>0</v>
      </c>
      <c r="E19" s="365">
        <v>0</v>
      </c>
      <c r="F19" s="365">
        <v>6058.5810000000001</v>
      </c>
      <c r="G19" s="864" t="s">
        <v>504</v>
      </c>
      <c r="H19" s="365">
        <v>6481.8415999999997</v>
      </c>
      <c r="I19" s="365">
        <v>0</v>
      </c>
      <c r="J19" s="365">
        <v>0</v>
      </c>
      <c r="K19" s="365">
        <v>6481.8415999999997</v>
      </c>
      <c r="L19" s="29"/>
    </row>
    <row r="20" spans="1:12" s="50" customFormat="1" ht="11.25" customHeight="1">
      <c r="A20" s="480" t="s">
        <v>726</v>
      </c>
      <c r="B20" s="864" t="s">
        <v>505</v>
      </c>
      <c r="C20" s="574">
        <v>5923.6728300000004</v>
      </c>
      <c r="D20" s="574">
        <v>0</v>
      </c>
      <c r="E20" s="574">
        <v>0</v>
      </c>
      <c r="F20" s="574">
        <v>5923.6728300000004</v>
      </c>
      <c r="G20" s="865" t="s">
        <v>610</v>
      </c>
      <c r="H20" s="574">
        <v>6561.9888600000004</v>
      </c>
      <c r="I20" s="574">
        <v>0</v>
      </c>
      <c r="J20" s="574">
        <v>0</v>
      </c>
      <c r="K20" s="574">
        <v>6561.9888600000004</v>
      </c>
      <c r="L20" s="31"/>
    </row>
    <row r="21" spans="1:12" s="50" customFormat="1" ht="11.25" customHeight="1">
      <c r="A21" s="480" t="s">
        <v>727</v>
      </c>
      <c r="B21" s="864" t="s">
        <v>720</v>
      </c>
      <c r="C21" s="365">
        <v>6779.97606</v>
      </c>
      <c r="D21" s="365">
        <v>0</v>
      </c>
      <c r="E21" s="365">
        <v>0</v>
      </c>
      <c r="F21" s="365">
        <v>6779.97606</v>
      </c>
      <c r="G21" s="865" t="s">
        <v>506</v>
      </c>
      <c r="H21" s="574">
        <v>6869.80951</v>
      </c>
      <c r="I21" s="574">
        <v>0</v>
      </c>
      <c r="J21" s="574">
        <v>0</v>
      </c>
      <c r="K21" s="574">
        <v>6869.80951</v>
      </c>
      <c r="L21" s="29"/>
    </row>
    <row r="22" spans="1:12" s="50" customFormat="1" ht="11.25" customHeight="1">
      <c r="A22" s="480" t="s">
        <v>728</v>
      </c>
      <c r="B22" s="864" t="s">
        <v>507</v>
      </c>
      <c r="C22" s="574">
        <v>6713.0539699999999</v>
      </c>
      <c r="D22" s="574">
        <v>0</v>
      </c>
      <c r="E22" s="574">
        <v>0</v>
      </c>
      <c r="F22" s="574">
        <v>6713.0539699999999</v>
      </c>
      <c r="G22" s="865" t="s">
        <v>504</v>
      </c>
      <c r="H22" s="574">
        <v>6777.1191799999997</v>
      </c>
      <c r="I22" s="574">
        <v>0</v>
      </c>
      <c r="J22" s="574">
        <v>0</v>
      </c>
      <c r="K22" s="574">
        <v>6777.1191799999997</v>
      </c>
      <c r="L22" s="29"/>
    </row>
    <row r="23" spans="1:12" s="50" customFormat="1" ht="11.25" customHeight="1">
      <c r="A23" s="480" t="s">
        <v>729</v>
      </c>
      <c r="B23" s="864" t="s">
        <v>507</v>
      </c>
      <c r="C23" s="574">
        <v>6897.7551700000004</v>
      </c>
      <c r="D23" s="574">
        <v>0</v>
      </c>
      <c r="E23" s="574">
        <v>0</v>
      </c>
      <c r="F23" s="574">
        <v>6897.7551700000004</v>
      </c>
      <c r="G23" s="865" t="s">
        <v>504</v>
      </c>
      <c r="H23" s="574">
        <v>6876.7080100000003</v>
      </c>
      <c r="I23" s="574">
        <v>0</v>
      </c>
      <c r="J23" s="574">
        <v>0</v>
      </c>
      <c r="K23" s="574">
        <v>6876.7080100000003</v>
      </c>
      <c r="L23" s="29"/>
    </row>
    <row r="24" spans="1:12" s="50" customFormat="1" ht="11.25" customHeight="1">
      <c r="A24" s="480" t="s">
        <v>730</v>
      </c>
      <c r="B24" s="864" t="s">
        <v>612</v>
      </c>
      <c r="C24" s="574">
        <v>6858.4222499999996</v>
      </c>
      <c r="D24" s="574">
        <v>0</v>
      </c>
      <c r="E24" s="574">
        <v>0</v>
      </c>
      <c r="F24" s="574">
        <v>6858.4222499999996</v>
      </c>
      <c r="G24" s="865" t="s">
        <v>504</v>
      </c>
      <c r="H24" s="574">
        <v>6791.6798600000002</v>
      </c>
      <c r="I24" s="574">
        <v>0</v>
      </c>
      <c r="J24" s="574">
        <v>0</v>
      </c>
      <c r="K24" s="574">
        <v>6791.6798600000002</v>
      </c>
      <c r="L24" s="29"/>
    </row>
    <row r="25" spans="1:12" s="50" customFormat="1" ht="11.25" customHeight="1">
      <c r="A25" s="480" t="s">
        <v>731</v>
      </c>
      <c r="B25" s="864" t="s">
        <v>508</v>
      </c>
      <c r="C25" s="574">
        <v>6848.6393600000001</v>
      </c>
      <c r="D25" s="574">
        <v>0</v>
      </c>
      <c r="E25" s="574">
        <v>0</v>
      </c>
      <c r="F25" s="574">
        <v>6848.6393600000001</v>
      </c>
      <c r="G25" s="865" t="s">
        <v>506</v>
      </c>
      <c r="H25" s="574">
        <v>6816.24136</v>
      </c>
      <c r="I25" s="574">
        <v>0</v>
      </c>
      <c r="J25" s="574">
        <v>0</v>
      </c>
      <c r="K25" s="574">
        <v>6816.24136</v>
      </c>
      <c r="L25" s="29"/>
    </row>
    <row r="26" spans="1:12" s="50" customFormat="1" ht="11.25" customHeight="1">
      <c r="A26" s="480" t="s">
        <v>732</v>
      </c>
      <c r="B26" s="864" t="s">
        <v>561</v>
      </c>
      <c r="C26" s="574">
        <v>6645.6389799999997</v>
      </c>
      <c r="D26" s="574">
        <v>0</v>
      </c>
      <c r="E26" s="574">
        <v>0</v>
      </c>
      <c r="F26" s="574">
        <v>6645.6389799999997</v>
      </c>
      <c r="G26" s="865" t="s">
        <v>506</v>
      </c>
      <c r="H26" s="574">
        <v>6803.5562799999998</v>
      </c>
      <c r="I26" s="574">
        <v>0</v>
      </c>
      <c r="J26" s="574">
        <v>0</v>
      </c>
      <c r="K26" s="574">
        <v>6803.5562799999998</v>
      </c>
      <c r="L26" s="29"/>
    </row>
    <row r="27" spans="1:12" s="50" customFormat="1" ht="11.25" customHeight="1">
      <c r="A27" s="480" t="s">
        <v>733</v>
      </c>
      <c r="B27" s="864" t="s">
        <v>505</v>
      </c>
      <c r="C27" s="574">
        <v>6162.8284400000002</v>
      </c>
      <c r="D27" s="574">
        <v>0</v>
      </c>
      <c r="E27" s="574">
        <v>0</v>
      </c>
      <c r="F27" s="574">
        <v>6162.8284400000002</v>
      </c>
      <c r="G27" s="865" t="s">
        <v>597</v>
      </c>
      <c r="H27" s="574">
        <v>6707.99028</v>
      </c>
      <c r="I27" s="574">
        <v>0</v>
      </c>
      <c r="J27" s="574">
        <v>0</v>
      </c>
      <c r="K27" s="574">
        <v>6707.99028</v>
      </c>
      <c r="L27" s="29"/>
    </row>
    <row r="28" spans="1:12" s="50" customFormat="1" ht="11.25" customHeight="1">
      <c r="A28" s="480" t="s">
        <v>734</v>
      </c>
      <c r="B28" s="864" t="s">
        <v>598</v>
      </c>
      <c r="C28" s="574">
        <v>6861.6632399999999</v>
      </c>
      <c r="D28" s="574">
        <v>0</v>
      </c>
      <c r="E28" s="574">
        <v>0</v>
      </c>
      <c r="F28" s="574">
        <v>6861.6632399999999</v>
      </c>
      <c r="G28" s="866" t="s">
        <v>506</v>
      </c>
      <c r="H28" s="366">
        <v>6884.5913399999999</v>
      </c>
      <c r="I28" s="366">
        <v>0</v>
      </c>
      <c r="J28" s="366">
        <v>0</v>
      </c>
      <c r="K28" s="366">
        <v>6884.5913399999999</v>
      </c>
      <c r="L28" s="39"/>
    </row>
    <row r="29" spans="1:12" s="50" customFormat="1" ht="11.25" customHeight="1">
      <c r="A29" s="480" t="s">
        <v>735</v>
      </c>
      <c r="B29" s="864" t="s">
        <v>599</v>
      </c>
      <c r="C29" s="574">
        <v>6695.5957099999996</v>
      </c>
      <c r="D29" s="574">
        <v>0</v>
      </c>
      <c r="E29" s="574">
        <v>0</v>
      </c>
      <c r="F29" s="574">
        <v>6695.5957099999996</v>
      </c>
      <c r="G29" s="865" t="s">
        <v>611</v>
      </c>
      <c r="H29" s="574">
        <v>6768.9696700000004</v>
      </c>
      <c r="I29" s="574">
        <v>0</v>
      </c>
      <c r="J29" s="574">
        <v>0</v>
      </c>
      <c r="K29" s="574">
        <v>6768.9696700000004</v>
      </c>
      <c r="L29" s="29"/>
    </row>
    <row r="30" spans="1:12" s="50" customFormat="1" ht="11.25" customHeight="1">
      <c r="A30" s="480" t="s">
        <v>736</v>
      </c>
      <c r="B30" s="866" t="s">
        <v>612</v>
      </c>
      <c r="C30" s="366">
        <v>6927.5643300000002</v>
      </c>
      <c r="D30" s="366">
        <v>0</v>
      </c>
      <c r="E30" s="366">
        <v>0</v>
      </c>
      <c r="F30" s="366">
        <v>6927.5643300000002</v>
      </c>
      <c r="G30" s="865" t="s">
        <v>506</v>
      </c>
      <c r="H30" s="574">
        <v>6872.3162700000003</v>
      </c>
      <c r="I30" s="574">
        <v>0</v>
      </c>
      <c r="J30" s="574">
        <v>0</v>
      </c>
      <c r="K30" s="574">
        <v>6872.3162700000003</v>
      </c>
      <c r="L30" s="29"/>
    </row>
    <row r="31" spans="1:12" s="50" customFormat="1" ht="11.25" customHeight="1">
      <c r="A31" s="480" t="s">
        <v>737</v>
      </c>
      <c r="B31" s="864" t="s">
        <v>507</v>
      </c>
      <c r="C31" s="574">
        <v>6808.3640599999999</v>
      </c>
      <c r="D31" s="574">
        <v>0</v>
      </c>
      <c r="E31" s="574">
        <v>0</v>
      </c>
      <c r="F31" s="574">
        <v>6808.3640599999999</v>
      </c>
      <c r="G31" s="865" t="s">
        <v>611</v>
      </c>
      <c r="H31" s="574">
        <v>6732.5032700000002</v>
      </c>
      <c r="I31" s="574">
        <v>0</v>
      </c>
      <c r="J31" s="574">
        <v>0</v>
      </c>
      <c r="K31" s="574">
        <v>6732.5032700000002</v>
      </c>
      <c r="L31" s="20"/>
    </row>
    <row r="32" spans="1:12" s="50" customFormat="1" ht="11.25" customHeight="1">
      <c r="A32" s="480" t="s">
        <v>738</v>
      </c>
      <c r="B32" s="864" t="s">
        <v>561</v>
      </c>
      <c r="C32" s="574">
        <v>6868.8134300000002</v>
      </c>
      <c r="D32" s="574">
        <v>0</v>
      </c>
      <c r="E32" s="574">
        <v>0</v>
      </c>
      <c r="F32" s="574">
        <v>6868.8134300000002</v>
      </c>
      <c r="G32" s="865" t="s">
        <v>611</v>
      </c>
      <c r="H32" s="574">
        <v>6834.1103300000004</v>
      </c>
      <c r="I32" s="574">
        <v>0</v>
      </c>
      <c r="J32" s="574">
        <v>0</v>
      </c>
      <c r="K32" s="574">
        <v>6834.1103300000004</v>
      </c>
      <c r="L32" s="22"/>
    </row>
    <row r="33" spans="1:12" s="50" customFormat="1" ht="11.25" customHeight="1">
      <c r="A33" s="480" t="s">
        <v>739</v>
      </c>
      <c r="B33" s="864" t="s">
        <v>507</v>
      </c>
      <c r="C33" s="574">
        <v>6517.9661100000003</v>
      </c>
      <c r="D33" s="574">
        <v>0</v>
      </c>
      <c r="E33" s="574">
        <v>0</v>
      </c>
      <c r="F33" s="574">
        <v>6517.9661100000003</v>
      </c>
      <c r="G33" s="865" t="s">
        <v>610</v>
      </c>
      <c r="H33" s="574">
        <v>6731.9465499999997</v>
      </c>
      <c r="I33" s="574">
        <v>0</v>
      </c>
      <c r="J33" s="574">
        <v>0</v>
      </c>
      <c r="K33" s="574">
        <v>6731.9465499999997</v>
      </c>
      <c r="L33" s="20"/>
    </row>
    <row r="34" spans="1:12" s="50" customFormat="1" ht="11.25" customHeight="1">
      <c r="A34" s="480" t="s">
        <v>740</v>
      </c>
      <c r="B34" s="864" t="s">
        <v>505</v>
      </c>
      <c r="C34" s="574">
        <v>6147.0910899999999</v>
      </c>
      <c r="D34" s="574">
        <v>0</v>
      </c>
      <c r="E34" s="574">
        <v>0</v>
      </c>
      <c r="F34" s="574">
        <v>6147.0910899999999</v>
      </c>
      <c r="G34" s="865" t="s">
        <v>611</v>
      </c>
      <c r="H34" s="574">
        <v>6666.9907499999999</v>
      </c>
      <c r="I34" s="574">
        <v>0</v>
      </c>
      <c r="J34" s="574">
        <v>0</v>
      </c>
      <c r="K34" s="574">
        <v>6666.9907499999999</v>
      </c>
      <c r="L34" s="20"/>
    </row>
    <row r="35" spans="1:12" s="50" customFormat="1" ht="11.25" customHeight="1">
      <c r="A35" s="480" t="s">
        <v>741</v>
      </c>
      <c r="B35" s="864" t="s">
        <v>561</v>
      </c>
      <c r="C35" s="574">
        <v>6182.0759399999997</v>
      </c>
      <c r="D35" s="574">
        <v>0</v>
      </c>
      <c r="E35" s="574">
        <v>0</v>
      </c>
      <c r="F35" s="574">
        <v>6182.0759399999997</v>
      </c>
      <c r="G35" s="865" t="s">
        <v>506</v>
      </c>
      <c r="H35" s="574">
        <v>6269.3824699999996</v>
      </c>
      <c r="I35" s="574">
        <v>0</v>
      </c>
      <c r="J35" s="574">
        <v>0</v>
      </c>
      <c r="K35" s="574">
        <v>6269.3824699999996</v>
      </c>
      <c r="L35" s="29"/>
    </row>
    <row r="36" spans="1:12" s="50" customFormat="1" ht="11.25" customHeight="1">
      <c r="A36" s="480" t="s">
        <v>742</v>
      </c>
      <c r="B36" s="864" t="s">
        <v>505</v>
      </c>
      <c r="C36" s="574">
        <v>5504.0584799999997</v>
      </c>
      <c r="D36" s="574">
        <v>0</v>
      </c>
      <c r="E36" s="574">
        <v>0</v>
      </c>
      <c r="F36" s="574">
        <v>5504.0584799999997</v>
      </c>
      <c r="G36" s="865" t="s">
        <v>597</v>
      </c>
      <c r="H36" s="574">
        <v>5970.6425300000001</v>
      </c>
      <c r="I36" s="574">
        <v>0</v>
      </c>
      <c r="J36" s="574">
        <v>0</v>
      </c>
      <c r="K36" s="574">
        <v>5970.6425300000001</v>
      </c>
      <c r="L36" s="29"/>
    </row>
    <row r="37" spans="1:12" s="50" customFormat="1" ht="11.25" customHeight="1">
      <c r="A37" s="480" t="s">
        <v>743</v>
      </c>
      <c r="B37" s="864" t="s">
        <v>507</v>
      </c>
      <c r="C37" s="574">
        <v>6571.2073099999998</v>
      </c>
      <c r="D37" s="574">
        <v>0</v>
      </c>
      <c r="E37" s="574">
        <v>0</v>
      </c>
      <c r="F37" s="574">
        <v>6571.2073099999998</v>
      </c>
      <c r="G37" s="865" t="s">
        <v>597</v>
      </c>
      <c r="H37" s="574">
        <v>6670.4528</v>
      </c>
      <c r="I37" s="574">
        <v>0</v>
      </c>
      <c r="J37" s="574">
        <v>0</v>
      </c>
      <c r="K37" s="574">
        <v>6670.4528</v>
      </c>
      <c r="L37" s="29"/>
    </row>
    <row r="38" spans="1:12" s="50" customFormat="1" ht="11.25" customHeight="1">
      <c r="A38" s="480" t="s">
        <v>744</v>
      </c>
      <c r="B38" s="864" t="s">
        <v>745</v>
      </c>
      <c r="C38" s="574">
        <v>6747.77675</v>
      </c>
      <c r="D38" s="574">
        <v>0</v>
      </c>
      <c r="E38" s="574">
        <v>0</v>
      </c>
      <c r="F38" s="574">
        <v>6747.77675</v>
      </c>
      <c r="G38" s="865" t="s">
        <v>746</v>
      </c>
      <c r="H38" s="574">
        <v>6825.9240399999999</v>
      </c>
      <c r="I38" s="574">
        <v>0</v>
      </c>
      <c r="J38" s="574">
        <v>0</v>
      </c>
      <c r="K38" s="574">
        <v>6825.9240399999999</v>
      </c>
      <c r="L38" s="29"/>
    </row>
    <row r="39" spans="1:12" s="50" customFormat="1" ht="11.25" customHeight="1">
      <c r="A39" s="480" t="s">
        <v>747</v>
      </c>
      <c r="B39" s="864" t="s">
        <v>561</v>
      </c>
      <c r="C39" s="574">
        <v>6753.4312099999997</v>
      </c>
      <c r="D39" s="574">
        <v>0</v>
      </c>
      <c r="E39" s="574">
        <v>0</v>
      </c>
      <c r="F39" s="574">
        <v>6753.4312099999997</v>
      </c>
      <c r="G39" s="865" t="s">
        <v>611</v>
      </c>
      <c r="H39" s="574">
        <v>6797.7624500000002</v>
      </c>
      <c r="I39" s="574">
        <v>0</v>
      </c>
      <c r="J39" s="574">
        <v>0</v>
      </c>
      <c r="K39" s="574">
        <v>6797.7624500000002</v>
      </c>
      <c r="L39" s="29"/>
    </row>
    <row r="40" spans="1:12" s="50" customFormat="1" ht="11.25" customHeight="1">
      <c r="A40" s="480" t="s">
        <v>748</v>
      </c>
      <c r="B40" s="864" t="s">
        <v>507</v>
      </c>
      <c r="C40" s="365">
        <v>6570.76332</v>
      </c>
      <c r="D40" s="365">
        <v>0</v>
      </c>
      <c r="E40" s="365">
        <v>0</v>
      </c>
      <c r="F40" s="365">
        <v>6570.76332</v>
      </c>
      <c r="G40" s="864" t="s">
        <v>746</v>
      </c>
      <c r="H40" s="365">
        <v>6707.5732200000002</v>
      </c>
      <c r="I40" s="365">
        <v>0</v>
      </c>
      <c r="J40" s="365">
        <v>0</v>
      </c>
      <c r="K40" s="365">
        <v>6707.5732200000002</v>
      </c>
      <c r="L40" s="29"/>
    </row>
    <row r="41" spans="1:12" s="50" customFormat="1" ht="11.25" customHeight="1">
      <c r="A41" s="480" t="s">
        <v>749</v>
      </c>
      <c r="B41" s="864" t="s">
        <v>505</v>
      </c>
      <c r="C41" s="365">
        <v>6138.1497600000002</v>
      </c>
      <c r="D41" s="365">
        <v>0</v>
      </c>
      <c r="E41" s="365">
        <v>0</v>
      </c>
      <c r="F41" s="365">
        <v>6138.1497600000002</v>
      </c>
      <c r="G41" s="864" t="s">
        <v>564</v>
      </c>
      <c r="H41" s="365">
        <v>6689.86834</v>
      </c>
      <c r="I41" s="365">
        <v>0</v>
      </c>
      <c r="J41" s="365">
        <v>0</v>
      </c>
      <c r="K41" s="365">
        <v>6689.86834</v>
      </c>
      <c r="L41" s="29"/>
    </row>
    <row r="42" spans="1:12" s="50" customFormat="1" ht="11.25" customHeight="1">
      <c r="A42" s="480" t="s">
        <v>750</v>
      </c>
      <c r="B42" s="864" t="s">
        <v>508</v>
      </c>
      <c r="C42" s="365">
        <v>6252.1426199999996</v>
      </c>
      <c r="D42" s="365">
        <v>0</v>
      </c>
      <c r="E42" s="365">
        <v>0</v>
      </c>
      <c r="F42" s="365">
        <v>6252.1426199999996</v>
      </c>
      <c r="G42" s="864" t="s">
        <v>506</v>
      </c>
      <c r="H42" s="365">
        <v>6419.9582600000003</v>
      </c>
      <c r="I42" s="365">
        <v>0</v>
      </c>
      <c r="J42" s="365">
        <v>0</v>
      </c>
      <c r="K42" s="365">
        <v>6419.9582600000003</v>
      </c>
      <c r="L42" s="29"/>
    </row>
    <row r="43" spans="1:12" s="50" customFormat="1" ht="11.25" customHeight="1">
      <c r="A43" s="236"/>
      <c r="B43" s="236"/>
      <c r="C43" s="236"/>
      <c r="D43" s="236"/>
      <c r="E43" s="236"/>
      <c r="F43" s="236"/>
      <c r="G43" s="236"/>
      <c r="H43" s="236"/>
      <c r="I43" s="236"/>
      <c r="J43" s="236"/>
      <c r="K43" s="238"/>
      <c r="L43" s="29"/>
    </row>
    <row r="44" spans="1:12" s="50" customFormat="1" ht="11.25" customHeight="1">
      <c r="A44" s="984" t="s">
        <v>494</v>
      </c>
      <c r="B44" s="984"/>
      <c r="C44" s="984"/>
      <c r="D44" s="984"/>
      <c r="E44" s="984"/>
      <c r="F44" s="984"/>
      <c r="G44" s="984"/>
      <c r="H44" s="984"/>
      <c r="I44" s="984"/>
      <c r="J44" s="984"/>
      <c r="K44" s="984"/>
      <c r="L44" s="29"/>
    </row>
    <row r="45" spans="1:12" s="50" customFormat="1" ht="11.25" customHeight="1">
      <c r="A45" s="236"/>
      <c r="B45" s="236"/>
      <c r="C45" s="236"/>
      <c r="D45" s="236"/>
      <c r="E45" s="236"/>
      <c r="F45" s="236"/>
      <c r="G45" s="236"/>
      <c r="H45" s="236"/>
      <c r="I45" s="236"/>
      <c r="J45" s="236"/>
      <c r="K45" s="238"/>
      <c r="L45" s="29"/>
    </row>
    <row r="46" spans="1:12" s="50" customFormat="1" ht="11.25" customHeight="1">
      <c r="A46" s="236"/>
      <c r="B46" s="236"/>
      <c r="C46" s="236"/>
      <c r="D46" s="236"/>
      <c r="E46" s="236"/>
      <c r="F46" s="236"/>
      <c r="G46" s="236"/>
      <c r="H46" s="236"/>
      <c r="I46" s="236"/>
      <c r="J46" s="236"/>
      <c r="K46" s="239"/>
      <c r="L46" s="58"/>
    </row>
    <row r="47" spans="1:12" s="50" customFormat="1" ht="11.25" customHeight="1">
      <c r="A47" s="236"/>
      <c r="B47" s="236"/>
      <c r="C47" s="236"/>
      <c r="D47" s="236"/>
      <c r="E47" s="236"/>
      <c r="F47" s="236"/>
      <c r="G47" s="236"/>
      <c r="H47" s="236"/>
      <c r="I47" s="236"/>
      <c r="J47" s="236"/>
      <c r="K47" s="239"/>
      <c r="L47" s="59"/>
    </row>
    <row r="48" spans="1:12" s="50" customFormat="1" ht="11.25" customHeight="1">
      <c r="A48" s="236"/>
      <c r="B48" s="236"/>
      <c r="C48" s="236"/>
      <c r="D48" s="236"/>
      <c r="E48" s="236"/>
      <c r="F48" s="236"/>
      <c r="G48" s="236"/>
      <c r="H48" s="236"/>
      <c r="I48" s="236"/>
      <c r="J48" s="236"/>
      <c r="K48" s="239"/>
      <c r="L48" s="59"/>
    </row>
    <row r="49" spans="1:11" s="50" customFormat="1" ht="11.25" customHeight="1">
      <c r="A49" s="236"/>
      <c r="B49" s="236"/>
      <c r="C49" s="236"/>
      <c r="D49" s="236"/>
      <c r="E49" s="236"/>
      <c r="F49" s="236"/>
      <c r="G49" s="236"/>
      <c r="H49" s="236"/>
      <c r="I49" s="236"/>
      <c r="J49" s="236"/>
      <c r="K49" s="238"/>
    </row>
    <row r="50" spans="1:11" s="50" customFormat="1" ht="11.25" customHeight="1">
      <c r="A50" s="236"/>
      <c r="B50" s="236"/>
      <c r="C50" s="236"/>
      <c r="D50" s="236"/>
      <c r="E50" s="236"/>
      <c r="F50" s="236"/>
      <c r="G50" s="236"/>
      <c r="H50" s="236"/>
      <c r="I50" s="236"/>
      <c r="J50" s="236"/>
      <c r="K50" s="238"/>
    </row>
    <row r="51" spans="1:11" s="50" customFormat="1" ht="12.75">
      <c r="A51" s="236"/>
      <c r="B51" s="236"/>
      <c r="C51" s="236"/>
      <c r="D51" s="236"/>
      <c r="E51" s="236"/>
      <c r="F51" s="236"/>
      <c r="G51" s="236"/>
      <c r="H51" s="236"/>
      <c r="I51" s="236"/>
      <c r="J51" s="236"/>
      <c r="K51" s="238"/>
    </row>
    <row r="52" spans="1:11" s="50" customFormat="1" ht="12.75">
      <c r="A52" s="236"/>
      <c r="B52" s="236"/>
      <c r="C52" s="236"/>
      <c r="D52" s="236"/>
      <c r="E52" s="236"/>
      <c r="F52" s="236"/>
      <c r="G52" s="236"/>
      <c r="H52" s="236"/>
      <c r="I52" s="236"/>
      <c r="J52" s="236"/>
      <c r="K52" s="238"/>
    </row>
    <row r="53" spans="1:11" s="50" customFormat="1" ht="12.75">
      <c r="A53" s="236"/>
      <c r="B53" s="236"/>
      <c r="C53" s="236"/>
      <c r="D53" s="236"/>
      <c r="E53" s="236"/>
      <c r="F53" s="236"/>
      <c r="G53" s="236"/>
      <c r="H53" s="236"/>
      <c r="I53" s="236"/>
      <c r="J53" s="236"/>
      <c r="K53" s="238"/>
    </row>
    <row r="54" spans="1:11" s="50" customFormat="1" ht="12.75">
      <c r="A54" s="236"/>
      <c r="B54" s="236"/>
      <c r="C54" s="236"/>
      <c r="D54" s="236"/>
      <c r="E54" s="236"/>
      <c r="F54" s="236"/>
      <c r="G54" s="236"/>
      <c r="H54" s="236"/>
      <c r="I54" s="236"/>
      <c r="J54" s="236"/>
      <c r="K54" s="238"/>
    </row>
    <row r="55" spans="1:11" s="50" customFormat="1" ht="12.75">
      <c r="A55" s="236"/>
      <c r="B55" s="236"/>
      <c r="C55" s="236"/>
      <c r="D55" s="236"/>
      <c r="E55" s="236"/>
      <c r="F55" s="236"/>
      <c r="G55" s="236"/>
      <c r="H55" s="236"/>
      <c r="I55" s="236"/>
      <c r="J55" s="236"/>
      <c r="K55" s="238"/>
    </row>
    <row r="56" spans="1:11" s="50" customFormat="1" ht="12.75">
      <c r="A56" s="236"/>
      <c r="B56" s="132"/>
      <c r="C56" s="132"/>
      <c r="D56" s="132"/>
      <c r="E56" s="132"/>
      <c r="F56" s="132"/>
      <c r="G56" s="132"/>
      <c r="H56" s="132"/>
      <c r="I56" s="132"/>
      <c r="J56" s="132"/>
      <c r="K56" s="238"/>
    </row>
    <row r="57" spans="1:11" s="50" customFormat="1" ht="12.75">
      <c r="A57" s="236"/>
      <c r="B57" s="132"/>
      <c r="C57" s="132"/>
      <c r="D57" s="132"/>
      <c r="E57" s="132"/>
      <c r="F57" s="132"/>
      <c r="G57" s="132"/>
      <c r="H57" s="132"/>
      <c r="I57" s="132"/>
      <c r="J57" s="132"/>
      <c r="K57" s="238"/>
    </row>
    <row r="58" spans="1:11" s="50" customFormat="1" ht="12.75">
      <c r="A58" s="236"/>
      <c r="B58" s="132"/>
      <c r="C58" s="132"/>
      <c r="D58" s="132"/>
      <c r="E58" s="132"/>
      <c r="F58" s="132"/>
      <c r="G58" s="132"/>
      <c r="H58" s="132"/>
      <c r="I58" s="132"/>
      <c r="J58" s="132"/>
      <c r="K58" s="238"/>
    </row>
    <row r="59" spans="1:11" s="50" customFormat="1" ht="12.75">
      <c r="A59" s="236"/>
      <c r="B59" s="132"/>
      <c r="C59" s="132"/>
      <c r="D59" s="132"/>
      <c r="E59" s="132"/>
      <c r="F59" s="132"/>
      <c r="G59" s="132"/>
      <c r="H59" s="132"/>
      <c r="I59" s="132"/>
      <c r="J59" s="132"/>
      <c r="K59" s="238"/>
    </row>
    <row r="60" spans="1:11" s="50" customFormat="1" ht="12.75">
      <c r="A60" s="236"/>
      <c r="B60" s="132"/>
      <c r="C60" s="132"/>
      <c r="D60" s="132"/>
      <c r="E60" s="132"/>
      <c r="F60" s="132"/>
      <c r="G60" s="132"/>
      <c r="H60" s="132"/>
      <c r="I60" s="132"/>
      <c r="J60" s="132"/>
      <c r="K60" s="238"/>
    </row>
    <row r="61" spans="1:11" s="50" customFormat="1" ht="12.75">
      <c r="A61" s="236"/>
      <c r="B61" s="237"/>
      <c r="C61" s="237"/>
      <c r="D61" s="237"/>
      <c r="E61" s="237"/>
      <c r="F61" s="237"/>
      <c r="G61" s="237"/>
      <c r="H61" s="237"/>
      <c r="I61" s="237"/>
      <c r="J61" s="237"/>
      <c r="K61" s="238"/>
    </row>
    <row r="62" spans="1:11" s="50" customFormat="1" ht="12.75">
      <c r="A62" s="236"/>
      <c r="B62" s="237"/>
      <c r="C62" s="237"/>
      <c r="D62" s="237"/>
      <c r="E62" s="237"/>
      <c r="F62" s="237"/>
      <c r="G62" s="237"/>
      <c r="H62" s="237"/>
      <c r="I62" s="237"/>
      <c r="J62" s="237"/>
      <c r="K62" s="238"/>
    </row>
    <row r="63" spans="1:11" s="50" customFormat="1" ht="12.75">
      <c r="A63" s="236"/>
      <c r="B63" s="240"/>
      <c r="C63" s="238"/>
      <c r="D63" s="238"/>
      <c r="E63" s="238"/>
      <c r="F63" s="238"/>
      <c r="G63" s="237"/>
      <c r="H63" s="237"/>
      <c r="I63" s="237"/>
      <c r="J63" s="237"/>
      <c r="K63" s="238"/>
    </row>
    <row r="64" spans="1:11" s="50" customFormat="1" ht="12.75">
      <c r="A64" s="241"/>
      <c r="B64" s="242"/>
      <c r="C64" s="242"/>
      <c r="D64" s="242"/>
      <c r="E64" s="242"/>
      <c r="F64" s="242"/>
      <c r="G64" s="242"/>
      <c r="H64" s="237"/>
      <c r="I64" s="237"/>
      <c r="J64" s="237"/>
      <c r="K64" s="238"/>
    </row>
    <row r="65" spans="1:11" s="50" customFormat="1" ht="12.75">
      <c r="A65" s="241"/>
      <c r="B65" s="242"/>
      <c r="C65" s="242"/>
      <c r="D65" s="242"/>
      <c r="E65" s="242"/>
      <c r="F65" s="242"/>
      <c r="G65" s="242"/>
      <c r="H65" s="237"/>
      <c r="I65" s="237"/>
      <c r="J65" s="237"/>
      <c r="K65" s="237"/>
    </row>
    <row r="66" spans="1:11" s="50" customFormat="1" ht="12.75">
      <c r="A66" s="241"/>
      <c r="B66" s="242"/>
      <c r="C66" s="242"/>
      <c r="D66" s="242"/>
      <c r="E66" s="242"/>
      <c r="F66" s="242"/>
      <c r="G66" s="242"/>
      <c r="H66" s="237"/>
      <c r="I66" s="237"/>
      <c r="J66" s="237"/>
      <c r="K66" s="237"/>
    </row>
  </sheetData>
  <mergeCells count="4">
    <mergeCell ref="A9:A11"/>
    <mergeCell ref="B9:F9"/>
    <mergeCell ref="G9:K9"/>
    <mergeCell ref="A44:K44"/>
  </mergeCells>
  <pageMargins left="0.7" right="0.7" top="0.86956521739130432" bottom="0.61458333333333337" header="0.3" footer="0.3"/>
  <pageSetup orientation="portrait" r:id="rId1"/>
  <headerFooter>
    <oddHeader>&amp;R&amp;7Informe de la Operación Mensual - Diciembre 2018
INFSGI-MES-12-2018
15/01/2019
Versión: 01</oddHeader>
    <oddFooter>&amp;L&amp;7COES, 2018&amp;C24&amp;R&amp;7Dirección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59"/>
  <sheetViews>
    <sheetView showGridLines="0" view="pageBreakPreview" topLeftCell="B1" zoomScale="160" zoomScaleNormal="100" zoomScaleSheetLayoutView="160" zoomScalePageLayoutView="130" workbookViewId="0">
      <selection activeCell="D4" sqref="D4"/>
    </sheetView>
  </sheetViews>
  <sheetFormatPr defaultColWidth="9.33203125" defaultRowHeight="9"/>
  <cols>
    <col min="1" max="1" width="16.1640625" style="372" customWidth="1"/>
    <col min="2" max="2" width="19.6640625" style="372" customWidth="1"/>
    <col min="3" max="3" width="12.16406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11.25" customHeight="1">
      <c r="A1" s="370" t="s">
        <v>450</v>
      </c>
      <c r="B1" s="371"/>
      <c r="C1" s="371"/>
      <c r="D1" s="371"/>
      <c r="E1" s="371"/>
      <c r="F1" s="371"/>
    </row>
    <row r="2" spans="1:9" s="372" customFormat="1" ht="30" customHeight="1">
      <c r="A2" s="776" t="s">
        <v>279</v>
      </c>
      <c r="B2" s="777" t="s">
        <v>451</v>
      </c>
      <c r="C2" s="776" t="s">
        <v>440</v>
      </c>
      <c r="D2" s="778" t="s">
        <v>452</v>
      </c>
      <c r="E2" s="779" t="s">
        <v>453</v>
      </c>
      <c r="F2" s="779" t="s">
        <v>454</v>
      </c>
      <c r="G2" s="362"/>
      <c r="H2" s="373"/>
      <c r="I2" s="360"/>
    </row>
    <row r="3" spans="1:9" s="372" customFormat="1" ht="81" customHeight="1">
      <c r="A3" s="511" t="s">
        <v>455</v>
      </c>
      <c r="B3" s="511" t="s">
        <v>493</v>
      </c>
      <c r="C3" s="512">
        <v>43435.613888888889</v>
      </c>
      <c r="D3" s="513" t="s">
        <v>624</v>
      </c>
      <c r="E3" s="514">
        <v>8.86</v>
      </c>
      <c r="F3" s="514"/>
      <c r="H3" s="362"/>
      <c r="I3" s="360"/>
    </row>
    <row r="4" spans="1:9" s="372" customFormat="1" ht="158.25" customHeight="1">
      <c r="A4" s="511" t="s">
        <v>625</v>
      </c>
      <c r="B4" s="511" t="s">
        <v>626</v>
      </c>
      <c r="C4" s="512">
        <v>43436.214583333334</v>
      </c>
      <c r="D4" s="513" t="s">
        <v>627</v>
      </c>
      <c r="E4" s="514">
        <v>164.5</v>
      </c>
      <c r="F4" s="514"/>
      <c r="G4" s="361"/>
      <c r="H4" s="361"/>
      <c r="I4" s="374"/>
    </row>
    <row r="5" spans="1:9" s="372" customFormat="1" ht="55.5" customHeight="1">
      <c r="A5" s="515" t="s">
        <v>625</v>
      </c>
      <c r="B5" s="515" t="s">
        <v>626</v>
      </c>
      <c r="C5" s="516">
        <v>43437.165277777778</v>
      </c>
      <c r="D5" s="517" t="s">
        <v>628</v>
      </c>
      <c r="E5" s="518">
        <v>129.87</v>
      </c>
      <c r="F5" s="518"/>
      <c r="G5" s="361"/>
      <c r="H5" s="361"/>
      <c r="I5" s="375"/>
    </row>
    <row r="6" spans="1:9" s="372" customFormat="1" ht="59.25" customHeight="1">
      <c r="A6" s="515" t="s">
        <v>625</v>
      </c>
      <c r="B6" s="515" t="s">
        <v>626</v>
      </c>
      <c r="C6" s="516">
        <v>43437.222916666666</v>
      </c>
      <c r="D6" s="517" t="s">
        <v>629</v>
      </c>
      <c r="E6" s="518">
        <v>129.87</v>
      </c>
      <c r="F6" s="518"/>
      <c r="G6" s="361"/>
      <c r="H6" s="361"/>
      <c r="I6" s="376"/>
    </row>
    <row r="7" spans="1:9" s="372" customFormat="1" ht="60.75" customHeight="1">
      <c r="A7" s="515" t="s">
        <v>625</v>
      </c>
      <c r="B7" s="515" t="s">
        <v>626</v>
      </c>
      <c r="C7" s="516">
        <v>43437.254166666666</v>
      </c>
      <c r="D7" s="517" t="s">
        <v>630</v>
      </c>
      <c r="E7" s="518">
        <v>170</v>
      </c>
      <c r="F7" s="518"/>
      <c r="G7" s="361"/>
      <c r="H7" s="361"/>
      <c r="I7" s="377"/>
    </row>
    <row r="8" spans="1:9" s="372" customFormat="1" ht="79.5" customHeight="1">
      <c r="A8" s="515" t="s">
        <v>609</v>
      </c>
      <c r="B8" s="515" t="s">
        <v>493</v>
      </c>
      <c r="C8" s="516">
        <v>43438.709722222222</v>
      </c>
      <c r="D8" s="517" t="s">
        <v>631</v>
      </c>
      <c r="E8" s="518">
        <v>419</v>
      </c>
      <c r="F8" s="518"/>
      <c r="G8" s="361"/>
      <c r="H8" s="361"/>
      <c r="I8" s="376"/>
    </row>
    <row r="9" spans="1:9" s="372" customFormat="1" ht="58.5" customHeight="1">
      <c r="A9" s="515" t="s">
        <v>456</v>
      </c>
      <c r="B9" s="515" t="s">
        <v>493</v>
      </c>
      <c r="C9" s="516">
        <v>43438.715277777781</v>
      </c>
      <c r="D9" s="517" t="s">
        <v>632</v>
      </c>
      <c r="E9" s="518">
        <v>4.8</v>
      </c>
      <c r="F9" s="518"/>
      <c r="G9" s="361"/>
      <c r="H9" s="361"/>
      <c r="I9" s="376"/>
    </row>
    <row r="10" spans="1:9" ht="66.75" customHeight="1">
      <c r="A10" s="515" t="s">
        <v>456</v>
      </c>
      <c r="B10" s="515" t="s">
        <v>493</v>
      </c>
      <c r="C10" s="516">
        <v>43438.781944444447</v>
      </c>
      <c r="D10" s="517" t="s">
        <v>633</v>
      </c>
      <c r="E10" s="518">
        <v>8.3000000000000007</v>
      </c>
      <c r="F10" s="518"/>
    </row>
    <row r="11" spans="1:9" ht="63" customHeight="1">
      <c r="A11" s="515" t="s">
        <v>455</v>
      </c>
      <c r="B11" s="515" t="s">
        <v>493</v>
      </c>
      <c r="C11" s="516">
        <v>43438.824305555558</v>
      </c>
      <c r="D11" s="517" t="s">
        <v>634</v>
      </c>
      <c r="E11" s="518">
        <v>6.95</v>
      </c>
      <c r="F11" s="518"/>
    </row>
    <row r="12" spans="1:9">
      <c r="C12" s="831"/>
      <c r="E12" s="382"/>
      <c r="F12" s="382"/>
    </row>
    <row r="13" spans="1:9">
      <c r="C13" s="831"/>
      <c r="E13" s="382"/>
      <c r="F13" s="382"/>
    </row>
    <row r="14" spans="1:9">
      <c r="C14" s="831"/>
      <c r="E14" s="382"/>
      <c r="F14" s="382"/>
    </row>
    <row r="15" spans="1:9">
      <c r="C15" s="831"/>
      <c r="E15" s="382"/>
      <c r="F15" s="382"/>
    </row>
    <row r="16" spans="1:9">
      <c r="C16" s="831"/>
      <c r="E16" s="382"/>
      <c r="F16" s="382"/>
    </row>
    <row r="17" spans="3:6">
      <c r="C17" s="831"/>
      <c r="E17" s="382"/>
      <c r="F17" s="382"/>
    </row>
    <row r="18" spans="3:6">
      <c r="C18" s="831"/>
      <c r="E18" s="382"/>
      <c r="F18" s="382"/>
    </row>
    <row r="19" spans="3:6">
      <c r="C19" s="831"/>
      <c r="E19" s="382"/>
      <c r="F19" s="382"/>
    </row>
    <row r="20" spans="3:6">
      <c r="C20" s="831"/>
      <c r="D20" s="380"/>
      <c r="E20" s="379"/>
      <c r="F20" s="382"/>
    </row>
    <row r="21" spans="3:6">
      <c r="C21" s="831"/>
      <c r="E21" s="382"/>
      <c r="F21" s="382"/>
    </row>
    <row r="22" spans="3:6">
      <c r="C22" s="831"/>
      <c r="E22" s="382"/>
      <c r="F22" s="382"/>
    </row>
    <row r="23" spans="3:6">
      <c r="C23" s="831"/>
      <c r="D23" s="380"/>
      <c r="E23" s="379"/>
      <c r="F23" s="382"/>
    </row>
    <row r="24" spans="3:6">
      <c r="C24" s="831"/>
      <c r="E24" s="382"/>
      <c r="F24" s="382"/>
    </row>
    <row r="25" spans="3:6">
      <c r="C25" s="831"/>
      <c r="E25" s="382"/>
      <c r="F25" s="382"/>
    </row>
    <row r="26" spans="3:6">
      <c r="C26" s="831"/>
      <c r="E26" s="382"/>
      <c r="F26" s="382"/>
    </row>
    <row r="27" spans="3:6">
      <c r="C27" s="831"/>
      <c r="E27" s="382"/>
      <c r="F27" s="382"/>
    </row>
    <row r="28" spans="3:6">
      <c r="C28" s="831"/>
      <c r="E28" s="382"/>
      <c r="F28" s="382"/>
    </row>
    <row r="29" spans="3:6">
      <c r="C29" s="831"/>
      <c r="E29" s="382"/>
      <c r="F29" s="382"/>
    </row>
    <row r="30" spans="3:6">
      <c r="C30" s="831"/>
      <c r="E30" s="382"/>
      <c r="F30" s="382"/>
    </row>
    <row r="31" spans="3:6">
      <c r="C31" s="831"/>
      <c r="D31" s="380"/>
      <c r="E31" s="379"/>
      <c r="F31" s="382"/>
    </row>
    <row r="32" spans="3:6">
      <c r="C32" s="831"/>
      <c r="E32" s="382"/>
      <c r="F32" s="382"/>
    </row>
    <row r="33" spans="3:6">
      <c r="C33" s="831"/>
      <c r="D33" s="380"/>
      <c r="E33" s="379"/>
      <c r="F33" s="382"/>
    </row>
    <row r="34" spans="3:6">
      <c r="C34" s="831"/>
      <c r="E34" s="382"/>
      <c r="F34" s="382"/>
    </row>
    <row r="35" spans="3:6">
      <c r="C35" s="831"/>
      <c r="E35" s="382"/>
      <c r="F35" s="382"/>
    </row>
    <row r="36" spans="3:6">
      <c r="C36" s="831"/>
      <c r="E36" s="382"/>
      <c r="F36" s="382"/>
    </row>
    <row r="37" spans="3:6">
      <c r="C37" s="831"/>
      <c r="E37" s="382"/>
      <c r="F37" s="382"/>
    </row>
    <row r="38" spans="3:6">
      <c r="C38" s="831"/>
      <c r="D38" s="380"/>
      <c r="E38" s="379"/>
      <c r="F38" s="382"/>
    </row>
    <row r="39" spans="3:6">
      <c r="C39" s="831"/>
      <c r="E39" s="382"/>
      <c r="F39" s="382"/>
    </row>
    <row r="40" spans="3:6">
      <c r="C40" s="831"/>
      <c r="E40" s="382"/>
      <c r="F40" s="382"/>
    </row>
    <row r="41" spans="3:6">
      <c r="C41" s="831"/>
      <c r="D41" s="380"/>
      <c r="E41" s="379"/>
      <c r="F41" s="382"/>
    </row>
    <row r="42" spans="3:6">
      <c r="C42" s="831"/>
      <c r="E42" s="382"/>
      <c r="F42" s="382"/>
    </row>
    <row r="43" spans="3:6">
      <c r="C43" s="831"/>
      <c r="E43" s="382"/>
      <c r="F43" s="382"/>
    </row>
    <row r="44" spans="3:6">
      <c r="C44" s="831"/>
      <c r="E44" s="382"/>
      <c r="F44" s="382"/>
    </row>
    <row r="45" spans="3:6">
      <c r="C45" s="831"/>
      <c r="E45" s="382"/>
      <c r="F45" s="382"/>
    </row>
    <row r="46" spans="3:6">
      <c r="C46" s="831"/>
      <c r="D46" s="380"/>
      <c r="E46" s="379"/>
      <c r="F46" s="382"/>
    </row>
    <row r="47" spans="3:6">
      <c r="C47" s="831"/>
      <c r="D47" s="380"/>
      <c r="E47" s="379"/>
      <c r="F47" s="382"/>
    </row>
    <row r="48" spans="3:6">
      <c r="C48" s="831"/>
      <c r="E48" s="382"/>
      <c r="F48" s="382"/>
    </row>
    <row r="49" spans="3:6">
      <c r="C49" s="831"/>
      <c r="E49" s="382"/>
      <c r="F49" s="382"/>
    </row>
    <row r="50" spans="3:6">
      <c r="C50" s="831"/>
      <c r="D50" s="380"/>
      <c r="E50" s="379"/>
      <c r="F50" s="382"/>
    </row>
    <row r="51" spans="3:6">
      <c r="C51" s="831"/>
      <c r="E51" s="382"/>
      <c r="F51" s="382"/>
    </row>
    <row r="52" spans="3:6">
      <c r="C52" s="831"/>
      <c r="E52" s="382"/>
      <c r="F52" s="382"/>
    </row>
    <row r="53" spans="3:6">
      <c r="C53" s="831"/>
      <c r="E53" s="382"/>
      <c r="F53" s="382"/>
    </row>
    <row r="54" spans="3:6">
      <c r="C54" s="831"/>
      <c r="D54" s="380"/>
      <c r="E54" s="379"/>
      <c r="F54" s="382"/>
    </row>
    <row r="55" spans="3:6">
      <c r="C55" s="831"/>
      <c r="E55" s="382"/>
      <c r="F55" s="382"/>
    </row>
    <row r="56" spans="3:6">
      <c r="C56" s="831"/>
      <c r="E56" s="382"/>
      <c r="F56" s="382"/>
    </row>
    <row r="57" spans="3:6">
      <c r="C57" s="831"/>
      <c r="E57" s="382"/>
      <c r="F57" s="382"/>
    </row>
    <row r="58" spans="3:6">
      <c r="C58" s="831"/>
      <c r="E58" s="382"/>
      <c r="F58" s="382"/>
    </row>
    <row r="59" spans="3:6">
      <c r="C59" s="831"/>
      <c r="E59" s="382"/>
      <c r="F59" s="382"/>
    </row>
    <row r="60" spans="3:6">
      <c r="C60" s="831"/>
      <c r="E60" s="382"/>
      <c r="F60" s="382"/>
    </row>
    <row r="61" spans="3:6">
      <c r="C61" s="831"/>
      <c r="E61" s="382"/>
      <c r="F61" s="382"/>
    </row>
    <row r="62" spans="3:6">
      <c r="C62" s="831"/>
      <c r="E62" s="382"/>
      <c r="F62" s="382"/>
    </row>
    <row r="63" spans="3:6">
      <c r="C63" s="831"/>
      <c r="E63" s="382"/>
      <c r="F63" s="382"/>
    </row>
    <row r="64" spans="3:6">
      <c r="C64" s="831"/>
      <c r="D64" s="380"/>
      <c r="E64" s="379"/>
      <c r="F64" s="382"/>
    </row>
    <row r="65" spans="3:6">
      <c r="C65" s="831"/>
      <c r="E65" s="382"/>
      <c r="F65" s="382"/>
    </row>
    <row r="66" spans="3:6">
      <c r="C66" s="831"/>
      <c r="E66" s="382"/>
      <c r="F66" s="382"/>
    </row>
    <row r="67" spans="3:6">
      <c r="E67" s="382"/>
      <c r="F67" s="382"/>
    </row>
    <row r="68" spans="3:6">
      <c r="E68" s="382"/>
      <c r="F68" s="382"/>
    </row>
    <row r="69" spans="3:6">
      <c r="E69" s="382"/>
      <c r="F69" s="382"/>
    </row>
    <row r="70" spans="3:6">
      <c r="E70" s="382"/>
      <c r="F70" s="382"/>
    </row>
    <row r="71" spans="3:6">
      <c r="E71" s="382"/>
      <c r="F71" s="382"/>
    </row>
    <row r="72" spans="3:6">
      <c r="E72" s="382"/>
      <c r="F72" s="382"/>
    </row>
    <row r="73" spans="3:6">
      <c r="E73" s="382"/>
      <c r="F73" s="382"/>
    </row>
    <row r="74" spans="3:6">
      <c r="E74" s="382"/>
      <c r="F74" s="382"/>
    </row>
    <row r="75" spans="3:6">
      <c r="E75" s="382"/>
      <c r="F75" s="382"/>
    </row>
    <row r="76" spans="3:6">
      <c r="E76" s="382"/>
      <c r="F76" s="382"/>
    </row>
    <row r="77" spans="3:6">
      <c r="E77" s="382"/>
      <c r="F77" s="382"/>
    </row>
    <row r="78" spans="3:6">
      <c r="E78" s="382"/>
      <c r="F78" s="382"/>
    </row>
    <row r="79" spans="3:6">
      <c r="E79" s="382"/>
      <c r="F79" s="382"/>
    </row>
    <row r="80" spans="3:6">
      <c r="E80" s="382"/>
      <c r="F80" s="382"/>
    </row>
    <row r="81" spans="5:6">
      <c r="E81" s="382"/>
      <c r="F81" s="382"/>
    </row>
    <row r="82" spans="5:6">
      <c r="E82" s="382"/>
      <c r="F82" s="382"/>
    </row>
    <row r="83" spans="5:6">
      <c r="E83" s="382"/>
      <c r="F83" s="382"/>
    </row>
    <row r="84" spans="5:6">
      <c r="E84" s="382"/>
      <c r="F84" s="382"/>
    </row>
    <row r="85" spans="5:6">
      <c r="E85" s="382"/>
      <c r="F85" s="382"/>
    </row>
    <row r="86" spans="5:6">
      <c r="E86" s="382"/>
      <c r="F86" s="382"/>
    </row>
    <row r="87" spans="5:6">
      <c r="E87" s="382"/>
      <c r="F87" s="382"/>
    </row>
    <row r="88" spans="5:6">
      <c r="E88" s="382"/>
      <c r="F88" s="382"/>
    </row>
    <row r="89" spans="5:6">
      <c r="E89" s="382"/>
      <c r="F89" s="382"/>
    </row>
    <row r="90" spans="5:6">
      <c r="E90" s="382"/>
      <c r="F90" s="382"/>
    </row>
    <row r="91" spans="5:6">
      <c r="E91" s="382"/>
      <c r="F91" s="382"/>
    </row>
    <row r="92" spans="5:6">
      <c r="E92" s="382"/>
      <c r="F92" s="382"/>
    </row>
    <row r="93" spans="5:6">
      <c r="E93" s="382"/>
      <c r="F93" s="382"/>
    </row>
    <row r="94" spans="5:6">
      <c r="E94" s="382"/>
      <c r="F94" s="382"/>
    </row>
    <row r="95" spans="5:6">
      <c r="E95" s="382"/>
      <c r="F95" s="382"/>
    </row>
    <row r="96" spans="5:6">
      <c r="E96" s="382"/>
      <c r="F96" s="382"/>
    </row>
    <row r="97" spans="5:6">
      <c r="E97" s="382"/>
      <c r="F97" s="382"/>
    </row>
    <row r="98" spans="5:6">
      <c r="E98" s="382"/>
      <c r="F98" s="382"/>
    </row>
    <row r="99" spans="5:6">
      <c r="E99" s="382"/>
      <c r="F99" s="382"/>
    </row>
    <row r="100" spans="5:6">
      <c r="E100" s="382"/>
      <c r="F100" s="382"/>
    </row>
    <row r="101" spans="5:6">
      <c r="E101" s="382"/>
      <c r="F101" s="382"/>
    </row>
    <row r="102" spans="5:6">
      <c r="E102" s="382"/>
      <c r="F102" s="382"/>
    </row>
    <row r="103" spans="5:6">
      <c r="E103" s="382"/>
      <c r="F103" s="382"/>
    </row>
    <row r="104" spans="5:6">
      <c r="E104" s="382"/>
      <c r="F104" s="382"/>
    </row>
    <row r="105" spans="5:6">
      <c r="E105" s="382"/>
      <c r="F105" s="382"/>
    </row>
    <row r="106" spans="5:6">
      <c r="E106" s="382"/>
      <c r="F106" s="382"/>
    </row>
    <row r="107" spans="5:6">
      <c r="E107" s="382"/>
      <c r="F107" s="382"/>
    </row>
    <row r="108" spans="5:6">
      <c r="E108" s="382"/>
      <c r="F108" s="382"/>
    </row>
    <row r="109" spans="5:6">
      <c r="E109" s="382"/>
      <c r="F109" s="382"/>
    </row>
    <row r="110" spans="5:6">
      <c r="E110" s="382"/>
      <c r="F110" s="382"/>
    </row>
    <row r="111" spans="5:6">
      <c r="E111" s="382"/>
      <c r="F111" s="382"/>
    </row>
    <row r="112" spans="5:6">
      <c r="E112" s="382"/>
      <c r="F112" s="382"/>
    </row>
    <row r="113" spans="5:6">
      <c r="E113" s="382"/>
      <c r="F113" s="382"/>
    </row>
    <row r="114" spans="5:6">
      <c r="E114" s="382"/>
      <c r="F114" s="382"/>
    </row>
    <row r="115" spans="5:6">
      <c r="E115" s="382"/>
      <c r="F115" s="382"/>
    </row>
    <row r="116" spans="5:6">
      <c r="E116" s="382"/>
      <c r="F116" s="382"/>
    </row>
    <row r="117" spans="5:6">
      <c r="E117" s="382"/>
      <c r="F117" s="382"/>
    </row>
    <row r="118" spans="5:6">
      <c r="E118" s="382"/>
      <c r="F118" s="382"/>
    </row>
    <row r="119" spans="5:6">
      <c r="E119" s="382"/>
      <c r="F119" s="382"/>
    </row>
    <row r="120" spans="5:6">
      <c r="E120" s="382"/>
      <c r="F120" s="382"/>
    </row>
    <row r="121" spans="5:6">
      <c r="E121" s="382"/>
      <c r="F121" s="382"/>
    </row>
    <row r="122" spans="5:6">
      <c r="E122" s="382"/>
      <c r="F122" s="382"/>
    </row>
    <row r="123" spans="5:6">
      <c r="E123" s="382"/>
      <c r="F123" s="382"/>
    </row>
    <row r="124" spans="5:6">
      <c r="E124" s="382"/>
      <c r="F124" s="382"/>
    </row>
    <row r="125" spans="5:6">
      <c r="E125" s="382"/>
      <c r="F125" s="382"/>
    </row>
    <row r="126" spans="5:6">
      <c r="E126" s="382"/>
      <c r="F126" s="382"/>
    </row>
    <row r="127" spans="5:6">
      <c r="E127" s="382"/>
      <c r="F127" s="382"/>
    </row>
    <row r="128" spans="5:6">
      <c r="E128" s="382"/>
      <c r="F128" s="382"/>
    </row>
    <row r="129" spans="5:6">
      <c r="E129" s="382"/>
      <c r="F129" s="382"/>
    </row>
    <row r="130" spans="5:6">
      <c r="E130" s="382"/>
      <c r="F130" s="382"/>
    </row>
    <row r="131" spans="5:6">
      <c r="E131" s="382"/>
      <c r="F131" s="382"/>
    </row>
    <row r="132" spans="5:6">
      <c r="E132" s="382"/>
      <c r="F132" s="382"/>
    </row>
    <row r="133" spans="5:6">
      <c r="E133" s="382"/>
      <c r="F133" s="382"/>
    </row>
    <row r="134" spans="5:6">
      <c r="E134" s="382"/>
      <c r="F134" s="382"/>
    </row>
    <row r="135" spans="5:6">
      <c r="E135" s="382"/>
      <c r="F135" s="382"/>
    </row>
    <row r="136" spans="5:6">
      <c r="E136" s="382"/>
      <c r="F136" s="382"/>
    </row>
    <row r="137" spans="5:6">
      <c r="E137" s="382"/>
      <c r="F137" s="382"/>
    </row>
    <row r="138" spans="5:6">
      <c r="E138" s="382"/>
      <c r="F138" s="382"/>
    </row>
    <row r="139" spans="5:6">
      <c r="E139" s="382"/>
      <c r="F139" s="382"/>
    </row>
    <row r="140" spans="5:6">
      <c r="E140" s="382"/>
      <c r="F140" s="382"/>
    </row>
    <row r="141" spans="5:6">
      <c r="E141" s="382"/>
      <c r="F141" s="382"/>
    </row>
    <row r="142" spans="5:6">
      <c r="E142" s="382"/>
      <c r="F142" s="382"/>
    </row>
    <row r="143" spans="5:6">
      <c r="E143" s="382"/>
      <c r="F143" s="382"/>
    </row>
    <row r="144" spans="5:6">
      <c r="E144" s="382"/>
      <c r="F144" s="382"/>
    </row>
    <row r="145" spans="5:6">
      <c r="E145" s="382"/>
      <c r="F145" s="382"/>
    </row>
    <row r="146" spans="5:6">
      <c r="E146" s="382"/>
      <c r="F146" s="382"/>
    </row>
    <row r="147" spans="5:6">
      <c r="E147" s="382"/>
      <c r="F147" s="382"/>
    </row>
    <row r="148" spans="5:6">
      <c r="E148" s="382"/>
      <c r="F148" s="382"/>
    </row>
    <row r="149" spans="5:6">
      <c r="E149" s="382"/>
      <c r="F149" s="382"/>
    </row>
    <row r="150" spans="5:6">
      <c r="E150" s="382"/>
      <c r="F150" s="382"/>
    </row>
    <row r="151" spans="5:6">
      <c r="E151" s="382"/>
      <c r="F151" s="382"/>
    </row>
    <row r="152" spans="5:6">
      <c r="E152" s="382"/>
      <c r="F152" s="382"/>
    </row>
    <row r="153" spans="5:6">
      <c r="E153" s="382"/>
      <c r="F153" s="382"/>
    </row>
    <row r="154" spans="5:6">
      <c r="E154" s="382"/>
      <c r="F154" s="382"/>
    </row>
    <row r="155" spans="5:6">
      <c r="E155" s="382"/>
      <c r="F155" s="382"/>
    </row>
    <row r="156" spans="5:6">
      <c r="E156" s="382"/>
      <c r="F156" s="382"/>
    </row>
    <row r="157" spans="5:6">
      <c r="E157" s="382"/>
      <c r="F157" s="382"/>
    </row>
    <row r="158" spans="5:6">
      <c r="E158" s="382"/>
      <c r="F158" s="382"/>
    </row>
    <row r="159" spans="5:6">
      <c r="E159" s="382"/>
      <c r="F159"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2018&amp;C25&amp;R&amp;7Dirección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4"/>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16406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55.5" customHeight="1">
      <c r="A2" s="383" t="s">
        <v>455</v>
      </c>
      <c r="B2" s="383" t="s">
        <v>493</v>
      </c>
      <c r="C2" s="384">
        <v>43438.896527777775</v>
      </c>
      <c r="D2" s="517" t="s">
        <v>635</v>
      </c>
      <c r="E2" s="385">
        <v>5.24</v>
      </c>
      <c r="F2" s="385"/>
      <c r="G2" s="361"/>
      <c r="H2" s="361"/>
      <c r="I2" s="376"/>
    </row>
    <row r="3" spans="1:9" s="372" customFormat="1" ht="56.25" customHeight="1">
      <c r="A3" s="383" t="s">
        <v>457</v>
      </c>
      <c r="B3" s="383" t="s">
        <v>565</v>
      </c>
      <c r="C3" s="384">
        <v>43439.645138888889</v>
      </c>
      <c r="D3" s="517" t="s">
        <v>636</v>
      </c>
      <c r="E3" s="385">
        <v>7.66</v>
      </c>
      <c r="F3" s="385"/>
      <c r="G3" s="361"/>
      <c r="H3" s="361"/>
      <c r="I3" s="376"/>
    </row>
    <row r="4" spans="1:9" s="372" customFormat="1" ht="67.5" customHeight="1">
      <c r="A4" s="383" t="s">
        <v>637</v>
      </c>
      <c r="B4" s="383" t="s">
        <v>493</v>
      </c>
      <c r="C4" s="384">
        <v>43440.436805555553</v>
      </c>
      <c r="D4" s="517" t="s">
        <v>638</v>
      </c>
      <c r="E4" s="385">
        <v>62.7</v>
      </c>
      <c r="F4" s="385"/>
      <c r="G4" s="361"/>
      <c r="H4" s="361"/>
      <c r="I4" s="376"/>
    </row>
    <row r="5" spans="1:9" s="372" customFormat="1" ht="66" customHeight="1">
      <c r="A5" s="383" t="s">
        <v>455</v>
      </c>
      <c r="B5" s="383" t="s">
        <v>493</v>
      </c>
      <c r="C5" s="384">
        <v>43441.603472222225</v>
      </c>
      <c r="D5" s="517" t="s">
        <v>639</v>
      </c>
      <c r="E5" s="385">
        <v>5.0999999999999996</v>
      </c>
      <c r="F5" s="385"/>
      <c r="G5" s="361"/>
      <c r="H5" s="361"/>
      <c r="I5" s="377"/>
    </row>
    <row r="6" spans="1:9" s="372" customFormat="1" ht="61.5" customHeight="1">
      <c r="A6" s="383" t="s">
        <v>456</v>
      </c>
      <c r="B6" s="383" t="s">
        <v>493</v>
      </c>
      <c r="C6" s="384">
        <v>43442.081944444442</v>
      </c>
      <c r="D6" s="517" t="s">
        <v>640</v>
      </c>
      <c r="E6" s="385">
        <v>5.38</v>
      </c>
      <c r="F6" s="385"/>
      <c r="G6" s="361"/>
      <c r="H6" s="361"/>
      <c r="I6" s="376"/>
    </row>
    <row r="7" spans="1:9" s="372" customFormat="1" ht="87.75" customHeight="1">
      <c r="A7" s="383" t="s">
        <v>591</v>
      </c>
      <c r="B7" s="383" t="s">
        <v>493</v>
      </c>
      <c r="C7" s="384">
        <v>43443.607638888891</v>
      </c>
      <c r="D7" s="517" t="s">
        <v>641</v>
      </c>
      <c r="E7" s="385">
        <v>38.36</v>
      </c>
      <c r="F7" s="385"/>
      <c r="G7" s="361"/>
      <c r="H7" s="361"/>
      <c r="I7" s="376"/>
    </row>
    <row r="8" spans="1:9" s="372" customFormat="1" ht="83.25" customHeight="1">
      <c r="A8" s="383" t="s">
        <v>456</v>
      </c>
      <c r="B8" s="383" t="s">
        <v>493</v>
      </c>
      <c r="C8" s="384">
        <v>43445.614583333336</v>
      </c>
      <c r="D8" s="517" t="s">
        <v>642</v>
      </c>
      <c r="E8" s="385">
        <v>6.84</v>
      </c>
      <c r="F8" s="385"/>
      <c r="G8" s="361"/>
      <c r="H8" s="361"/>
      <c r="I8" s="376"/>
    </row>
    <row r="9" spans="1:9" ht="63.75" customHeight="1">
      <c r="A9" s="383" t="s">
        <v>606</v>
      </c>
      <c r="B9" s="383" t="s">
        <v>493</v>
      </c>
      <c r="C9" s="384">
        <v>43445.796527777777</v>
      </c>
      <c r="D9" s="517" t="s">
        <v>643</v>
      </c>
      <c r="E9" s="385">
        <v>4.2</v>
      </c>
      <c r="F9" s="385"/>
    </row>
    <row r="10" spans="1:9" ht="80.25" customHeight="1">
      <c r="A10" s="383" t="s">
        <v>605</v>
      </c>
      <c r="B10" s="383" t="s">
        <v>493</v>
      </c>
      <c r="C10" s="384">
        <v>43446.629166666666</v>
      </c>
      <c r="D10" s="517" t="s">
        <v>644</v>
      </c>
      <c r="E10" s="385"/>
      <c r="F10" s="385">
        <v>2</v>
      </c>
    </row>
    <row r="11" spans="1:9" ht="81.75" customHeight="1">
      <c r="A11" s="383" t="s">
        <v>605</v>
      </c>
      <c r="B11" s="383" t="s">
        <v>626</v>
      </c>
      <c r="C11" s="384">
        <v>43447.140277777777</v>
      </c>
      <c r="D11" s="517" t="s">
        <v>645</v>
      </c>
      <c r="E11" s="385">
        <v>32</v>
      </c>
      <c r="F11" s="385"/>
    </row>
    <row r="12" spans="1:9">
      <c r="E12" s="382"/>
      <c r="F12" s="382"/>
    </row>
    <row r="13" spans="1:9">
      <c r="E13" s="382"/>
      <c r="F13" s="382"/>
    </row>
    <row r="14" spans="1:9">
      <c r="E14" s="382"/>
      <c r="F14" s="382"/>
    </row>
    <row r="15" spans="1:9">
      <c r="E15" s="382"/>
      <c r="F15" s="382"/>
    </row>
    <row r="16" spans="1:9">
      <c r="E16" s="382"/>
      <c r="F16" s="382"/>
    </row>
    <row r="17" spans="5:6">
      <c r="E17" s="382"/>
      <c r="F17" s="382"/>
    </row>
    <row r="18" spans="5:6">
      <c r="E18" s="382"/>
      <c r="F18" s="382"/>
    </row>
    <row r="19" spans="5:6">
      <c r="E19" s="382"/>
      <c r="F19" s="382"/>
    </row>
    <row r="20" spans="5:6">
      <c r="E20" s="382"/>
      <c r="F20" s="382"/>
    </row>
    <row r="21" spans="5:6">
      <c r="E21" s="382"/>
      <c r="F21" s="382"/>
    </row>
    <row r="22" spans="5:6">
      <c r="E22" s="382"/>
      <c r="F22" s="382"/>
    </row>
    <row r="23" spans="5:6">
      <c r="E23" s="382"/>
      <c r="F23" s="382"/>
    </row>
    <row r="24" spans="5:6">
      <c r="E24" s="382"/>
      <c r="F24" s="382"/>
    </row>
    <row r="25" spans="5:6">
      <c r="E25" s="382"/>
      <c r="F25" s="382"/>
    </row>
    <row r="26" spans="5:6">
      <c r="E26" s="382"/>
      <c r="F26" s="382"/>
    </row>
    <row r="27" spans="5:6">
      <c r="E27" s="382"/>
      <c r="F27" s="382"/>
    </row>
    <row r="28" spans="5:6">
      <c r="E28" s="382"/>
      <c r="F28" s="382"/>
    </row>
    <row r="29" spans="5:6">
      <c r="E29" s="382"/>
      <c r="F29" s="382"/>
    </row>
    <row r="30" spans="5:6">
      <c r="E30" s="382"/>
      <c r="F30" s="382"/>
    </row>
    <row r="31" spans="5:6">
      <c r="E31" s="382"/>
      <c r="F31" s="382"/>
    </row>
    <row r="32" spans="5:6">
      <c r="E32" s="382"/>
      <c r="F32" s="382"/>
    </row>
    <row r="33" spans="5:6">
      <c r="E33" s="382"/>
      <c r="F33" s="382"/>
    </row>
    <row r="34" spans="5:6">
      <c r="E34" s="382"/>
      <c r="F34" s="382"/>
    </row>
    <row r="35" spans="5:6">
      <c r="E35" s="382"/>
      <c r="F35" s="382"/>
    </row>
    <row r="36" spans="5:6">
      <c r="E36" s="382"/>
      <c r="F36" s="382"/>
    </row>
    <row r="37" spans="5:6">
      <c r="E37" s="382"/>
      <c r="F37" s="382"/>
    </row>
    <row r="38" spans="5:6">
      <c r="E38" s="382"/>
      <c r="F38" s="382"/>
    </row>
    <row r="39" spans="5:6">
      <c r="E39" s="382"/>
      <c r="F39" s="382"/>
    </row>
    <row r="40" spans="5:6">
      <c r="E40" s="382"/>
      <c r="F40" s="382"/>
    </row>
    <row r="41" spans="5:6">
      <c r="E41" s="382"/>
      <c r="F41" s="382"/>
    </row>
    <row r="42" spans="5:6">
      <c r="E42" s="382"/>
      <c r="F42" s="382"/>
    </row>
    <row r="43" spans="5:6">
      <c r="E43" s="382"/>
      <c r="F43" s="382"/>
    </row>
    <row r="44" spans="5:6">
      <c r="E44" s="382"/>
      <c r="F44" s="382"/>
    </row>
    <row r="45" spans="5:6">
      <c r="E45" s="382"/>
      <c r="F45" s="382"/>
    </row>
    <row r="46" spans="5:6">
      <c r="E46" s="382"/>
      <c r="F46" s="382"/>
    </row>
    <row r="47" spans="5:6">
      <c r="E47" s="382"/>
      <c r="F47" s="382"/>
    </row>
    <row r="48" spans="5:6">
      <c r="E48" s="382"/>
      <c r="F48" s="382"/>
    </row>
    <row r="49" spans="5:6">
      <c r="E49" s="382"/>
      <c r="F49" s="382"/>
    </row>
    <row r="50" spans="5:6">
      <c r="E50" s="382"/>
      <c r="F50" s="382"/>
    </row>
    <row r="51" spans="5:6">
      <c r="E51" s="382"/>
      <c r="F51" s="382"/>
    </row>
    <row r="52" spans="5:6">
      <c r="E52" s="382"/>
      <c r="F52" s="382"/>
    </row>
    <row r="53" spans="5:6">
      <c r="E53" s="382"/>
      <c r="F53" s="382"/>
    </row>
    <row r="54" spans="5:6">
      <c r="E54" s="382"/>
      <c r="F54" s="382"/>
    </row>
    <row r="55" spans="5:6">
      <c r="E55" s="382"/>
      <c r="F55" s="382"/>
    </row>
    <row r="56" spans="5:6">
      <c r="E56" s="382"/>
      <c r="F56" s="382"/>
    </row>
    <row r="57" spans="5:6">
      <c r="E57" s="382"/>
      <c r="F57" s="382"/>
    </row>
    <row r="58" spans="5:6">
      <c r="E58" s="382"/>
      <c r="F58" s="382"/>
    </row>
    <row r="59" spans="5:6">
      <c r="E59" s="382"/>
      <c r="F59" s="382"/>
    </row>
    <row r="60" spans="5:6">
      <c r="E60" s="382"/>
      <c r="F60" s="382"/>
    </row>
    <row r="61" spans="5:6">
      <c r="E61" s="382"/>
      <c r="F61" s="382"/>
    </row>
    <row r="62" spans="5:6">
      <c r="E62" s="382"/>
      <c r="F62" s="382"/>
    </row>
    <row r="63" spans="5:6">
      <c r="E63" s="382"/>
      <c r="F63" s="382"/>
    </row>
    <row r="64" spans="5:6">
      <c r="E64" s="382"/>
      <c r="F64" s="382"/>
    </row>
    <row r="65" spans="5:6">
      <c r="E65" s="382"/>
      <c r="F65" s="382"/>
    </row>
    <row r="66" spans="5:6">
      <c r="E66" s="382"/>
      <c r="F66" s="382"/>
    </row>
    <row r="67" spans="5:6">
      <c r="E67" s="382"/>
      <c r="F67" s="382"/>
    </row>
    <row r="68" spans="5:6">
      <c r="E68" s="382"/>
      <c r="F68" s="382"/>
    </row>
    <row r="69" spans="5:6">
      <c r="E69" s="382"/>
      <c r="F69" s="382"/>
    </row>
    <row r="70" spans="5:6">
      <c r="E70" s="382"/>
      <c r="F70" s="382"/>
    </row>
    <row r="71" spans="5:6">
      <c r="E71" s="382"/>
      <c r="F71" s="382"/>
    </row>
    <row r="72" spans="5:6">
      <c r="E72" s="382"/>
      <c r="F72" s="382"/>
    </row>
    <row r="73" spans="5:6">
      <c r="E73" s="382"/>
      <c r="F73" s="382"/>
    </row>
    <row r="74" spans="5:6">
      <c r="E74" s="382"/>
      <c r="F74" s="382"/>
    </row>
    <row r="75" spans="5:6">
      <c r="E75" s="382"/>
      <c r="F75" s="382"/>
    </row>
    <row r="76" spans="5:6">
      <c r="E76" s="382"/>
      <c r="F76" s="382"/>
    </row>
    <row r="77" spans="5:6">
      <c r="E77" s="382"/>
      <c r="F77" s="382"/>
    </row>
    <row r="78" spans="5:6">
      <c r="E78" s="382"/>
      <c r="F78" s="382"/>
    </row>
    <row r="79" spans="5:6">
      <c r="E79" s="382"/>
      <c r="F79" s="382"/>
    </row>
    <row r="80" spans="5:6">
      <c r="E80" s="382"/>
      <c r="F80" s="382"/>
    </row>
    <row r="81" spans="5:6">
      <c r="E81" s="382"/>
      <c r="F81" s="382"/>
    </row>
    <row r="82" spans="5:6">
      <c r="E82" s="382"/>
      <c r="F82" s="382"/>
    </row>
    <row r="83" spans="5:6">
      <c r="E83" s="382"/>
      <c r="F83" s="382"/>
    </row>
    <row r="84" spans="5:6">
      <c r="E84" s="382"/>
      <c r="F84" s="382"/>
    </row>
    <row r="85" spans="5:6">
      <c r="E85" s="382"/>
      <c r="F85" s="382"/>
    </row>
    <row r="86" spans="5:6">
      <c r="E86" s="382"/>
      <c r="F86" s="382"/>
    </row>
    <row r="87" spans="5:6">
      <c r="E87" s="382"/>
      <c r="F87" s="382"/>
    </row>
    <row r="88" spans="5:6">
      <c r="E88" s="382"/>
      <c r="F88" s="382"/>
    </row>
    <row r="89" spans="5:6">
      <c r="E89" s="382"/>
      <c r="F89" s="382"/>
    </row>
    <row r="90" spans="5:6">
      <c r="E90" s="382"/>
      <c r="F90" s="382"/>
    </row>
    <row r="91" spans="5:6">
      <c r="E91" s="382"/>
      <c r="F91" s="382"/>
    </row>
    <row r="92" spans="5:6">
      <c r="E92" s="382"/>
      <c r="F92" s="382"/>
    </row>
    <row r="93" spans="5:6">
      <c r="E93" s="382"/>
      <c r="F93" s="382"/>
    </row>
    <row r="94" spans="5:6">
      <c r="E94" s="382"/>
      <c r="F94" s="382"/>
    </row>
    <row r="95" spans="5:6">
      <c r="E95" s="382"/>
      <c r="F95" s="382"/>
    </row>
    <row r="96" spans="5:6">
      <c r="E96" s="382"/>
      <c r="F96" s="382"/>
    </row>
    <row r="97" spans="5:6">
      <c r="E97" s="382"/>
      <c r="F97" s="382"/>
    </row>
    <row r="98" spans="5:6">
      <c r="E98" s="382"/>
      <c r="F98" s="382"/>
    </row>
    <row r="99" spans="5:6">
      <c r="E99" s="382"/>
      <c r="F99" s="382"/>
    </row>
    <row r="100" spans="5:6">
      <c r="E100" s="382"/>
      <c r="F100" s="382"/>
    </row>
    <row r="101" spans="5:6">
      <c r="E101" s="382"/>
      <c r="F101" s="382"/>
    </row>
    <row r="102" spans="5:6">
      <c r="E102" s="382"/>
      <c r="F102" s="382"/>
    </row>
    <row r="103" spans="5:6">
      <c r="E103" s="382"/>
      <c r="F103" s="382"/>
    </row>
    <row r="104" spans="5:6">
      <c r="E104" s="382"/>
      <c r="F104" s="382"/>
    </row>
    <row r="105" spans="5:6">
      <c r="E105" s="382"/>
      <c r="F105" s="382"/>
    </row>
    <row r="106" spans="5:6">
      <c r="E106" s="382"/>
      <c r="F106" s="382"/>
    </row>
    <row r="107" spans="5:6">
      <c r="E107" s="382"/>
      <c r="F107" s="382"/>
    </row>
    <row r="108" spans="5:6">
      <c r="E108" s="382"/>
      <c r="F108" s="382"/>
    </row>
    <row r="109" spans="5:6">
      <c r="E109" s="382"/>
      <c r="F109" s="382"/>
    </row>
    <row r="110" spans="5:6">
      <c r="E110" s="382"/>
      <c r="F110" s="382"/>
    </row>
    <row r="111" spans="5:6">
      <c r="E111" s="382"/>
      <c r="F111" s="382"/>
    </row>
    <row r="112" spans="5:6">
      <c r="E112" s="382"/>
      <c r="F112" s="382"/>
    </row>
    <row r="113" spans="5:6">
      <c r="E113" s="382"/>
      <c r="F113" s="382"/>
    </row>
    <row r="114" spans="5:6">
      <c r="E114" s="382"/>
      <c r="F114" s="382"/>
    </row>
    <row r="115" spans="5:6">
      <c r="E115" s="382"/>
      <c r="F115" s="382"/>
    </row>
    <row r="116" spans="5:6">
      <c r="E116" s="382"/>
      <c r="F116" s="382"/>
    </row>
    <row r="117" spans="5:6">
      <c r="E117" s="382"/>
      <c r="F117" s="382"/>
    </row>
    <row r="118" spans="5:6">
      <c r="E118" s="382"/>
      <c r="F118" s="382"/>
    </row>
    <row r="119" spans="5:6">
      <c r="E119" s="382"/>
      <c r="F119" s="382"/>
    </row>
    <row r="120" spans="5:6">
      <c r="E120" s="382"/>
      <c r="F120" s="382"/>
    </row>
    <row r="121" spans="5:6">
      <c r="E121" s="382"/>
      <c r="F121" s="382"/>
    </row>
    <row r="122" spans="5:6">
      <c r="E122" s="382"/>
      <c r="F122" s="382"/>
    </row>
    <row r="123" spans="5:6">
      <c r="E123" s="382"/>
      <c r="F123" s="382"/>
    </row>
    <row r="124" spans="5:6">
      <c r="E124" s="382"/>
      <c r="F124" s="382"/>
    </row>
    <row r="125" spans="5:6">
      <c r="E125" s="382"/>
      <c r="F125" s="382"/>
    </row>
    <row r="126" spans="5:6">
      <c r="E126" s="382"/>
      <c r="F126" s="382"/>
    </row>
    <row r="127" spans="5:6">
      <c r="E127" s="382"/>
      <c r="F127" s="382"/>
    </row>
    <row r="128" spans="5:6">
      <c r="E128" s="382"/>
      <c r="F128" s="382"/>
    </row>
    <row r="129" spans="5:6">
      <c r="E129" s="382"/>
      <c r="F129" s="382"/>
    </row>
    <row r="130" spans="5:6">
      <c r="E130" s="382"/>
      <c r="F130" s="382"/>
    </row>
    <row r="131" spans="5:6">
      <c r="E131" s="382"/>
      <c r="F131" s="382"/>
    </row>
    <row r="132" spans="5:6">
      <c r="E132" s="382"/>
      <c r="F132" s="382"/>
    </row>
    <row r="133" spans="5:6">
      <c r="E133" s="382"/>
      <c r="F133" s="382"/>
    </row>
    <row r="134" spans="5:6">
      <c r="E134" s="382"/>
      <c r="F134"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2018&amp;C26&amp;R&amp;7Dirección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6"/>
  <sheetViews>
    <sheetView showGridLines="0" view="pageBreakPreview" zoomScale="130" zoomScaleNormal="100" zoomScaleSheetLayoutView="130"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16406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80.25" customHeight="1">
      <c r="A2" s="383" t="s">
        <v>563</v>
      </c>
      <c r="B2" s="383" t="s">
        <v>493</v>
      </c>
      <c r="C2" s="384">
        <v>43447.376388888886</v>
      </c>
      <c r="D2" s="517" t="s">
        <v>646</v>
      </c>
      <c r="E2" s="385">
        <v>32.619999999999997</v>
      </c>
      <c r="F2" s="385"/>
      <c r="G2" s="361"/>
      <c r="H2" s="361"/>
      <c r="I2" s="376"/>
    </row>
    <row r="3" spans="1:9" s="372" customFormat="1" ht="78" customHeight="1">
      <c r="A3" s="383" t="s">
        <v>592</v>
      </c>
      <c r="B3" s="383" t="s">
        <v>493</v>
      </c>
      <c r="C3" s="384">
        <v>43447.688194444447</v>
      </c>
      <c r="D3" s="517" t="s">
        <v>647</v>
      </c>
      <c r="E3" s="385"/>
      <c r="F3" s="385">
        <v>83.68</v>
      </c>
      <c r="G3" s="361"/>
      <c r="H3" s="361"/>
      <c r="I3" s="376"/>
    </row>
    <row r="4" spans="1:9" s="372" customFormat="1" ht="76.5" customHeight="1">
      <c r="A4" s="383" t="s">
        <v>455</v>
      </c>
      <c r="B4" s="383" t="s">
        <v>493</v>
      </c>
      <c r="C4" s="384">
        <v>43447.786805555559</v>
      </c>
      <c r="D4" s="517" t="s">
        <v>648</v>
      </c>
      <c r="E4" s="385">
        <v>6.5</v>
      </c>
      <c r="F4" s="385"/>
      <c r="G4" s="361"/>
      <c r="H4" s="361"/>
      <c r="I4" s="376"/>
    </row>
    <row r="5" spans="1:9" s="372" customFormat="1" ht="79.5" customHeight="1">
      <c r="A5" s="383" t="s">
        <v>605</v>
      </c>
      <c r="B5" s="383" t="s">
        <v>493</v>
      </c>
      <c r="C5" s="384">
        <v>43448.695138888892</v>
      </c>
      <c r="D5" s="517" t="s">
        <v>649</v>
      </c>
      <c r="E5" s="385">
        <v>0.36</v>
      </c>
      <c r="F5" s="385"/>
      <c r="G5" s="361"/>
      <c r="H5" s="361"/>
      <c r="I5" s="376"/>
    </row>
    <row r="6" spans="1:9" s="372" customFormat="1" ht="71.25" customHeight="1">
      <c r="A6" s="383" t="s">
        <v>455</v>
      </c>
      <c r="B6" s="383" t="s">
        <v>493</v>
      </c>
      <c r="C6" s="384">
        <v>43449.082638888889</v>
      </c>
      <c r="D6" s="517" t="s">
        <v>650</v>
      </c>
      <c r="E6" s="385">
        <v>2.59</v>
      </c>
      <c r="F6" s="385"/>
      <c r="G6" s="361"/>
      <c r="H6" s="361"/>
      <c r="I6" s="378"/>
    </row>
    <row r="7" spans="1:9" s="372" customFormat="1" ht="87.75" customHeight="1">
      <c r="A7" s="383" t="s">
        <v>651</v>
      </c>
      <c r="B7" s="383" t="s">
        <v>172</v>
      </c>
      <c r="C7" s="384">
        <v>43450.453472222223</v>
      </c>
      <c r="D7" s="517" t="s">
        <v>652</v>
      </c>
      <c r="E7" s="385">
        <v>70</v>
      </c>
      <c r="F7" s="385"/>
      <c r="G7" s="361"/>
      <c r="H7" s="361"/>
      <c r="I7" s="376"/>
    </row>
    <row r="8" spans="1:9" ht="74.25" customHeight="1">
      <c r="A8" s="383" t="s">
        <v>653</v>
      </c>
      <c r="B8" s="383" t="s">
        <v>493</v>
      </c>
      <c r="C8" s="384">
        <v>43450.554166666669</v>
      </c>
      <c r="D8" s="517" t="s">
        <v>654</v>
      </c>
      <c r="E8" s="385">
        <v>4.71</v>
      </c>
      <c r="F8" s="385"/>
    </row>
    <row r="9" spans="1:9" ht="81.75" customHeight="1">
      <c r="A9" s="383" t="s">
        <v>563</v>
      </c>
      <c r="B9" s="383" t="s">
        <v>493</v>
      </c>
      <c r="C9" s="384">
        <v>43450.882638888892</v>
      </c>
      <c r="D9" s="517" t="s">
        <v>655</v>
      </c>
      <c r="E9" s="385">
        <v>2.5</v>
      </c>
      <c r="F9" s="385"/>
    </row>
    <row r="10" spans="1:9" ht="75" customHeight="1">
      <c r="A10" s="383" t="s">
        <v>455</v>
      </c>
      <c r="B10" s="383" t="s">
        <v>493</v>
      </c>
      <c r="C10" s="384">
        <v>43451.714583333334</v>
      </c>
      <c r="D10" s="517" t="s">
        <v>656</v>
      </c>
      <c r="E10" s="385">
        <v>3.77</v>
      </c>
      <c r="F10" s="385"/>
    </row>
    <row r="11" spans="1:9">
      <c r="E11" s="382"/>
      <c r="F11" s="382"/>
    </row>
    <row r="12" spans="1:9">
      <c r="E12" s="382"/>
      <c r="F12" s="382"/>
    </row>
    <row r="13" spans="1:9">
      <c r="E13" s="382"/>
      <c r="F13" s="382"/>
    </row>
    <row r="14" spans="1:9">
      <c r="E14" s="382"/>
      <c r="F14" s="382"/>
    </row>
    <row r="15" spans="1:9">
      <c r="E15" s="382"/>
      <c r="F15" s="382"/>
    </row>
    <row r="16" spans="1:9">
      <c r="E16" s="382"/>
      <c r="F16" s="382"/>
    </row>
    <row r="17" spans="5:6">
      <c r="E17" s="382"/>
      <c r="F17" s="382"/>
    </row>
    <row r="18" spans="5:6">
      <c r="E18" s="382"/>
      <c r="F18" s="382"/>
    </row>
    <row r="19" spans="5:6">
      <c r="E19" s="382"/>
      <c r="F19" s="382"/>
    </row>
    <row r="20" spans="5:6">
      <c r="E20" s="382"/>
      <c r="F20" s="382"/>
    </row>
    <row r="21" spans="5:6">
      <c r="E21" s="382"/>
      <c r="F21" s="382"/>
    </row>
    <row r="22" spans="5:6">
      <c r="E22" s="382"/>
      <c r="F22" s="382"/>
    </row>
    <row r="23" spans="5:6">
      <c r="E23" s="382"/>
      <c r="F23" s="382"/>
    </row>
    <row r="24" spans="5:6">
      <c r="E24" s="382"/>
      <c r="F24" s="382"/>
    </row>
    <row r="25" spans="5:6">
      <c r="E25" s="382"/>
      <c r="F25" s="382"/>
    </row>
    <row r="26" spans="5:6">
      <c r="E26" s="382"/>
      <c r="F26" s="382"/>
    </row>
    <row r="27" spans="5:6">
      <c r="E27" s="382"/>
      <c r="F27" s="382"/>
    </row>
    <row r="28" spans="5:6">
      <c r="E28" s="382"/>
      <c r="F28" s="382"/>
    </row>
    <row r="29" spans="5:6">
      <c r="E29" s="382"/>
      <c r="F29" s="382"/>
    </row>
    <row r="30" spans="5:6">
      <c r="E30" s="382"/>
      <c r="F30" s="382"/>
    </row>
    <row r="31" spans="5:6">
      <c r="E31" s="382"/>
      <c r="F31" s="382"/>
    </row>
    <row r="32" spans="5:6">
      <c r="E32" s="382"/>
      <c r="F32" s="382"/>
    </row>
    <row r="33" spans="5:6">
      <c r="E33" s="382"/>
      <c r="F33" s="382"/>
    </row>
    <row r="34" spans="5:6">
      <c r="E34" s="382"/>
      <c r="F34" s="382"/>
    </row>
    <row r="35" spans="5:6">
      <c r="E35" s="382"/>
      <c r="F35" s="382"/>
    </row>
    <row r="36" spans="5:6">
      <c r="E36" s="382"/>
      <c r="F36" s="382"/>
    </row>
    <row r="37" spans="5:6">
      <c r="E37" s="382"/>
      <c r="F37" s="382"/>
    </row>
    <row r="38" spans="5:6">
      <c r="E38" s="382"/>
      <c r="F38" s="382"/>
    </row>
    <row r="39" spans="5:6">
      <c r="E39" s="382"/>
      <c r="F39" s="382"/>
    </row>
    <row r="40" spans="5:6">
      <c r="E40" s="382"/>
      <c r="F40" s="382"/>
    </row>
    <row r="41" spans="5:6">
      <c r="E41" s="382"/>
      <c r="F41" s="382"/>
    </row>
    <row r="42" spans="5:6">
      <c r="E42" s="382"/>
      <c r="F42" s="382"/>
    </row>
    <row r="43" spans="5:6">
      <c r="E43" s="382"/>
      <c r="F43" s="382"/>
    </row>
    <row r="44" spans="5:6">
      <c r="E44" s="382"/>
      <c r="F44" s="382"/>
    </row>
    <row r="45" spans="5:6">
      <c r="E45" s="382"/>
      <c r="F45" s="382"/>
    </row>
    <row r="46" spans="5:6">
      <c r="E46" s="382"/>
      <c r="F46" s="382"/>
    </row>
    <row r="47" spans="5:6">
      <c r="E47" s="382"/>
      <c r="F47" s="382"/>
    </row>
    <row r="48" spans="5:6">
      <c r="E48" s="382"/>
      <c r="F48" s="382"/>
    </row>
    <row r="49" spans="5:6">
      <c r="E49" s="382"/>
      <c r="F49" s="382"/>
    </row>
    <row r="50" spans="5:6">
      <c r="E50" s="382"/>
      <c r="F50" s="382"/>
    </row>
    <row r="51" spans="5:6">
      <c r="E51" s="382"/>
      <c r="F51" s="382"/>
    </row>
    <row r="52" spans="5:6">
      <c r="E52" s="382"/>
      <c r="F52" s="382"/>
    </row>
    <row r="53" spans="5:6">
      <c r="E53" s="382"/>
      <c r="F53" s="382"/>
    </row>
    <row r="54" spans="5:6">
      <c r="E54" s="382"/>
      <c r="F54" s="382"/>
    </row>
    <row r="55" spans="5:6">
      <c r="E55" s="382"/>
      <c r="F55" s="382"/>
    </row>
    <row r="56" spans="5:6">
      <c r="E56" s="382"/>
      <c r="F56" s="382"/>
    </row>
    <row r="57" spans="5:6">
      <c r="E57" s="382"/>
      <c r="F57" s="382"/>
    </row>
    <row r="58" spans="5:6">
      <c r="E58" s="382"/>
      <c r="F58" s="382"/>
    </row>
    <row r="59" spans="5:6">
      <c r="E59" s="382"/>
      <c r="F59" s="382"/>
    </row>
    <row r="60" spans="5:6">
      <c r="E60" s="382"/>
      <c r="F60" s="382"/>
    </row>
    <row r="61" spans="5:6">
      <c r="E61" s="382"/>
      <c r="F61" s="382"/>
    </row>
    <row r="62" spans="5:6">
      <c r="E62" s="382"/>
      <c r="F62" s="382"/>
    </row>
    <row r="63" spans="5:6">
      <c r="E63" s="382"/>
      <c r="F63" s="382"/>
    </row>
    <row r="64" spans="5:6">
      <c r="E64" s="382"/>
      <c r="F64" s="382"/>
    </row>
    <row r="65" spans="5:6">
      <c r="E65" s="382"/>
      <c r="F65" s="382"/>
    </row>
    <row r="66" spans="5:6">
      <c r="E66" s="382"/>
      <c r="F66" s="382"/>
    </row>
    <row r="67" spans="5:6">
      <c r="E67" s="382"/>
      <c r="F67" s="382"/>
    </row>
    <row r="68" spans="5:6">
      <c r="E68" s="382"/>
      <c r="F68" s="382"/>
    </row>
    <row r="69" spans="5:6">
      <c r="E69" s="382"/>
      <c r="F69" s="382"/>
    </row>
    <row r="70" spans="5:6">
      <c r="E70" s="382"/>
      <c r="F70" s="382"/>
    </row>
    <row r="71" spans="5:6">
      <c r="E71" s="382"/>
      <c r="F71" s="382"/>
    </row>
    <row r="72" spans="5:6">
      <c r="E72" s="382"/>
      <c r="F72" s="382"/>
    </row>
    <row r="73" spans="5:6">
      <c r="E73" s="382"/>
      <c r="F73" s="382"/>
    </row>
    <row r="74" spans="5:6">
      <c r="E74" s="382"/>
      <c r="F74" s="382"/>
    </row>
    <row r="75" spans="5:6">
      <c r="E75" s="382"/>
      <c r="F75" s="382"/>
    </row>
    <row r="76" spans="5:6">
      <c r="E76" s="382"/>
      <c r="F76" s="382"/>
    </row>
    <row r="77" spans="5:6">
      <c r="E77" s="382"/>
      <c r="F77" s="382"/>
    </row>
    <row r="78" spans="5:6">
      <c r="E78" s="382"/>
      <c r="F78" s="382"/>
    </row>
    <row r="79" spans="5:6">
      <c r="E79" s="382"/>
      <c r="F79" s="382"/>
    </row>
    <row r="80" spans="5:6">
      <c r="E80" s="382"/>
      <c r="F80" s="382"/>
    </row>
    <row r="81" spans="5:6">
      <c r="E81" s="382"/>
      <c r="F81" s="382"/>
    </row>
    <row r="82" spans="5:6">
      <c r="E82" s="382"/>
      <c r="F82" s="382"/>
    </row>
    <row r="83" spans="5:6">
      <c r="E83" s="382"/>
      <c r="F83" s="382"/>
    </row>
    <row r="84" spans="5:6">
      <c r="E84" s="382"/>
      <c r="F84" s="382"/>
    </row>
    <row r="85" spans="5:6">
      <c r="E85" s="382"/>
      <c r="F85" s="382"/>
    </row>
    <row r="86" spans="5:6">
      <c r="E86" s="382"/>
      <c r="F86" s="382"/>
    </row>
    <row r="87" spans="5:6">
      <c r="E87" s="382"/>
      <c r="F87" s="382"/>
    </row>
    <row r="88" spans="5:6">
      <c r="E88" s="382"/>
      <c r="F88" s="382"/>
    </row>
    <row r="89" spans="5:6">
      <c r="E89" s="382"/>
      <c r="F89" s="382"/>
    </row>
    <row r="90" spans="5:6">
      <c r="E90" s="382"/>
      <c r="F90" s="382"/>
    </row>
    <row r="91" spans="5:6">
      <c r="E91" s="382"/>
      <c r="F91" s="382"/>
    </row>
    <row r="92" spans="5:6">
      <c r="E92" s="382"/>
      <c r="F92" s="382"/>
    </row>
    <row r="93" spans="5:6">
      <c r="E93" s="382"/>
      <c r="F93" s="382"/>
    </row>
    <row r="94" spans="5:6">
      <c r="E94" s="382"/>
      <c r="F94" s="382"/>
    </row>
    <row r="95" spans="5:6">
      <c r="E95" s="382"/>
      <c r="F95" s="382"/>
    </row>
    <row r="96" spans="5:6">
      <c r="E96" s="382"/>
      <c r="F96" s="382"/>
    </row>
    <row r="97" spans="5:6">
      <c r="E97" s="382"/>
      <c r="F97" s="382"/>
    </row>
    <row r="98" spans="5:6">
      <c r="E98" s="382"/>
      <c r="F98" s="382"/>
    </row>
    <row r="99" spans="5:6">
      <c r="E99" s="382"/>
      <c r="F99" s="382"/>
    </row>
    <row r="100" spans="5:6">
      <c r="E100" s="382"/>
      <c r="F100" s="382"/>
    </row>
    <row r="101" spans="5:6">
      <c r="E101" s="382"/>
      <c r="F101" s="382"/>
    </row>
    <row r="102" spans="5:6">
      <c r="E102" s="382"/>
      <c r="F102" s="382"/>
    </row>
    <row r="103" spans="5:6">
      <c r="E103" s="382"/>
      <c r="F103" s="382"/>
    </row>
    <row r="104" spans="5:6">
      <c r="E104" s="382"/>
      <c r="F104" s="382"/>
    </row>
    <row r="105" spans="5:6">
      <c r="E105" s="382"/>
      <c r="F105" s="382"/>
    </row>
    <row r="106" spans="5:6">
      <c r="E106" s="382"/>
      <c r="F106" s="382"/>
    </row>
    <row r="107" spans="5:6">
      <c r="E107" s="382"/>
      <c r="F107" s="382"/>
    </row>
    <row r="108" spans="5:6">
      <c r="E108" s="382"/>
      <c r="F108" s="382"/>
    </row>
    <row r="109" spans="5:6">
      <c r="E109" s="382"/>
      <c r="F109" s="382"/>
    </row>
    <row r="110" spans="5:6">
      <c r="E110" s="382"/>
      <c r="F110" s="382"/>
    </row>
    <row r="111" spans="5:6">
      <c r="E111" s="382"/>
      <c r="F111" s="382"/>
    </row>
    <row r="112" spans="5:6">
      <c r="E112" s="382"/>
      <c r="F112" s="382"/>
    </row>
    <row r="113" spans="5:6">
      <c r="E113" s="382"/>
      <c r="F113" s="382"/>
    </row>
    <row r="114" spans="5:6">
      <c r="E114" s="382"/>
      <c r="F114" s="382"/>
    </row>
    <row r="115" spans="5:6">
      <c r="E115" s="382"/>
      <c r="F115" s="382"/>
    </row>
    <row r="116" spans="5:6">
      <c r="E116" s="382"/>
      <c r="F116"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2018&amp;C27&amp;R&amp;7Dirección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45" zoomScaleNormal="100" zoomScaleSheetLayoutView="145" zoomScalePageLayoutView="145" workbookViewId="0">
      <selection activeCell="D4" sqref="D4"/>
    </sheetView>
  </sheetViews>
  <sheetFormatPr defaultColWidth="9.33203125"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390"/>
    <col min="15" max="16" width="10.1640625" style="436" bestFit="1" customWidth="1"/>
    <col min="17" max="17" width="11.5" style="436" customWidth="1"/>
    <col min="18" max="23" width="9.33203125" style="436"/>
    <col min="24" max="16384" width="9.33203125" style="61"/>
  </cols>
  <sheetData>
    <row r="1" spans="1:20" ht="27.75" customHeight="1">
      <c r="A1" s="897" t="s">
        <v>22</v>
      </c>
      <c r="B1" s="897"/>
      <c r="C1" s="897"/>
      <c r="D1" s="897"/>
      <c r="E1" s="897"/>
      <c r="F1" s="897"/>
      <c r="G1" s="897"/>
      <c r="H1" s="897"/>
      <c r="I1" s="897"/>
      <c r="J1" s="897"/>
      <c r="K1" s="897"/>
      <c r="L1" s="897"/>
      <c r="M1" s="897"/>
      <c r="N1" s="389"/>
      <c r="O1" s="435"/>
      <c r="P1" s="435"/>
      <c r="Q1" s="435"/>
    </row>
    <row r="2" spans="1:20" ht="11.25" customHeight="1">
      <c r="A2" s="52"/>
      <c r="B2" s="53"/>
      <c r="C2" s="82"/>
      <c r="D2" s="82"/>
      <c r="E2" s="82"/>
      <c r="F2" s="82"/>
      <c r="G2" s="82"/>
      <c r="H2" s="82"/>
      <c r="I2" s="82"/>
      <c r="J2" s="82"/>
      <c r="K2" s="53"/>
      <c r="L2" s="53"/>
      <c r="M2" s="53"/>
      <c r="N2" s="391"/>
      <c r="O2" s="437"/>
      <c r="P2" s="437"/>
      <c r="Q2" s="437"/>
    </row>
    <row r="3" spans="1:20" ht="21.75" customHeight="1">
      <c r="A3" s="53"/>
      <c r="B3" s="54"/>
      <c r="C3" s="904" t="str">
        <f>+UPPER(Q4)&amp;" "&amp;Q5</f>
        <v>DICIEMBRE 2018</v>
      </c>
      <c r="D3" s="897"/>
      <c r="E3" s="897"/>
      <c r="F3" s="897"/>
      <c r="G3" s="897"/>
      <c r="H3" s="897"/>
      <c r="I3" s="897"/>
      <c r="J3" s="897"/>
      <c r="K3" s="53"/>
      <c r="L3" s="53"/>
      <c r="M3" s="53"/>
      <c r="N3" s="391"/>
      <c r="O3" s="437"/>
      <c r="P3" s="437"/>
      <c r="Q3" s="437"/>
      <c r="R3" s="438"/>
      <c r="S3" s="438"/>
      <c r="T3" s="438"/>
    </row>
    <row r="4" spans="1:20" ht="11.25" customHeight="1">
      <c r="A4" s="51"/>
      <c r="B4" s="54"/>
      <c r="C4" s="51"/>
      <c r="D4" s="51"/>
      <c r="E4" s="51"/>
      <c r="F4" s="51"/>
      <c r="G4" s="51"/>
      <c r="H4" s="51"/>
      <c r="I4" s="51"/>
      <c r="J4" s="51"/>
      <c r="K4" s="51"/>
      <c r="L4" s="51"/>
      <c r="M4" s="51"/>
      <c r="N4" s="392"/>
      <c r="O4" s="439"/>
      <c r="P4" s="435" t="s">
        <v>221</v>
      </c>
      <c r="Q4" s="440" t="s">
        <v>700</v>
      </c>
      <c r="R4" s="438"/>
      <c r="S4" s="438"/>
      <c r="T4" s="438"/>
    </row>
    <row r="5" spans="1:20" ht="11.25" customHeight="1">
      <c r="A5" s="62"/>
      <c r="B5" s="63"/>
      <c r="C5" s="64"/>
      <c r="D5" s="64"/>
      <c r="E5" s="64"/>
      <c r="F5" s="64"/>
      <c r="G5" s="64"/>
      <c r="H5" s="64"/>
      <c r="I5" s="64"/>
      <c r="J5" s="64"/>
      <c r="K5" s="64"/>
      <c r="L5" s="64"/>
      <c r="M5" s="51"/>
      <c r="N5" s="392"/>
      <c r="O5" s="439"/>
      <c r="P5" s="435" t="s">
        <v>222</v>
      </c>
      <c r="Q5" s="439">
        <v>2018</v>
      </c>
      <c r="R5" s="438"/>
      <c r="S5" s="438"/>
      <c r="T5" s="438"/>
    </row>
    <row r="6" spans="1:20" ht="17.25" customHeight="1">
      <c r="A6" s="77" t="s">
        <v>495</v>
      </c>
      <c r="B6" s="51"/>
      <c r="C6" s="51"/>
      <c r="D6" s="51"/>
      <c r="E6" s="51"/>
      <c r="F6" s="51"/>
      <c r="G6" s="51"/>
      <c r="H6" s="51"/>
      <c r="I6" s="51"/>
      <c r="J6" s="51"/>
      <c r="K6" s="51"/>
      <c r="L6" s="51"/>
      <c r="M6" s="51"/>
      <c r="N6" s="389"/>
      <c r="O6" s="435"/>
      <c r="P6" s="435"/>
      <c r="Q6" s="449">
        <v>43435</v>
      </c>
      <c r="R6" s="438"/>
      <c r="S6" s="438"/>
      <c r="T6" s="438"/>
    </row>
    <row r="7" spans="1:20" ht="11.25" customHeight="1">
      <c r="A7" s="51"/>
      <c r="B7" s="51"/>
      <c r="C7" s="51"/>
      <c r="D7" s="51"/>
      <c r="E7" s="51"/>
      <c r="F7" s="51"/>
      <c r="G7" s="51"/>
      <c r="H7" s="51"/>
      <c r="I7" s="51"/>
      <c r="J7" s="51"/>
      <c r="K7" s="51"/>
      <c r="L7" s="51"/>
      <c r="M7" s="51"/>
      <c r="N7" s="389"/>
      <c r="O7" s="435"/>
      <c r="P7" s="435"/>
      <c r="Q7" s="435">
        <v>31</v>
      </c>
      <c r="R7" s="438"/>
      <c r="S7" s="438"/>
      <c r="T7" s="438"/>
    </row>
    <row r="8" spans="1:20" ht="11.25" customHeight="1">
      <c r="A8" s="55"/>
      <c r="B8" s="55"/>
      <c r="C8" s="55"/>
      <c r="D8" s="55"/>
      <c r="E8" s="55"/>
      <c r="F8" s="55"/>
      <c r="G8" s="55"/>
      <c r="H8" s="55"/>
      <c r="I8" s="55"/>
      <c r="J8" s="55"/>
      <c r="K8" s="55"/>
      <c r="L8" s="55"/>
      <c r="M8" s="55"/>
      <c r="N8" s="393"/>
      <c r="O8" s="441"/>
      <c r="P8" s="441"/>
      <c r="Q8" s="441"/>
      <c r="R8" s="438"/>
      <c r="S8" s="438"/>
      <c r="T8" s="438"/>
    </row>
    <row r="9" spans="1:20" ht="11.25" customHeight="1">
      <c r="A9" s="53" t="str">
        <f>"1.1. Producción de energía eléctrica en "&amp;LOWER(Q4)&amp;" "&amp;Q5&amp;" en comparación al mismo mes del año anterior"</f>
        <v>1.1. Producción de energía eléctrica en diciembre 2018 en comparación al mismo mes del año anterior</v>
      </c>
      <c r="B9" s="53"/>
      <c r="C9" s="53"/>
      <c r="D9" s="53"/>
      <c r="E9" s="53"/>
      <c r="F9" s="53"/>
      <c r="G9" s="53"/>
      <c r="H9" s="53"/>
      <c r="I9" s="53"/>
      <c r="J9" s="53"/>
      <c r="K9" s="53"/>
      <c r="L9" s="53"/>
      <c r="M9" s="53"/>
      <c r="N9" s="391"/>
      <c r="O9" s="437"/>
      <c r="P9" s="437"/>
      <c r="Q9" s="437"/>
      <c r="R9" s="438"/>
      <c r="S9" s="438"/>
      <c r="T9" s="438"/>
    </row>
    <row r="10" spans="1:20" ht="11.25" customHeight="1">
      <c r="A10" s="62"/>
      <c r="B10" s="56"/>
      <c r="C10" s="56"/>
      <c r="D10" s="56"/>
      <c r="E10" s="56"/>
      <c r="F10" s="56"/>
      <c r="G10" s="56"/>
      <c r="H10" s="56"/>
      <c r="I10" s="56"/>
      <c r="J10" s="56"/>
      <c r="K10" s="56"/>
      <c r="L10" s="56"/>
      <c r="M10" s="56"/>
      <c r="N10" s="392"/>
      <c r="O10" s="439"/>
      <c r="P10" s="439"/>
      <c r="Q10" s="439"/>
      <c r="R10" s="438"/>
      <c r="S10" s="438"/>
      <c r="T10" s="438"/>
    </row>
    <row r="11" spans="1:20" ht="11.25" customHeight="1">
      <c r="A11" s="65"/>
      <c r="B11" s="65"/>
      <c r="C11" s="65"/>
      <c r="D11" s="65"/>
      <c r="E11" s="65"/>
      <c r="F11" s="65"/>
      <c r="G11" s="65"/>
      <c r="H11" s="65"/>
      <c r="I11" s="65"/>
      <c r="J11" s="65"/>
      <c r="K11" s="65"/>
      <c r="L11" s="65"/>
      <c r="M11" s="65"/>
      <c r="N11" s="394"/>
      <c r="O11" s="442"/>
      <c r="P11" s="442"/>
      <c r="Q11" s="442"/>
    </row>
    <row r="12" spans="1:20" ht="26.25" customHeight="1">
      <c r="A12" s="79" t="s">
        <v>23</v>
      </c>
      <c r="B12" s="903" t="s">
        <v>710</v>
      </c>
      <c r="C12" s="903"/>
      <c r="D12" s="903"/>
      <c r="E12" s="903"/>
      <c r="F12" s="903"/>
      <c r="G12" s="903"/>
      <c r="H12" s="903"/>
      <c r="I12" s="903"/>
      <c r="J12" s="903"/>
      <c r="K12" s="903"/>
      <c r="L12" s="903"/>
      <c r="M12" s="903"/>
      <c r="N12" s="392"/>
      <c r="O12" s="439"/>
      <c r="P12" s="439"/>
      <c r="Q12" s="439"/>
    </row>
    <row r="13" spans="1:20" ht="12.75" customHeight="1">
      <c r="A13" s="51"/>
      <c r="B13" s="81"/>
      <c r="C13" s="81"/>
      <c r="D13" s="81"/>
      <c r="E13" s="81"/>
      <c r="F13" s="81"/>
      <c r="G13" s="81"/>
      <c r="H13" s="81"/>
      <c r="I13" s="81"/>
      <c r="J13" s="81"/>
      <c r="K13" s="81"/>
      <c r="L13" s="81"/>
      <c r="M13" s="56"/>
      <c r="N13" s="392"/>
      <c r="O13" s="439"/>
      <c r="P13" s="439"/>
      <c r="Q13" s="439"/>
    </row>
    <row r="14" spans="1:20" ht="28.5" customHeight="1">
      <c r="A14" s="79" t="s">
        <v>23</v>
      </c>
      <c r="B14" s="903" t="s">
        <v>711</v>
      </c>
      <c r="C14" s="903"/>
      <c r="D14" s="903"/>
      <c r="E14" s="903"/>
      <c r="F14" s="903"/>
      <c r="G14" s="903"/>
      <c r="H14" s="903"/>
      <c r="I14" s="903"/>
      <c r="J14" s="903"/>
      <c r="K14" s="903"/>
      <c r="L14" s="903"/>
      <c r="M14" s="903"/>
      <c r="N14" s="392"/>
      <c r="O14" s="439"/>
      <c r="P14" s="439"/>
      <c r="Q14" s="439"/>
    </row>
    <row r="15" spans="1:20" ht="15" customHeight="1">
      <c r="A15" s="80"/>
      <c r="B15" s="81"/>
      <c r="C15" s="81"/>
      <c r="D15" s="81"/>
      <c r="E15" s="81"/>
      <c r="F15" s="81"/>
      <c r="G15" s="81"/>
      <c r="H15" s="81"/>
      <c r="I15" s="81"/>
      <c r="J15" s="81"/>
      <c r="K15" s="81"/>
      <c r="L15" s="81"/>
      <c r="M15" s="56"/>
      <c r="N15" s="392"/>
      <c r="O15" s="439"/>
      <c r="P15" s="439"/>
      <c r="Q15" s="439"/>
    </row>
    <row r="16" spans="1:20" ht="59.25" customHeight="1">
      <c r="A16" s="79" t="s">
        <v>23</v>
      </c>
      <c r="B16" s="903" t="s">
        <v>712</v>
      </c>
      <c r="C16" s="903"/>
      <c r="D16" s="903"/>
      <c r="E16" s="903"/>
      <c r="F16" s="903"/>
      <c r="G16" s="903"/>
      <c r="H16" s="903"/>
      <c r="I16" s="903"/>
      <c r="J16" s="903"/>
      <c r="K16" s="903"/>
      <c r="L16" s="903"/>
      <c r="M16" s="903"/>
      <c r="N16" s="392"/>
      <c r="O16" s="439"/>
      <c r="P16" s="439"/>
      <c r="Q16" s="439"/>
    </row>
    <row r="17" spans="1:18" ht="17.25" customHeight="1">
      <c r="A17" s="56"/>
      <c r="B17" s="56"/>
      <c r="C17" s="56"/>
      <c r="D17" s="56"/>
      <c r="E17" s="56"/>
      <c r="F17" s="56"/>
      <c r="G17" s="56"/>
      <c r="H17" s="56"/>
      <c r="I17" s="56"/>
      <c r="J17" s="56"/>
      <c r="K17" s="56"/>
      <c r="L17" s="56"/>
      <c r="M17" s="56"/>
      <c r="N17" s="392"/>
      <c r="O17" s="439"/>
      <c r="P17" s="439"/>
      <c r="Q17" s="439"/>
    </row>
    <row r="18" spans="1:18" ht="25.5" customHeight="1">
      <c r="A18" s="78" t="s">
        <v>23</v>
      </c>
      <c r="B18" s="902" t="s">
        <v>713</v>
      </c>
      <c r="C18" s="902"/>
      <c r="D18" s="902"/>
      <c r="E18" s="902"/>
      <c r="F18" s="902"/>
      <c r="G18" s="902"/>
      <c r="H18" s="902"/>
      <c r="I18" s="902"/>
      <c r="J18" s="902"/>
      <c r="K18" s="902"/>
      <c r="L18" s="902"/>
      <c r="M18" s="902"/>
      <c r="N18" s="392"/>
      <c r="O18" s="439"/>
      <c r="P18" s="439"/>
      <c r="Q18" s="439"/>
    </row>
    <row r="19" spans="1:18" ht="11.25" customHeight="1">
      <c r="A19" s="56"/>
      <c r="B19" s="56"/>
      <c r="C19" s="56"/>
      <c r="D19" s="56"/>
      <c r="E19" s="56"/>
      <c r="F19" s="56"/>
      <c r="G19" s="56"/>
      <c r="H19" s="56"/>
      <c r="I19" s="56"/>
      <c r="J19" s="56"/>
      <c r="K19" s="56"/>
      <c r="L19" s="56"/>
      <c r="M19" s="56"/>
      <c r="N19" s="392"/>
      <c r="O19" s="439"/>
      <c r="P19" s="439"/>
      <c r="Q19" s="439"/>
    </row>
    <row r="20" spans="1:18" ht="15.75" customHeight="1">
      <c r="A20" s="56"/>
      <c r="B20" s="56"/>
      <c r="C20" s="901" t="str">
        <f>+UPPER(Q4)&amp;" "&amp;Q5</f>
        <v>DICIEMBRE 2018</v>
      </c>
      <c r="D20" s="901"/>
      <c r="E20" s="901"/>
      <c r="F20" s="51"/>
      <c r="G20" s="51"/>
      <c r="H20" s="51"/>
      <c r="I20" s="901" t="str">
        <f>+UPPER(Q4)&amp;" "&amp;Q5-1</f>
        <v>DICIEMBRE 2017</v>
      </c>
      <c r="J20" s="901"/>
      <c r="K20" s="901"/>
      <c r="L20" s="56"/>
      <c r="M20" s="56"/>
      <c r="Q20" s="439"/>
    </row>
    <row r="21" spans="1:18" ht="11.25" customHeight="1">
      <c r="A21" s="56"/>
      <c r="B21" s="56"/>
      <c r="C21" s="56"/>
      <c r="D21" s="56"/>
      <c r="E21" s="56"/>
      <c r="F21" s="56"/>
      <c r="G21" s="56"/>
      <c r="H21" s="56"/>
      <c r="I21" s="56"/>
      <c r="J21" s="56"/>
      <c r="K21" s="56"/>
      <c r="L21" s="56"/>
      <c r="M21" s="56"/>
      <c r="Q21" s="439"/>
    </row>
    <row r="22" spans="1:18" ht="11.25" customHeight="1">
      <c r="A22" s="66"/>
      <c r="B22" s="67"/>
      <c r="C22" s="67"/>
      <c r="D22" s="67"/>
      <c r="E22" s="67"/>
      <c r="F22" s="67"/>
      <c r="G22" s="67"/>
      <c r="H22" s="67"/>
      <c r="I22" s="67"/>
      <c r="J22" s="67"/>
      <c r="K22" s="67"/>
      <c r="L22" s="67"/>
      <c r="M22" s="67"/>
      <c r="N22" s="481" t="s">
        <v>31</v>
      </c>
      <c r="O22" s="443">
        <v>43282</v>
      </c>
      <c r="P22" s="443">
        <v>42917</v>
      </c>
    </row>
    <row r="23" spans="1:18" ht="11.25" customHeight="1">
      <c r="A23" s="66"/>
      <c r="B23" s="67"/>
      <c r="C23" s="67"/>
      <c r="D23" s="67"/>
      <c r="E23" s="67"/>
      <c r="F23" s="67"/>
      <c r="G23" s="67"/>
      <c r="H23" s="67"/>
      <c r="I23" s="67"/>
      <c r="J23" s="67"/>
      <c r="K23" s="67"/>
      <c r="L23" s="67"/>
      <c r="M23" s="67"/>
      <c r="N23" s="481" t="s">
        <v>24</v>
      </c>
      <c r="O23" s="444">
        <v>2436.2101136875003</v>
      </c>
      <c r="P23" s="444">
        <v>2518.1680651151491</v>
      </c>
      <c r="Q23" s="445"/>
    </row>
    <row r="24" spans="1:18" ht="11.25" customHeight="1">
      <c r="A24" s="56"/>
      <c r="B24" s="56"/>
      <c r="C24" s="56"/>
      <c r="D24" s="56"/>
      <c r="E24" s="60"/>
      <c r="F24" s="68"/>
      <c r="G24" s="68"/>
      <c r="H24" s="68"/>
      <c r="I24" s="68"/>
      <c r="J24" s="68"/>
      <c r="K24" s="68"/>
      <c r="L24" s="68"/>
      <c r="M24" s="60"/>
      <c r="N24" s="482" t="s">
        <v>25</v>
      </c>
      <c r="O24" s="446">
        <v>1812.1990822999999</v>
      </c>
      <c r="P24" s="446">
        <v>1523.6902835589847</v>
      </c>
      <c r="Q24" s="444"/>
      <c r="R24" s="444"/>
    </row>
    <row r="25" spans="1:18" ht="11.25" customHeight="1">
      <c r="A25" s="56"/>
      <c r="B25" s="56"/>
      <c r="C25" s="56"/>
      <c r="D25" s="56"/>
      <c r="E25" s="56"/>
      <c r="F25" s="56"/>
      <c r="G25" s="56"/>
      <c r="H25" s="56"/>
      <c r="I25" s="56"/>
      <c r="J25" s="69"/>
      <c r="K25" s="69"/>
      <c r="L25" s="56"/>
      <c r="M25" s="56"/>
      <c r="N25" s="482" t="s">
        <v>26</v>
      </c>
      <c r="O25" s="446">
        <v>0</v>
      </c>
      <c r="P25" s="446">
        <v>1.4045599313964749</v>
      </c>
      <c r="Q25" s="447"/>
    </row>
    <row r="26" spans="1:18" ht="11.25" customHeight="1">
      <c r="A26" s="56"/>
      <c r="B26" s="56"/>
      <c r="C26" s="56"/>
      <c r="D26" s="56"/>
      <c r="E26" s="56"/>
      <c r="F26" s="56"/>
      <c r="G26" s="56"/>
      <c r="H26" s="56"/>
      <c r="I26" s="56"/>
      <c r="J26" s="69"/>
      <c r="K26" s="69"/>
      <c r="L26" s="56"/>
      <c r="M26" s="56"/>
      <c r="N26" s="483" t="s">
        <v>27</v>
      </c>
      <c r="O26" s="444">
        <v>14.568871332499999</v>
      </c>
      <c r="P26" s="444">
        <v>3.1774130019754998</v>
      </c>
      <c r="Q26" s="447"/>
    </row>
    <row r="27" spans="1:18" ht="11.25" customHeight="1">
      <c r="A27" s="56"/>
      <c r="B27" s="56"/>
      <c r="C27" s="56"/>
      <c r="D27" s="56"/>
      <c r="E27" s="56"/>
      <c r="F27" s="56"/>
      <c r="G27" s="56"/>
      <c r="H27" s="56"/>
      <c r="I27" s="56"/>
      <c r="J27" s="69"/>
      <c r="K27" s="56"/>
      <c r="L27" s="56"/>
      <c r="M27" s="56"/>
      <c r="N27" s="481" t="s">
        <v>28</v>
      </c>
      <c r="O27" s="444">
        <v>16.608781927500001</v>
      </c>
      <c r="P27" s="444">
        <v>9.6022811257249998</v>
      </c>
      <c r="Q27" s="447"/>
    </row>
    <row r="28" spans="1:18" ht="11.25" customHeight="1">
      <c r="A28" s="56"/>
      <c r="B28" s="56"/>
      <c r="C28" s="69"/>
      <c r="D28" s="69"/>
      <c r="E28" s="69"/>
      <c r="F28" s="69"/>
      <c r="G28" s="69"/>
      <c r="H28" s="69"/>
      <c r="I28" s="69"/>
      <c r="J28" s="69"/>
      <c r="K28" s="69"/>
      <c r="L28" s="56"/>
      <c r="M28" s="56"/>
      <c r="N28" s="481" t="s">
        <v>29</v>
      </c>
      <c r="O28" s="444">
        <v>139.86001345999998</v>
      </c>
      <c r="P28" s="444">
        <v>92.030563942929874</v>
      </c>
      <c r="Q28" s="447"/>
    </row>
    <row r="29" spans="1:18" ht="11.25" customHeight="1">
      <c r="A29" s="56"/>
      <c r="B29" s="56"/>
      <c r="C29" s="69"/>
      <c r="D29" s="69"/>
      <c r="E29" s="69"/>
      <c r="F29" s="69"/>
      <c r="G29" s="69"/>
      <c r="H29" s="69"/>
      <c r="I29" s="69"/>
      <c r="J29" s="69"/>
      <c r="K29" s="69"/>
      <c r="L29" s="56"/>
      <c r="M29" s="56"/>
      <c r="N29" s="481" t="s">
        <v>30</v>
      </c>
      <c r="O29" s="444">
        <v>76.637353504999993</v>
      </c>
      <c r="P29" s="444">
        <v>62.632254656498645</v>
      </c>
      <c r="Q29" s="447"/>
    </row>
    <row r="30" spans="1:18" ht="11.25" customHeight="1">
      <c r="A30" s="56"/>
      <c r="B30" s="56"/>
      <c r="C30" s="69"/>
      <c r="D30" s="69"/>
      <c r="E30" s="69"/>
      <c r="F30" s="69"/>
      <c r="G30" s="69"/>
      <c r="H30" s="69"/>
      <c r="I30" s="69"/>
      <c r="J30" s="69"/>
      <c r="K30" s="69"/>
      <c r="L30" s="56"/>
      <c r="M30" s="56"/>
      <c r="N30" s="484"/>
      <c r="O30" s="448"/>
      <c r="P30" s="448"/>
      <c r="Q30" s="447"/>
    </row>
    <row r="31" spans="1:18" ht="11.25" customHeight="1">
      <c r="A31" s="56"/>
      <c r="B31" s="56"/>
      <c r="C31" s="69"/>
      <c r="D31" s="69"/>
      <c r="E31" s="69"/>
      <c r="F31" s="69"/>
      <c r="G31" s="69"/>
      <c r="H31" s="69"/>
      <c r="I31" s="69"/>
      <c r="J31" s="69"/>
      <c r="K31" s="69"/>
      <c r="L31" s="56"/>
      <c r="M31" s="56"/>
      <c r="O31" s="509"/>
      <c r="P31" s="509"/>
      <c r="Q31" s="510"/>
    </row>
    <row r="32" spans="1:18" ht="11.25" customHeight="1">
      <c r="A32" s="56"/>
      <c r="B32" s="56"/>
      <c r="C32" s="69"/>
      <c r="D32" s="69"/>
      <c r="E32" s="69"/>
      <c r="F32" s="69"/>
      <c r="G32" s="69"/>
      <c r="H32" s="69"/>
      <c r="I32" s="69"/>
      <c r="J32" s="69"/>
      <c r="K32" s="69"/>
      <c r="L32" s="56"/>
      <c r="M32" s="56"/>
      <c r="Q32" s="439"/>
    </row>
    <row r="33" spans="1:17" ht="11.25" customHeight="1">
      <c r="A33" s="56"/>
      <c r="B33" s="56"/>
      <c r="C33" s="69"/>
      <c r="D33" s="69"/>
      <c r="E33" s="69"/>
      <c r="F33" s="69"/>
      <c r="G33" s="69"/>
      <c r="H33" s="69"/>
      <c r="I33" s="69"/>
      <c r="J33" s="69"/>
      <c r="K33" s="69"/>
      <c r="L33" s="56"/>
      <c r="M33" s="56"/>
      <c r="Q33" s="439"/>
    </row>
    <row r="34" spans="1:17" ht="11.25" customHeight="1">
      <c r="A34" s="56"/>
      <c r="B34" s="56"/>
      <c r="C34" s="69"/>
      <c r="D34" s="69"/>
      <c r="E34" s="69"/>
      <c r="F34" s="69"/>
      <c r="G34" s="69"/>
      <c r="H34" s="69"/>
      <c r="I34" s="69"/>
      <c r="J34" s="69"/>
      <c r="K34" s="69"/>
      <c r="L34" s="56"/>
      <c r="M34" s="56"/>
      <c r="Q34" s="439"/>
    </row>
    <row r="35" spans="1:17" ht="11.25" customHeight="1">
      <c r="A35" s="70"/>
      <c r="B35" s="70"/>
      <c r="C35" s="71"/>
      <c r="D35" s="71"/>
      <c r="E35" s="71"/>
      <c r="F35" s="71"/>
      <c r="G35" s="71"/>
      <c r="H35" s="71"/>
      <c r="I35" s="71"/>
      <c r="J35" s="70"/>
      <c r="K35" s="70"/>
      <c r="L35" s="70"/>
      <c r="M35" s="70"/>
      <c r="Q35" s="439"/>
    </row>
    <row r="36" spans="1:17" ht="11.25" customHeight="1">
      <c r="A36" s="70"/>
      <c r="B36" s="70"/>
      <c r="C36" s="71"/>
      <c r="D36" s="71"/>
      <c r="E36" s="71"/>
      <c r="F36" s="71"/>
      <c r="G36" s="71"/>
      <c r="H36" s="71"/>
      <c r="I36" s="71"/>
      <c r="J36" s="70"/>
      <c r="K36" s="70"/>
      <c r="L36" s="70"/>
      <c r="M36" s="70"/>
      <c r="Q36" s="439"/>
    </row>
    <row r="37" spans="1:17" ht="11.25" customHeight="1">
      <c r="A37" s="70"/>
      <c r="B37" s="70"/>
      <c r="C37" s="71"/>
      <c r="D37" s="71"/>
      <c r="E37" s="71"/>
      <c r="F37" s="71"/>
      <c r="G37" s="71"/>
      <c r="H37" s="71"/>
      <c r="I37" s="71"/>
      <c r="J37" s="70"/>
      <c r="K37" s="70"/>
      <c r="L37" s="70"/>
      <c r="M37" s="70"/>
      <c r="N37" s="392"/>
      <c r="O37" s="439"/>
      <c r="P37" s="439"/>
      <c r="Q37" s="439"/>
    </row>
    <row r="38" spans="1:17" ht="11.25" customHeight="1">
      <c r="A38" s="70"/>
      <c r="B38" s="70"/>
      <c r="C38" s="71"/>
      <c r="D38" s="71"/>
      <c r="E38" s="71"/>
      <c r="F38" s="71"/>
      <c r="G38" s="71"/>
      <c r="H38" s="71"/>
      <c r="I38" s="71"/>
      <c r="J38" s="70"/>
      <c r="K38" s="70"/>
      <c r="L38" s="70"/>
      <c r="M38" s="70"/>
      <c r="N38" s="392"/>
      <c r="O38" s="439"/>
      <c r="P38" s="439"/>
      <c r="Q38" s="439"/>
    </row>
    <row r="39" spans="1:17" ht="11.25" customHeight="1">
      <c r="A39" s="70"/>
      <c r="B39" s="70"/>
      <c r="C39" s="71"/>
      <c r="D39" s="71"/>
      <c r="E39" s="71"/>
      <c r="F39" s="71"/>
      <c r="G39" s="71"/>
      <c r="H39" s="71"/>
      <c r="I39" s="71"/>
      <c r="J39" s="70"/>
      <c r="K39" s="70"/>
      <c r="L39" s="70"/>
      <c r="M39" s="70"/>
      <c r="N39" s="392"/>
      <c r="O39" s="439"/>
      <c r="P39" s="439"/>
      <c r="Q39" s="439"/>
    </row>
    <row r="40" spans="1:17" ht="11.25" customHeight="1">
      <c r="A40" s="70"/>
      <c r="B40" s="70"/>
      <c r="C40" s="71"/>
      <c r="D40" s="71"/>
      <c r="E40" s="71"/>
      <c r="F40" s="71"/>
      <c r="G40" s="71"/>
      <c r="H40" s="71"/>
      <c r="I40" s="71"/>
      <c r="J40" s="70"/>
      <c r="K40" s="70"/>
      <c r="L40" s="70"/>
      <c r="M40" s="70"/>
      <c r="N40" s="392"/>
      <c r="O40" s="439"/>
      <c r="P40" s="439"/>
      <c r="Q40" s="439"/>
    </row>
    <row r="41" spans="1:17" ht="11.25" customHeight="1">
      <c r="A41" s="70"/>
      <c r="B41" s="70"/>
      <c r="C41" s="70"/>
      <c r="D41" s="71"/>
      <c r="E41" s="71"/>
      <c r="F41" s="71"/>
      <c r="G41" s="71"/>
      <c r="H41" s="70"/>
      <c r="I41" s="70"/>
      <c r="J41" s="70"/>
      <c r="K41" s="70"/>
      <c r="L41" s="70"/>
      <c r="M41" s="70"/>
      <c r="N41" s="392"/>
      <c r="O41" s="439"/>
      <c r="P41" s="439"/>
      <c r="Q41" s="439"/>
    </row>
    <row r="42" spans="1:17" ht="11.25" customHeight="1">
      <c r="A42" s="70"/>
      <c r="B42" s="70"/>
      <c r="C42" s="71"/>
      <c r="D42" s="71"/>
      <c r="E42" s="71"/>
      <c r="F42" s="71"/>
      <c r="G42" s="71"/>
      <c r="H42" s="71"/>
      <c r="I42" s="71"/>
      <c r="J42" s="70"/>
      <c r="K42" s="70"/>
      <c r="L42" s="70"/>
      <c r="M42" s="70"/>
      <c r="N42" s="392"/>
      <c r="O42" s="439"/>
      <c r="P42" s="439"/>
      <c r="Q42" s="439"/>
    </row>
    <row r="43" spans="1:17" ht="11.25" customHeight="1">
      <c r="A43" s="70"/>
      <c r="B43" s="70"/>
      <c r="C43" s="71"/>
      <c r="D43" s="71"/>
      <c r="E43" s="71"/>
      <c r="F43" s="71"/>
      <c r="G43" s="71"/>
      <c r="H43" s="71"/>
      <c r="I43" s="71"/>
      <c r="J43" s="70"/>
      <c r="K43" s="70"/>
      <c r="L43" s="70"/>
      <c r="M43" s="70"/>
      <c r="N43" s="392"/>
      <c r="O43" s="439"/>
      <c r="P43" s="439"/>
      <c r="Q43" s="439"/>
    </row>
    <row r="44" spans="1:17" ht="11.25" customHeight="1">
      <c r="A44" s="70"/>
      <c r="B44" s="70"/>
      <c r="C44" s="71"/>
      <c r="D44" s="71"/>
      <c r="E44" s="71"/>
      <c r="F44" s="71"/>
      <c r="G44" s="71"/>
      <c r="H44" s="71"/>
      <c r="I44" s="71"/>
      <c r="J44" s="70"/>
      <c r="K44" s="70"/>
      <c r="L44" s="70"/>
      <c r="M44" s="70"/>
      <c r="N44" s="392"/>
      <c r="O44" s="439"/>
      <c r="P44" s="439"/>
      <c r="Q44" s="439"/>
    </row>
    <row r="45" spans="1:17" ht="11.25" customHeight="1">
      <c r="A45" s="70"/>
      <c r="B45" s="70"/>
      <c r="C45" s="71"/>
      <c r="D45" s="71"/>
      <c r="E45" s="71"/>
      <c r="F45" s="71"/>
      <c r="G45" s="71"/>
      <c r="H45" s="71"/>
      <c r="I45" s="71"/>
      <c r="J45" s="70"/>
      <c r="K45" s="70"/>
      <c r="L45" s="70"/>
      <c r="M45" s="70"/>
      <c r="N45" s="392"/>
      <c r="O45" s="439"/>
      <c r="P45" s="439"/>
      <c r="Q45" s="439"/>
    </row>
    <row r="46" spans="1:17" ht="11.25" customHeight="1">
      <c r="A46" s="70"/>
      <c r="B46" s="70"/>
      <c r="C46" s="70"/>
      <c r="D46" s="70"/>
      <c r="E46" s="70"/>
      <c r="F46" s="70"/>
      <c r="G46" s="70"/>
      <c r="H46" s="70"/>
      <c r="I46" s="70"/>
      <c r="J46" s="70"/>
      <c r="K46" s="70"/>
      <c r="L46" s="70"/>
      <c r="M46" s="70"/>
      <c r="N46" s="392"/>
      <c r="O46" s="439"/>
      <c r="P46" s="439"/>
      <c r="Q46" s="439"/>
    </row>
    <row r="47" spans="1:17" ht="16.5" customHeight="1">
      <c r="A47" s="70"/>
      <c r="B47" s="900" t="str">
        <f>"Total = "&amp;TEXT(ROUND(SUM(O23:O29),2),"0 000,00")&amp;" GWh"</f>
        <v>Total = 4 496,08 GWh</v>
      </c>
      <c r="C47" s="900"/>
      <c r="D47" s="900"/>
      <c r="E47" s="900"/>
      <c r="F47" s="70"/>
      <c r="G47" s="70"/>
      <c r="H47" s="899" t="str">
        <f>"Total = "&amp;TEXT(ROUND(SUM(P23:P29),2),"0 000,00")&amp;" GWh"</f>
        <v>Total = 4 210,71 GWh</v>
      </c>
      <c r="I47" s="899"/>
      <c r="J47" s="899"/>
      <c r="K47" s="899"/>
      <c r="L47" s="70"/>
      <c r="M47" s="70"/>
      <c r="N47" s="392"/>
      <c r="O47" s="439"/>
      <c r="P47" s="439"/>
      <c r="Q47" s="439"/>
    </row>
    <row r="48" spans="1:17" ht="11.25" customHeight="1">
      <c r="H48" s="70"/>
      <c r="I48" s="70"/>
      <c r="J48" s="70"/>
      <c r="K48" s="70"/>
      <c r="L48" s="70"/>
      <c r="M48" s="70"/>
      <c r="N48" s="392"/>
      <c r="O48" s="439"/>
      <c r="P48" s="439"/>
      <c r="Q48" s="439"/>
    </row>
    <row r="49" spans="1:17" ht="11.25" customHeight="1">
      <c r="B49" s="898" t="str">
        <f>"Gráfico 1: Comparación de producción mensual de electricidad en "&amp;Q4&amp;" por tipo de recurso energético."</f>
        <v>Gráfico 1: Comparación de producción mensual de electricidad en diciembre por tipo de recurso energético.</v>
      </c>
      <c r="C49" s="898"/>
      <c r="D49" s="898"/>
      <c r="E49" s="898"/>
      <c r="F49" s="898"/>
      <c r="G49" s="898"/>
      <c r="H49" s="898"/>
      <c r="I49" s="898"/>
      <c r="J49" s="898"/>
      <c r="K49" s="898"/>
      <c r="L49" s="898"/>
      <c r="M49" s="291"/>
      <c r="N49" s="395"/>
      <c r="O49" s="439"/>
      <c r="P49" s="439"/>
      <c r="Q49" s="439"/>
    </row>
    <row r="50" spans="1:17" ht="11.25" customHeight="1">
      <c r="A50" s="70"/>
      <c r="B50" s="70"/>
      <c r="C50" s="57"/>
      <c r="D50" s="57"/>
      <c r="E50" s="70"/>
      <c r="F50" s="70"/>
      <c r="G50" s="70"/>
      <c r="H50" s="70"/>
      <c r="I50" s="70"/>
      <c r="J50" s="70"/>
      <c r="K50" s="70"/>
      <c r="L50" s="70"/>
      <c r="M50" s="70"/>
      <c r="N50" s="392"/>
      <c r="O50" s="439"/>
      <c r="P50" s="439"/>
      <c r="Q50" s="439"/>
    </row>
    <row r="51" spans="1:17" ht="11.25" customHeight="1">
      <c r="A51" s="70"/>
      <c r="B51" s="70"/>
      <c r="C51" s="70"/>
      <c r="D51" s="70"/>
      <c r="E51" s="70"/>
      <c r="F51" s="70"/>
      <c r="G51" s="70"/>
      <c r="H51" s="70"/>
      <c r="I51" s="70"/>
      <c r="J51" s="70"/>
      <c r="K51" s="70"/>
      <c r="L51" s="70"/>
      <c r="M51" s="70"/>
      <c r="N51" s="392"/>
      <c r="O51" s="439"/>
      <c r="P51" s="439"/>
      <c r="Q51" s="439"/>
    </row>
    <row r="52" spans="1:17" ht="11.25" customHeight="1">
      <c r="A52" s="70"/>
      <c r="B52" s="70"/>
      <c r="C52" s="70"/>
      <c r="D52" s="70"/>
      <c r="E52" s="70"/>
      <c r="F52" s="70"/>
      <c r="G52" s="70"/>
      <c r="H52" s="70"/>
      <c r="I52" s="70"/>
      <c r="J52" s="70"/>
      <c r="K52" s="70"/>
      <c r="L52" s="70"/>
      <c r="M52" s="70"/>
      <c r="N52" s="392"/>
      <c r="O52" s="439"/>
      <c r="P52" s="439"/>
      <c r="Q52" s="439"/>
    </row>
    <row r="53" spans="1:17" ht="11.25" customHeight="1">
      <c r="A53" s="70"/>
      <c r="B53" s="70"/>
      <c r="C53" s="70"/>
      <c r="D53" s="70"/>
      <c r="E53" s="70"/>
      <c r="F53" s="70"/>
      <c r="G53" s="70"/>
      <c r="H53" s="70"/>
      <c r="I53" s="70"/>
      <c r="J53" s="70"/>
      <c r="K53" s="70"/>
      <c r="L53" s="70"/>
      <c r="M53" s="70"/>
      <c r="N53" s="392"/>
      <c r="O53" s="439"/>
      <c r="P53" s="439"/>
      <c r="Q53" s="439"/>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H47:K47"/>
    <mergeCell ref="B47:E47"/>
    <mergeCell ref="I20:K20"/>
    <mergeCell ref="B18:M18"/>
    <mergeCell ref="B12:M12"/>
    <mergeCell ref="B14:M14"/>
    <mergeCell ref="B16:M16"/>
    <mergeCell ref="C3:J3"/>
    <mergeCell ref="C20:E20"/>
  </mergeCells>
  <pageMargins left="0.5803571428571429" right="0.38690476190476192" top="0.83333333333333337" bottom="0.64950980392156865" header="0.3" footer="0.3"/>
  <pageSetup orientation="portrait" r:id="rId1"/>
  <headerFooter>
    <oddHeader>&amp;R&amp;7Informe de la Operación Mensual - Diciembre 2018
INFSGI-MES-12-2018
15/01/2019
Versión: 01</oddHeader>
    <oddFooter>&amp;LCOES,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39"/>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16406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78.75" customHeight="1">
      <c r="A2" s="383" t="s">
        <v>457</v>
      </c>
      <c r="B2" s="383" t="s">
        <v>493</v>
      </c>
      <c r="C2" s="384">
        <v>43451.72152777778</v>
      </c>
      <c r="D2" s="517" t="s">
        <v>657</v>
      </c>
      <c r="E2" s="385"/>
      <c r="F2" s="385">
        <v>1.5</v>
      </c>
      <c r="G2" s="361"/>
      <c r="H2" s="361"/>
      <c r="I2" s="378"/>
    </row>
    <row r="3" spans="1:9" s="372" customFormat="1" ht="57" customHeight="1">
      <c r="A3" s="383" t="s">
        <v>625</v>
      </c>
      <c r="B3" s="383" t="s">
        <v>493</v>
      </c>
      <c r="C3" s="384">
        <v>43452.256249999999</v>
      </c>
      <c r="D3" s="517" t="s">
        <v>658</v>
      </c>
      <c r="E3" s="385">
        <v>25.37</v>
      </c>
      <c r="F3" s="385"/>
      <c r="G3" s="361"/>
      <c r="H3" s="361"/>
      <c r="I3" s="376"/>
    </row>
    <row r="4" spans="1:9" s="372" customFormat="1" ht="67.5" customHeight="1">
      <c r="A4" s="383" t="s">
        <v>608</v>
      </c>
      <c r="B4" s="383" t="s">
        <v>620</v>
      </c>
      <c r="C4" s="384">
        <v>43452.399305555555</v>
      </c>
      <c r="D4" s="517" t="s">
        <v>659</v>
      </c>
      <c r="E4" s="385"/>
      <c r="F4" s="385">
        <v>2.6</v>
      </c>
      <c r="G4" s="361"/>
      <c r="H4" s="361"/>
      <c r="I4" s="376"/>
    </row>
    <row r="5" spans="1:9" s="372" customFormat="1" ht="81.75" customHeight="1">
      <c r="A5" s="383" t="s">
        <v>456</v>
      </c>
      <c r="B5" s="383" t="s">
        <v>493</v>
      </c>
      <c r="C5" s="384">
        <v>43452.585416666669</v>
      </c>
      <c r="D5" s="517" t="s">
        <v>660</v>
      </c>
      <c r="E5" s="385">
        <v>7.64</v>
      </c>
      <c r="F5" s="385"/>
      <c r="G5" s="361"/>
      <c r="H5" s="361"/>
      <c r="I5" s="376"/>
    </row>
    <row r="6" spans="1:9" s="372" customFormat="1" ht="77.25" customHeight="1">
      <c r="A6" s="383" t="s">
        <v>456</v>
      </c>
      <c r="B6" s="383" t="s">
        <v>493</v>
      </c>
      <c r="C6" s="384">
        <v>43452.602083333331</v>
      </c>
      <c r="D6" s="517" t="s">
        <v>661</v>
      </c>
      <c r="E6" s="385">
        <v>5.5</v>
      </c>
      <c r="F6" s="385"/>
      <c r="G6" s="361"/>
      <c r="H6" s="361"/>
      <c r="I6" s="376"/>
    </row>
    <row r="7" spans="1:9" s="372" customFormat="1" ht="69" customHeight="1">
      <c r="A7" s="383" t="s">
        <v>456</v>
      </c>
      <c r="B7" s="383" t="s">
        <v>493</v>
      </c>
      <c r="C7" s="384">
        <v>43452.607638888891</v>
      </c>
      <c r="D7" s="517" t="s">
        <v>662</v>
      </c>
      <c r="E7" s="385">
        <v>5.57</v>
      </c>
      <c r="F7" s="385"/>
      <c r="G7" s="361"/>
      <c r="H7" s="363"/>
      <c r="I7" s="376"/>
    </row>
    <row r="8" spans="1:9" ht="63.75" customHeight="1">
      <c r="A8" s="383" t="s">
        <v>653</v>
      </c>
      <c r="B8" s="383" t="s">
        <v>493</v>
      </c>
      <c r="C8" s="384">
        <v>43453.731249999997</v>
      </c>
      <c r="D8" s="517" t="s">
        <v>663</v>
      </c>
      <c r="E8" s="385">
        <v>4.88</v>
      </c>
      <c r="F8" s="385"/>
    </row>
    <row r="9" spans="1:9" ht="65.25" customHeight="1">
      <c r="A9" s="383" t="s">
        <v>664</v>
      </c>
      <c r="B9" s="383" t="s">
        <v>565</v>
      </c>
      <c r="C9" s="384">
        <v>43454.600694444445</v>
      </c>
      <c r="D9" s="517" t="s">
        <v>665</v>
      </c>
      <c r="E9" s="385"/>
      <c r="F9" s="385">
        <v>105.3</v>
      </c>
    </row>
    <row r="10" spans="1:9" ht="99.75" customHeight="1">
      <c r="A10" s="383" t="s">
        <v>651</v>
      </c>
      <c r="B10" s="383" t="s">
        <v>493</v>
      </c>
      <c r="C10" s="384">
        <v>43454.661805555559</v>
      </c>
      <c r="D10" s="517" t="s">
        <v>666</v>
      </c>
      <c r="E10" s="385">
        <v>48</v>
      </c>
      <c r="F10" s="385"/>
    </row>
    <row r="11" spans="1:9" ht="62.25" customHeight="1">
      <c r="A11" s="383" t="s">
        <v>456</v>
      </c>
      <c r="B11" s="383" t="s">
        <v>493</v>
      </c>
      <c r="C11" s="384">
        <v>43455.115277777775</v>
      </c>
      <c r="D11" s="517" t="s">
        <v>667</v>
      </c>
      <c r="E11" s="385">
        <v>6.53</v>
      </c>
      <c r="F11" s="385"/>
    </row>
    <row r="12" spans="1:9">
      <c r="E12" s="382"/>
      <c r="F12" s="382"/>
    </row>
    <row r="13" spans="1:9">
      <c r="E13" s="382"/>
      <c r="F13" s="382"/>
    </row>
    <row r="14" spans="1:9">
      <c r="E14" s="382"/>
      <c r="F14" s="382"/>
    </row>
    <row r="15" spans="1:9">
      <c r="E15" s="382"/>
      <c r="F15" s="382"/>
    </row>
    <row r="16" spans="1:9">
      <c r="E16" s="382"/>
      <c r="F16" s="382"/>
    </row>
    <row r="17" spans="5:6">
      <c r="E17" s="382"/>
      <c r="F17" s="382"/>
    </row>
    <row r="18" spans="5:6">
      <c r="E18" s="382"/>
      <c r="F18" s="382"/>
    </row>
    <row r="19" spans="5:6">
      <c r="E19" s="382"/>
      <c r="F19" s="382"/>
    </row>
    <row r="20" spans="5:6">
      <c r="E20" s="382"/>
      <c r="F20" s="382"/>
    </row>
    <row r="21" spans="5:6">
      <c r="E21" s="382"/>
      <c r="F21" s="382"/>
    </row>
    <row r="22" spans="5:6">
      <c r="E22" s="382"/>
      <c r="F22" s="382"/>
    </row>
    <row r="23" spans="5:6">
      <c r="E23" s="382"/>
      <c r="F23" s="382"/>
    </row>
    <row r="24" spans="5:6">
      <c r="E24" s="382"/>
      <c r="F24" s="382"/>
    </row>
    <row r="25" spans="5:6">
      <c r="E25" s="382"/>
      <c r="F25" s="382"/>
    </row>
    <row r="26" spans="5:6">
      <c r="E26" s="382"/>
      <c r="F26" s="382"/>
    </row>
    <row r="27" spans="5:6">
      <c r="E27" s="382"/>
      <c r="F27" s="382"/>
    </row>
    <row r="28" spans="5:6">
      <c r="E28" s="382"/>
      <c r="F28" s="382"/>
    </row>
    <row r="29" spans="5:6">
      <c r="E29" s="382"/>
      <c r="F29" s="382"/>
    </row>
    <row r="30" spans="5:6">
      <c r="E30" s="382"/>
      <c r="F30" s="382"/>
    </row>
    <row r="31" spans="5:6">
      <c r="E31" s="382"/>
      <c r="F31" s="382"/>
    </row>
    <row r="32" spans="5:6">
      <c r="E32" s="382"/>
      <c r="F32" s="382"/>
    </row>
    <row r="33" spans="5:6">
      <c r="E33" s="382"/>
      <c r="F33" s="382"/>
    </row>
    <row r="34" spans="5:6">
      <c r="E34" s="382"/>
      <c r="F34" s="382"/>
    </row>
    <row r="35" spans="5:6">
      <c r="E35" s="382"/>
      <c r="F35" s="382"/>
    </row>
    <row r="36" spans="5:6">
      <c r="E36" s="382"/>
      <c r="F36" s="382"/>
    </row>
    <row r="37" spans="5:6">
      <c r="E37" s="382"/>
      <c r="F37" s="382"/>
    </row>
    <row r="38" spans="5:6">
      <c r="E38" s="382"/>
      <c r="F38" s="382"/>
    </row>
    <row r="39" spans="5:6">
      <c r="E39" s="382"/>
      <c r="F39" s="382"/>
    </row>
    <row r="40" spans="5:6">
      <c r="E40" s="382"/>
      <c r="F40" s="382"/>
    </row>
    <row r="41" spans="5:6">
      <c r="E41" s="382"/>
      <c r="F41" s="382"/>
    </row>
    <row r="42" spans="5:6">
      <c r="E42" s="382"/>
      <c r="F42" s="382"/>
    </row>
    <row r="43" spans="5:6">
      <c r="E43" s="382"/>
      <c r="F43" s="382"/>
    </row>
    <row r="44" spans="5:6">
      <c r="E44" s="382"/>
      <c r="F44" s="382"/>
    </row>
    <row r="45" spans="5:6">
      <c r="E45" s="382"/>
      <c r="F45" s="382"/>
    </row>
    <row r="46" spans="5:6">
      <c r="E46" s="382"/>
      <c r="F46" s="382"/>
    </row>
    <row r="47" spans="5:6">
      <c r="E47" s="382"/>
      <c r="F47" s="382"/>
    </row>
    <row r="48" spans="5:6">
      <c r="E48" s="382"/>
      <c r="F48" s="382"/>
    </row>
    <row r="49" spans="5:6">
      <c r="E49" s="382"/>
      <c r="F49" s="382"/>
    </row>
    <row r="50" spans="5:6">
      <c r="E50" s="382"/>
      <c r="F50" s="382"/>
    </row>
    <row r="51" spans="5:6">
      <c r="E51" s="382"/>
      <c r="F51" s="382"/>
    </row>
    <row r="52" spans="5:6">
      <c r="E52" s="382"/>
      <c r="F52" s="382"/>
    </row>
    <row r="53" spans="5:6">
      <c r="E53" s="382"/>
      <c r="F53" s="382"/>
    </row>
    <row r="54" spans="5:6">
      <c r="E54" s="382"/>
      <c r="F54" s="382"/>
    </row>
    <row r="55" spans="5:6">
      <c r="E55" s="382"/>
      <c r="F55" s="382"/>
    </row>
    <row r="56" spans="5:6">
      <c r="E56" s="382"/>
      <c r="F56" s="382"/>
    </row>
    <row r="57" spans="5:6">
      <c r="E57" s="382"/>
      <c r="F57" s="382"/>
    </row>
    <row r="58" spans="5:6">
      <c r="E58" s="382"/>
      <c r="F58" s="382"/>
    </row>
    <row r="59" spans="5:6">
      <c r="E59" s="382"/>
      <c r="F59" s="382"/>
    </row>
    <row r="60" spans="5:6">
      <c r="E60" s="382"/>
      <c r="F60" s="382"/>
    </row>
    <row r="61" spans="5:6">
      <c r="E61" s="382"/>
      <c r="F61" s="382"/>
    </row>
    <row r="62" spans="5:6">
      <c r="E62" s="382"/>
      <c r="F62" s="382"/>
    </row>
    <row r="63" spans="5:6">
      <c r="E63" s="382"/>
      <c r="F63" s="382"/>
    </row>
    <row r="64" spans="5:6">
      <c r="E64" s="382"/>
      <c r="F64" s="382"/>
    </row>
    <row r="65" spans="5:6">
      <c r="E65" s="382"/>
      <c r="F65" s="382"/>
    </row>
    <row r="66" spans="5:6">
      <c r="E66" s="382"/>
      <c r="F66" s="382"/>
    </row>
    <row r="67" spans="5:6">
      <c r="E67" s="382"/>
      <c r="F67" s="382"/>
    </row>
    <row r="68" spans="5:6">
      <c r="E68" s="382"/>
      <c r="F68" s="382"/>
    </row>
    <row r="69" spans="5:6">
      <c r="E69" s="382"/>
      <c r="F69" s="382"/>
    </row>
    <row r="70" spans="5:6">
      <c r="E70" s="382"/>
      <c r="F70" s="382"/>
    </row>
    <row r="71" spans="5:6">
      <c r="E71" s="382"/>
      <c r="F71" s="382"/>
    </row>
    <row r="72" spans="5:6">
      <c r="E72" s="382"/>
      <c r="F72" s="382"/>
    </row>
    <row r="73" spans="5:6">
      <c r="E73" s="382"/>
      <c r="F73" s="382"/>
    </row>
    <row r="74" spans="5:6">
      <c r="E74" s="382"/>
      <c r="F74" s="382"/>
    </row>
    <row r="75" spans="5:6">
      <c r="E75" s="382"/>
      <c r="F75" s="382"/>
    </row>
    <row r="76" spans="5:6">
      <c r="E76" s="382"/>
      <c r="F76" s="382"/>
    </row>
    <row r="77" spans="5:6">
      <c r="E77" s="382"/>
      <c r="F77" s="382"/>
    </row>
    <row r="78" spans="5:6">
      <c r="E78" s="382"/>
      <c r="F78" s="382"/>
    </row>
    <row r="79" spans="5:6">
      <c r="E79" s="382"/>
      <c r="F79" s="382"/>
    </row>
    <row r="80" spans="5:6">
      <c r="E80" s="382"/>
      <c r="F80" s="382"/>
    </row>
    <row r="81" spans="5:6">
      <c r="E81" s="382"/>
      <c r="F81" s="382"/>
    </row>
    <row r="82" spans="5:6">
      <c r="E82" s="382"/>
      <c r="F82" s="382"/>
    </row>
    <row r="83" spans="5:6">
      <c r="E83" s="382"/>
      <c r="F83" s="382"/>
    </row>
    <row r="84" spans="5:6">
      <c r="E84" s="382"/>
      <c r="F84" s="382"/>
    </row>
    <row r="85" spans="5:6">
      <c r="E85" s="382"/>
      <c r="F85" s="382"/>
    </row>
    <row r="86" spans="5:6">
      <c r="E86" s="382"/>
      <c r="F86" s="382"/>
    </row>
    <row r="87" spans="5:6">
      <c r="E87" s="382"/>
      <c r="F87" s="382"/>
    </row>
    <row r="88" spans="5:6">
      <c r="E88" s="382"/>
      <c r="F88" s="382"/>
    </row>
    <row r="89" spans="5:6">
      <c r="E89" s="382"/>
      <c r="F89" s="382"/>
    </row>
    <row r="90" spans="5:6">
      <c r="E90" s="382"/>
      <c r="F90" s="382"/>
    </row>
    <row r="91" spans="5:6">
      <c r="E91" s="382"/>
      <c r="F91" s="382"/>
    </row>
    <row r="92" spans="5:6">
      <c r="E92" s="382"/>
      <c r="F92" s="382"/>
    </row>
    <row r="93" spans="5:6">
      <c r="E93" s="382"/>
      <c r="F93" s="382"/>
    </row>
    <row r="94" spans="5:6">
      <c r="E94" s="382"/>
      <c r="F94" s="382"/>
    </row>
    <row r="95" spans="5:6">
      <c r="E95" s="382"/>
      <c r="F95" s="382"/>
    </row>
    <row r="96" spans="5:6">
      <c r="E96" s="382"/>
      <c r="F96" s="382"/>
    </row>
    <row r="97" spans="5:6">
      <c r="E97" s="382"/>
      <c r="F97" s="382"/>
    </row>
    <row r="98" spans="5:6">
      <c r="E98" s="382"/>
      <c r="F98" s="382"/>
    </row>
    <row r="99" spans="5:6">
      <c r="E99" s="382"/>
      <c r="F99" s="382"/>
    </row>
    <row r="100" spans="5:6">
      <c r="E100" s="382"/>
      <c r="F100" s="382"/>
    </row>
    <row r="101" spans="5:6">
      <c r="E101" s="382"/>
      <c r="F101" s="382"/>
    </row>
    <row r="102" spans="5:6">
      <c r="E102" s="382"/>
      <c r="F102" s="382"/>
    </row>
    <row r="103" spans="5:6">
      <c r="E103" s="382"/>
      <c r="F103" s="382"/>
    </row>
    <row r="104" spans="5:6">
      <c r="E104" s="382"/>
      <c r="F104" s="382"/>
    </row>
    <row r="105" spans="5:6">
      <c r="E105" s="382"/>
      <c r="F105" s="382"/>
    </row>
    <row r="106" spans="5:6">
      <c r="E106" s="382"/>
      <c r="F106" s="382"/>
    </row>
    <row r="107" spans="5:6">
      <c r="E107" s="382"/>
      <c r="F107" s="382"/>
    </row>
    <row r="108" spans="5:6">
      <c r="E108" s="382"/>
      <c r="F108" s="382"/>
    </row>
    <row r="109" spans="5:6">
      <c r="E109" s="382"/>
      <c r="F109" s="382"/>
    </row>
    <row r="110" spans="5:6">
      <c r="E110" s="382"/>
      <c r="F110" s="382"/>
    </row>
    <row r="111" spans="5:6">
      <c r="E111" s="382"/>
      <c r="F111" s="382"/>
    </row>
    <row r="112" spans="5:6">
      <c r="E112" s="382"/>
      <c r="F112" s="382"/>
    </row>
    <row r="113" spans="5:6">
      <c r="E113" s="382"/>
      <c r="F113" s="382"/>
    </row>
    <row r="114" spans="5:6">
      <c r="E114" s="382"/>
      <c r="F114" s="382"/>
    </row>
    <row r="115" spans="5:6">
      <c r="E115" s="382"/>
      <c r="F115" s="382"/>
    </row>
    <row r="116" spans="5:6">
      <c r="E116" s="382"/>
      <c r="F116" s="382"/>
    </row>
    <row r="117" spans="5:6">
      <c r="E117" s="382"/>
      <c r="F117" s="382"/>
    </row>
    <row r="118" spans="5:6">
      <c r="E118" s="382"/>
      <c r="F118" s="382"/>
    </row>
    <row r="119" spans="5:6">
      <c r="E119" s="382"/>
      <c r="F119" s="382"/>
    </row>
    <row r="120" spans="5:6">
      <c r="E120" s="382"/>
      <c r="F120" s="382"/>
    </row>
    <row r="121" spans="5:6">
      <c r="E121" s="382"/>
      <c r="F121" s="382"/>
    </row>
    <row r="122" spans="5:6">
      <c r="E122" s="382"/>
      <c r="F122" s="382"/>
    </row>
    <row r="123" spans="5:6">
      <c r="E123" s="382"/>
      <c r="F123" s="382"/>
    </row>
    <row r="124" spans="5:6">
      <c r="E124" s="382"/>
      <c r="F124" s="382"/>
    </row>
    <row r="125" spans="5:6">
      <c r="E125" s="382"/>
      <c r="F125" s="382"/>
    </row>
    <row r="126" spans="5:6">
      <c r="E126" s="382"/>
      <c r="F126" s="382"/>
    </row>
    <row r="127" spans="5:6">
      <c r="E127" s="382"/>
      <c r="F127" s="382"/>
    </row>
    <row r="128" spans="5:6">
      <c r="E128" s="382"/>
      <c r="F128" s="382"/>
    </row>
    <row r="129" spans="5:6">
      <c r="E129" s="382"/>
      <c r="F129" s="382"/>
    </row>
    <row r="130" spans="5:6">
      <c r="E130" s="382"/>
      <c r="F130" s="382"/>
    </row>
    <row r="131" spans="5:6">
      <c r="E131" s="382"/>
      <c r="F131" s="382"/>
    </row>
    <row r="132" spans="5:6">
      <c r="E132" s="382"/>
      <c r="F132" s="382"/>
    </row>
    <row r="133" spans="5:6">
      <c r="E133" s="382"/>
      <c r="F133" s="382"/>
    </row>
    <row r="134" spans="5:6">
      <c r="E134" s="382"/>
      <c r="F134" s="382"/>
    </row>
    <row r="135" spans="5:6">
      <c r="E135" s="382"/>
      <c r="F135" s="382"/>
    </row>
    <row r="136" spans="5:6">
      <c r="E136" s="382"/>
      <c r="F136" s="382"/>
    </row>
    <row r="137" spans="5:6">
      <c r="E137" s="382"/>
      <c r="F137" s="382"/>
    </row>
    <row r="138" spans="5:6">
      <c r="E138" s="382"/>
      <c r="F138" s="382"/>
    </row>
    <row r="139" spans="5:6">
      <c r="E139" s="382"/>
      <c r="F139"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2018&amp;C28&amp;R&amp;7Dirección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16406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130.5" customHeight="1">
      <c r="A2" s="383" t="s">
        <v>99</v>
      </c>
      <c r="B2" s="383" t="s">
        <v>493</v>
      </c>
      <c r="C2" s="384">
        <v>43455.547222222223</v>
      </c>
      <c r="D2" s="517" t="s">
        <v>668</v>
      </c>
      <c r="E2" s="385"/>
      <c r="F2" s="385">
        <v>6.59</v>
      </c>
      <c r="G2" s="361"/>
      <c r="H2" s="363"/>
      <c r="I2" s="376"/>
    </row>
    <row r="3" spans="1:9" s="372" customFormat="1" ht="73.5" customHeight="1">
      <c r="A3" s="383" t="s">
        <v>605</v>
      </c>
      <c r="B3" s="383" t="s">
        <v>493</v>
      </c>
      <c r="C3" s="384">
        <v>43456.45208333333</v>
      </c>
      <c r="D3" s="517" t="s">
        <v>669</v>
      </c>
      <c r="E3" s="385">
        <v>1.38</v>
      </c>
      <c r="F3" s="385"/>
      <c r="G3" s="361"/>
      <c r="H3" s="363"/>
      <c r="I3" s="376"/>
    </row>
    <row r="4" spans="1:9" s="372" customFormat="1" ht="98.25" customHeight="1">
      <c r="A4" s="383" t="s">
        <v>124</v>
      </c>
      <c r="B4" s="383" t="s">
        <v>172</v>
      </c>
      <c r="C4" s="384">
        <v>43456.525694444441</v>
      </c>
      <c r="D4" s="517" t="s">
        <v>670</v>
      </c>
      <c r="E4" s="385">
        <v>23</v>
      </c>
      <c r="F4" s="385"/>
      <c r="G4" s="361"/>
      <c r="H4" s="363"/>
      <c r="I4" s="376"/>
    </row>
    <row r="5" spans="1:9" s="372" customFormat="1" ht="49.5" customHeight="1">
      <c r="A5" s="383" t="s">
        <v>671</v>
      </c>
      <c r="B5" s="383" t="s">
        <v>493</v>
      </c>
      <c r="C5" s="384">
        <v>43456.668055555558</v>
      </c>
      <c r="D5" s="517" t="s">
        <v>672</v>
      </c>
      <c r="E5" s="385">
        <v>15</v>
      </c>
      <c r="F5" s="385"/>
      <c r="G5" s="361"/>
      <c r="H5" s="363"/>
      <c r="I5" s="376"/>
    </row>
    <row r="6" spans="1:9" s="372" customFormat="1" ht="69.75" customHeight="1">
      <c r="A6" s="383" t="s">
        <v>605</v>
      </c>
      <c r="B6" s="383" t="s">
        <v>493</v>
      </c>
      <c r="C6" s="384">
        <v>43458.14166666667</v>
      </c>
      <c r="D6" s="517" t="s">
        <v>673</v>
      </c>
      <c r="E6" s="385">
        <v>8.9499999999999993</v>
      </c>
      <c r="F6" s="385"/>
      <c r="G6" s="361"/>
      <c r="H6" s="363"/>
      <c r="I6" s="379"/>
    </row>
    <row r="7" spans="1:9" s="372" customFormat="1" ht="93.75" customHeight="1">
      <c r="A7" s="383" t="s">
        <v>594</v>
      </c>
      <c r="B7" s="383" t="s">
        <v>493</v>
      </c>
      <c r="C7" s="384">
        <v>43458.63958333333</v>
      </c>
      <c r="D7" s="517" t="s">
        <v>674</v>
      </c>
      <c r="E7" s="385"/>
      <c r="F7" s="385">
        <v>55.06</v>
      </c>
      <c r="G7" s="361"/>
      <c r="H7" s="363"/>
      <c r="I7" s="376"/>
    </row>
    <row r="8" spans="1:9" ht="88.5" customHeight="1">
      <c r="A8" s="832" t="s">
        <v>592</v>
      </c>
      <c r="B8" s="832" t="s">
        <v>493</v>
      </c>
      <c r="C8" s="833">
        <v>43458.677083333336</v>
      </c>
      <c r="D8" s="834" t="s">
        <v>675</v>
      </c>
      <c r="E8" s="835"/>
      <c r="F8" s="835">
        <v>123</v>
      </c>
    </row>
    <row r="9" spans="1:9" ht="67.5" customHeight="1">
      <c r="A9" s="840" t="s">
        <v>563</v>
      </c>
      <c r="B9" s="840" t="s">
        <v>493</v>
      </c>
      <c r="C9" s="841">
        <v>43458.874305555553</v>
      </c>
      <c r="D9" s="842" t="s">
        <v>676</v>
      </c>
      <c r="E9" s="843">
        <v>3.2</v>
      </c>
      <c r="F9" s="843"/>
    </row>
    <row r="10" spans="1:9" ht="56.25" customHeight="1">
      <c r="A10" s="568"/>
      <c r="B10" s="568"/>
      <c r="C10" s="569"/>
      <c r="D10" s="570"/>
      <c r="E10" s="571"/>
      <c r="F10" s="571"/>
    </row>
    <row r="11" spans="1:9" ht="78.75" customHeight="1">
      <c r="A11" s="836"/>
      <c r="B11" s="836"/>
      <c r="C11" s="837"/>
      <c r="D11" s="838"/>
      <c r="E11" s="839"/>
      <c r="F11" s="839"/>
    </row>
    <row r="12" spans="1:9" ht="13.5" customHeight="1">
      <c r="A12" s="380"/>
      <c r="B12" s="380"/>
      <c r="C12" s="380"/>
      <c r="D12" s="380"/>
      <c r="E12" s="379"/>
      <c r="F12" s="379"/>
    </row>
    <row r="13" spans="1:9" ht="13.5" customHeight="1">
      <c r="A13" s="380"/>
      <c r="B13" s="380"/>
      <c r="C13" s="380"/>
      <c r="D13" s="380"/>
      <c r="E13" s="379"/>
      <c r="F13" s="379"/>
    </row>
    <row r="14" spans="1:9">
      <c r="A14" s="380"/>
      <c r="B14" s="380"/>
      <c r="C14" s="380"/>
      <c r="D14" s="380"/>
      <c r="E14" s="379"/>
      <c r="F14" s="379"/>
    </row>
    <row r="15" spans="1:9">
      <c r="A15" s="380"/>
      <c r="B15" s="380"/>
      <c r="C15" s="380"/>
      <c r="D15" s="380"/>
      <c r="E15" s="379"/>
      <c r="F15" s="379"/>
    </row>
    <row r="16" spans="1:9">
      <c r="A16" s="380"/>
      <c r="B16" s="380"/>
      <c r="C16" s="380"/>
      <c r="D16" s="380"/>
      <c r="E16" s="379"/>
      <c r="F16" s="379"/>
    </row>
    <row r="17" spans="1:6">
      <c r="A17" s="380"/>
      <c r="B17" s="380"/>
      <c r="C17" s="380"/>
      <c r="D17" s="380"/>
      <c r="E17" s="379"/>
      <c r="F17" s="379"/>
    </row>
    <row r="18" spans="1:6">
      <c r="A18" s="380"/>
      <c r="B18" s="380"/>
      <c r="C18" s="380"/>
      <c r="D18" s="380"/>
      <c r="E18" s="379"/>
      <c r="F18" s="379"/>
    </row>
    <row r="19" spans="1:6">
      <c r="A19" s="380"/>
      <c r="B19" s="380"/>
      <c r="C19" s="380"/>
      <c r="D19" s="380"/>
      <c r="E19" s="379"/>
      <c r="F19" s="379"/>
    </row>
    <row r="20" spans="1:6">
      <c r="E20" s="382"/>
      <c r="F20" s="382"/>
    </row>
    <row r="21" spans="1:6">
      <c r="E21" s="382"/>
      <c r="F21" s="382"/>
    </row>
    <row r="22" spans="1:6">
      <c r="E22" s="382"/>
      <c r="F22" s="382"/>
    </row>
    <row r="23" spans="1:6">
      <c r="E23" s="382"/>
      <c r="F23" s="382"/>
    </row>
    <row r="24" spans="1:6">
      <c r="E24" s="382"/>
      <c r="F24" s="382"/>
    </row>
    <row r="25" spans="1:6">
      <c r="E25" s="382"/>
      <c r="F25" s="382"/>
    </row>
    <row r="26" spans="1:6">
      <c r="E26" s="382"/>
      <c r="F26" s="382"/>
    </row>
    <row r="27" spans="1:6">
      <c r="E27" s="382"/>
      <c r="F27" s="382"/>
    </row>
    <row r="28" spans="1:6">
      <c r="E28" s="382"/>
      <c r="F28" s="382"/>
    </row>
    <row r="29" spans="1:6">
      <c r="E29" s="382"/>
      <c r="F29" s="382"/>
    </row>
    <row r="30" spans="1:6">
      <c r="E30" s="382"/>
      <c r="F30" s="382"/>
    </row>
    <row r="31" spans="1:6">
      <c r="E31" s="382"/>
      <c r="F31" s="382"/>
    </row>
    <row r="32" spans="1:6">
      <c r="E32" s="382"/>
      <c r="F32" s="382"/>
    </row>
    <row r="33" spans="5:6">
      <c r="E33" s="382"/>
      <c r="F33" s="382"/>
    </row>
    <row r="34" spans="5:6">
      <c r="E34" s="382"/>
      <c r="F34" s="382"/>
    </row>
    <row r="35" spans="5:6">
      <c r="E35" s="382"/>
      <c r="F35" s="382"/>
    </row>
    <row r="36" spans="5:6">
      <c r="E36" s="382"/>
      <c r="F36" s="382"/>
    </row>
    <row r="37" spans="5:6">
      <c r="E37" s="382"/>
      <c r="F37" s="382"/>
    </row>
    <row r="38" spans="5:6">
      <c r="E38" s="382"/>
      <c r="F38" s="382"/>
    </row>
    <row r="39" spans="5:6">
      <c r="E39" s="382"/>
      <c r="F39" s="382"/>
    </row>
    <row r="40" spans="5:6">
      <c r="E40" s="382"/>
      <c r="F40" s="382"/>
    </row>
    <row r="41" spans="5:6">
      <c r="E41" s="382"/>
      <c r="F41" s="382"/>
    </row>
    <row r="42" spans="5:6">
      <c r="E42" s="382"/>
      <c r="F42" s="382"/>
    </row>
    <row r="43" spans="5:6">
      <c r="E43" s="382"/>
      <c r="F43" s="382"/>
    </row>
    <row r="44" spans="5:6">
      <c r="E44" s="382"/>
      <c r="F44" s="382"/>
    </row>
    <row r="45" spans="5:6">
      <c r="E45" s="382"/>
      <c r="F45" s="382"/>
    </row>
    <row r="46" spans="5:6">
      <c r="E46" s="382"/>
      <c r="F46" s="382"/>
    </row>
    <row r="47" spans="5:6">
      <c r="E47" s="382"/>
      <c r="F47" s="382"/>
    </row>
    <row r="48" spans="5:6">
      <c r="E48" s="382"/>
      <c r="F48" s="382"/>
    </row>
    <row r="49" spans="5:6">
      <c r="E49" s="382"/>
      <c r="F49" s="382"/>
    </row>
    <row r="50" spans="5:6">
      <c r="E50" s="382"/>
      <c r="F50" s="382"/>
    </row>
    <row r="51" spans="5:6">
      <c r="E51" s="382"/>
      <c r="F51" s="382"/>
    </row>
    <row r="52" spans="5:6">
      <c r="E52" s="382"/>
      <c r="F52" s="382"/>
    </row>
    <row r="53" spans="5:6">
      <c r="E53" s="382"/>
      <c r="F53" s="382"/>
    </row>
    <row r="54" spans="5:6">
      <c r="E54" s="382"/>
      <c r="F54" s="382"/>
    </row>
    <row r="55" spans="5:6">
      <c r="E55" s="382"/>
      <c r="F55" s="382"/>
    </row>
    <row r="56" spans="5:6">
      <c r="E56" s="382"/>
      <c r="F56" s="382"/>
    </row>
    <row r="57" spans="5:6">
      <c r="E57" s="382"/>
      <c r="F57" s="382"/>
    </row>
    <row r="58" spans="5:6">
      <c r="E58" s="382"/>
      <c r="F58" s="382"/>
    </row>
    <row r="59" spans="5:6">
      <c r="E59" s="382"/>
      <c r="F59" s="382"/>
    </row>
    <row r="60" spans="5:6">
      <c r="E60" s="382"/>
      <c r="F60" s="382"/>
    </row>
    <row r="61" spans="5:6">
      <c r="E61" s="382"/>
      <c r="F61" s="382"/>
    </row>
    <row r="62" spans="5:6">
      <c r="E62" s="382"/>
      <c r="F62" s="382"/>
    </row>
    <row r="63" spans="5:6">
      <c r="E63" s="382"/>
      <c r="F63" s="382"/>
    </row>
    <row r="64" spans="5:6">
      <c r="E64" s="382"/>
      <c r="F64" s="382"/>
    </row>
    <row r="65" spans="5:6">
      <c r="E65" s="382"/>
      <c r="F65" s="382"/>
    </row>
    <row r="66" spans="5:6">
      <c r="E66" s="382"/>
      <c r="F66" s="382"/>
    </row>
    <row r="67" spans="5:6">
      <c r="E67" s="382"/>
      <c r="F67" s="382"/>
    </row>
    <row r="68" spans="5:6">
      <c r="E68" s="382"/>
      <c r="F68" s="382"/>
    </row>
    <row r="69" spans="5:6">
      <c r="E69" s="382"/>
      <c r="F69" s="382"/>
    </row>
    <row r="70" spans="5:6">
      <c r="E70" s="382"/>
      <c r="F70" s="382"/>
    </row>
    <row r="71" spans="5:6">
      <c r="E71" s="382"/>
      <c r="F71" s="382"/>
    </row>
    <row r="72" spans="5:6">
      <c r="E72" s="382"/>
      <c r="F72" s="382"/>
    </row>
    <row r="73" spans="5:6">
      <c r="E73" s="382"/>
      <c r="F73" s="382"/>
    </row>
    <row r="74" spans="5:6">
      <c r="E74" s="382"/>
      <c r="F74" s="382"/>
    </row>
    <row r="75" spans="5:6">
      <c r="E75" s="382"/>
      <c r="F75" s="382"/>
    </row>
    <row r="76" spans="5:6">
      <c r="E76" s="382"/>
      <c r="F76" s="382"/>
    </row>
    <row r="77" spans="5:6">
      <c r="E77" s="382"/>
      <c r="F77" s="382"/>
    </row>
    <row r="78" spans="5:6">
      <c r="E78" s="382"/>
      <c r="F78" s="382"/>
    </row>
    <row r="79" spans="5:6">
      <c r="E79" s="382"/>
      <c r="F79" s="382"/>
    </row>
    <row r="80" spans="5:6">
      <c r="E80" s="382"/>
      <c r="F80" s="382"/>
    </row>
    <row r="81" spans="5:6">
      <c r="E81" s="382"/>
      <c r="F81" s="382"/>
    </row>
    <row r="82" spans="5:6">
      <c r="E82" s="382"/>
      <c r="F82" s="382"/>
    </row>
    <row r="83" spans="5:6">
      <c r="E83" s="382"/>
      <c r="F83" s="382"/>
    </row>
    <row r="84" spans="5:6">
      <c r="E84" s="382"/>
      <c r="F84" s="382"/>
    </row>
    <row r="85" spans="5:6">
      <c r="E85" s="382"/>
      <c r="F85" s="382"/>
    </row>
    <row r="86" spans="5:6">
      <c r="E86" s="382"/>
      <c r="F86" s="382"/>
    </row>
    <row r="87" spans="5:6">
      <c r="E87" s="382"/>
      <c r="F87" s="382"/>
    </row>
    <row r="88" spans="5:6">
      <c r="E88" s="382"/>
      <c r="F88" s="382"/>
    </row>
    <row r="89" spans="5:6">
      <c r="E89" s="382"/>
      <c r="F89" s="382"/>
    </row>
    <row r="90" spans="5:6">
      <c r="E90" s="382"/>
      <c r="F90" s="382"/>
    </row>
    <row r="91" spans="5:6">
      <c r="E91" s="382"/>
      <c r="F91" s="382"/>
    </row>
    <row r="92" spans="5:6">
      <c r="E92" s="382"/>
      <c r="F92" s="382"/>
    </row>
    <row r="93" spans="5:6">
      <c r="E93" s="382"/>
      <c r="F93" s="382"/>
    </row>
    <row r="94" spans="5:6">
      <c r="E94" s="382"/>
      <c r="F94" s="382"/>
    </row>
    <row r="95" spans="5:6">
      <c r="E95" s="382"/>
      <c r="F95" s="382"/>
    </row>
    <row r="96" spans="5:6">
      <c r="E96" s="382"/>
      <c r="F96" s="382"/>
    </row>
    <row r="97" spans="5:6">
      <c r="E97" s="382"/>
      <c r="F97" s="382"/>
    </row>
    <row r="98" spans="5:6">
      <c r="E98" s="382"/>
      <c r="F98" s="382"/>
    </row>
    <row r="99" spans="5:6">
      <c r="E99" s="382"/>
      <c r="F99" s="382"/>
    </row>
    <row r="100" spans="5:6">
      <c r="E100" s="382"/>
      <c r="F100" s="382"/>
    </row>
    <row r="101" spans="5:6">
      <c r="E101" s="382"/>
      <c r="F101" s="382"/>
    </row>
    <row r="102" spans="5:6">
      <c r="E102" s="382"/>
      <c r="F102" s="382"/>
    </row>
    <row r="103" spans="5:6">
      <c r="E103" s="382"/>
      <c r="F103" s="382"/>
    </row>
    <row r="104" spans="5:6">
      <c r="E104" s="382"/>
      <c r="F104" s="382"/>
    </row>
    <row r="105" spans="5:6">
      <c r="E105" s="382"/>
      <c r="F105" s="382"/>
    </row>
    <row r="106" spans="5:6">
      <c r="E106" s="382"/>
      <c r="F106" s="382"/>
    </row>
    <row r="107" spans="5:6">
      <c r="E107" s="382"/>
      <c r="F107" s="382"/>
    </row>
    <row r="108" spans="5:6">
      <c r="E108" s="382"/>
      <c r="F108" s="382"/>
    </row>
    <row r="109" spans="5:6">
      <c r="E109" s="382"/>
      <c r="F109" s="382"/>
    </row>
    <row r="110" spans="5:6">
      <c r="E110" s="382"/>
      <c r="F110" s="382"/>
    </row>
    <row r="111" spans="5:6">
      <c r="E111" s="382"/>
      <c r="F111" s="382"/>
    </row>
    <row r="112" spans="5:6">
      <c r="E112" s="382"/>
      <c r="F112" s="382"/>
    </row>
    <row r="113" spans="5:6">
      <c r="E113" s="382"/>
      <c r="F113" s="382"/>
    </row>
    <row r="114" spans="5:6">
      <c r="E114" s="382"/>
      <c r="F114" s="382"/>
    </row>
    <row r="115" spans="5:6">
      <c r="E115" s="382"/>
      <c r="F115" s="382"/>
    </row>
    <row r="116" spans="5:6">
      <c r="E116" s="382"/>
      <c r="F116" s="382"/>
    </row>
    <row r="117" spans="5:6">
      <c r="E117" s="382"/>
      <c r="F117" s="382"/>
    </row>
    <row r="118" spans="5:6">
      <c r="E118" s="382"/>
      <c r="F118" s="382"/>
    </row>
    <row r="119" spans="5:6">
      <c r="E119" s="382"/>
      <c r="F119" s="382"/>
    </row>
    <row r="120" spans="5:6">
      <c r="E120" s="382"/>
      <c r="F120" s="382"/>
    </row>
    <row r="121" spans="5:6">
      <c r="E121" s="382"/>
      <c r="F121" s="382"/>
    </row>
    <row r="122" spans="5:6">
      <c r="E122" s="382"/>
      <c r="F122" s="382"/>
    </row>
    <row r="123" spans="5:6">
      <c r="E123" s="382"/>
      <c r="F123" s="382"/>
    </row>
    <row r="124" spans="5:6">
      <c r="E124" s="382"/>
      <c r="F124" s="382"/>
    </row>
    <row r="125" spans="5:6">
      <c r="E125" s="382"/>
      <c r="F125" s="382"/>
    </row>
    <row r="126" spans="5:6">
      <c r="E126" s="382"/>
      <c r="F126" s="382"/>
    </row>
    <row r="127" spans="5:6">
      <c r="E127" s="382"/>
      <c r="F127" s="382"/>
    </row>
    <row r="128" spans="5:6">
      <c r="E128" s="382"/>
      <c r="F128" s="382"/>
    </row>
    <row r="129" spans="5:6">
      <c r="E129" s="382"/>
      <c r="F129" s="382"/>
    </row>
    <row r="130" spans="5:6">
      <c r="E130" s="382"/>
      <c r="F130" s="382"/>
    </row>
    <row r="131" spans="5:6">
      <c r="E131" s="382"/>
      <c r="F131" s="382"/>
    </row>
    <row r="132" spans="5:6">
      <c r="E132" s="382"/>
      <c r="F132" s="382"/>
    </row>
    <row r="133" spans="5:6">
      <c r="E133" s="382"/>
      <c r="F133" s="382"/>
    </row>
    <row r="134" spans="5:6">
      <c r="E134" s="382"/>
      <c r="F134" s="382"/>
    </row>
    <row r="135" spans="5:6">
      <c r="E135" s="382"/>
      <c r="F135" s="382"/>
    </row>
    <row r="136" spans="5:6">
      <c r="E136" s="382"/>
      <c r="F136" s="382"/>
    </row>
    <row r="137" spans="5:6">
      <c r="E137" s="382"/>
      <c r="F137" s="382"/>
    </row>
    <row r="138" spans="5:6">
      <c r="E138" s="382"/>
      <c r="F138" s="382"/>
    </row>
    <row r="139" spans="5:6">
      <c r="E139" s="382"/>
      <c r="F139" s="382"/>
    </row>
    <row r="140" spans="5:6">
      <c r="E140" s="382"/>
      <c r="F140" s="382"/>
    </row>
    <row r="141" spans="5:6">
      <c r="E141" s="382"/>
      <c r="F141" s="382"/>
    </row>
    <row r="142" spans="5:6">
      <c r="E142" s="382"/>
      <c r="F142" s="382"/>
    </row>
    <row r="143" spans="5:6">
      <c r="E143" s="382"/>
      <c r="F143" s="382"/>
    </row>
    <row r="144" spans="5:6">
      <c r="E144" s="382"/>
      <c r="F144" s="382"/>
    </row>
    <row r="145" spans="5:6">
      <c r="E145" s="382"/>
      <c r="F145" s="382"/>
    </row>
    <row r="146" spans="5:6">
      <c r="E146" s="382"/>
      <c r="F146" s="382"/>
    </row>
    <row r="147" spans="5:6">
      <c r="E147" s="382"/>
      <c r="F147" s="382"/>
    </row>
    <row r="148" spans="5:6">
      <c r="E148" s="382"/>
      <c r="F148" s="382"/>
    </row>
    <row r="149" spans="5:6">
      <c r="E149" s="382"/>
      <c r="F149" s="382"/>
    </row>
  </sheetData>
  <pageMargins left="0.7" right="0.51432291666666663" top="0.86956521739130432" bottom="0.61458333333333337" header="0.3" footer="0.3"/>
  <pageSetup scale="97" orientation="portrait" r:id="rId1"/>
  <headerFooter>
    <oddHeader>&amp;R&amp;7Informe de la Operación Mensual - Diciembre 2018
INFSGI-MES-12-2018
15/01/2019
Versión: 01</oddHeader>
    <oddFooter>&amp;L&amp;7COES, 2018&amp;C29&amp;R&amp;7Dirección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5"/>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137.25" customHeight="1">
      <c r="A2" s="383" t="s">
        <v>605</v>
      </c>
      <c r="B2" s="383" t="s">
        <v>493</v>
      </c>
      <c r="C2" s="384">
        <v>43459.229166666664</v>
      </c>
      <c r="D2" s="517" t="s">
        <v>677</v>
      </c>
      <c r="E2" s="385">
        <v>46.45</v>
      </c>
      <c r="F2" s="385"/>
      <c r="G2" s="361"/>
      <c r="H2" s="363"/>
      <c r="I2" s="376"/>
    </row>
    <row r="3" spans="1:9" s="372" customFormat="1" ht="57.75" customHeight="1">
      <c r="A3" s="383" t="s">
        <v>607</v>
      </c>
      <c r="B3" s="383" t="s">
        <v>493</v>
      </c>
      <c r="C3" s="384">
        <v>43459.588888888888</v>
      </c>
      <c r="D3" s="517" t="s">
        <v>678</v>
      </c>
      <c r="E3" s="385"/>
      <c r="F3" s="385">
        <v>20.36</v>
      </c>
      <c r="G3" s="361"/>
      <c r="H3" s="363"/>
      <c r="I3" s="376"/>
    </row>
    <row r="4" spans="1:9" s="372" customFormat="1" ht="72" customHeight="1">
      <c r="A4" s="383" t="s">
        <v>563</v>
      </c>
      <c r="B4" s="383" t="s">
        <v>493</v>
      </c>
      <c r="C4" s="384">
        <v>43459.656944444447</v>
      </c>
      <c r="D4" s="517" t="s">
        <v>679</v>
      </c>
      <c r="E4" s="385">
        <v>1.3</v>
      </c>
      <c r="F4" s="385"/>
      <c r="G4" s="361"/>
      <c r="H4" s="363"/>
      <c r="I4" s="376"/>
    </row>
    <row r="5" spans="1:9" s="372" customFormat="1" ht="72" customHeight="1">
      <c r="A5" s="383" t="s">
        <v>563</v>
      </c>
      <c r="B5" s="383" t="s">
        <v>493</v>
      </c>
      <c r="C5" s="384">
        <v>43460.815972222219</v>
      </c>
      <c r="D5" s="517" t="s">
        <v>680</v>
      </c>
      <c r="E5" s="385">
        <v>10.99</v>
      </c>
      <c r="F5" s="385"/>
      <c r="G5" s="361"/>
      <c r="H5" s="363"/>
      <c r="I5" s="380"/>
    </row>
    <row r="6" spans="1:9" s="372" customFormat="1" ht="87" customHeight="1">
      <c r="A6" s="383" t="s">
        <v>637</v>
      </c>
      <c r="B6" s="383" t="s">
        <v>493</v>
      </c>
      <c r="C6" s="384">
        <v>43461.333333333336</v>
      </c>
      <c r="D6" s="517" t="s">
        <v>681</v>
      </c>
      <c r="E6" s="385">
        <v>28.27</v>
      </c>
      <c r="F6" s="385"/>
      <c r="G6" s="361"/>
      <c r="H6" s="363"/>
    </row>
    <row r="7" spans="1:9" s="372" customFormat="1" ht="60.75" customHeight="1">
      <c r="A7" s="383" t="s">
        <v>592</v>
      </c>
      <c r="B7" s="383" t="s">
        <v>493</v>
      </c>
      <c r="C7" s="384">
        <v>43461.753472222219</v>
      </c>
      <c r="D7" s="517" t="s">
        <v>682</v>
      </c>
      <c r="E7" s="385"/>
      <c r="F7" s="385">
        <v>66</v>
      </c>
      <c r="G7" s="361"/>
      <c r="H7" s="363"/>
    </row>
    <row r="8" spans="1:9" s="372" customFormat="1" ht="71.25" customHeight="1">
      <c r="A8" s="383" t="s">
        <v>606</v>
      </c>
      <c r="B8" s="383" t="s">
        <v>493</v>
      </c>
      <c r="C8" s="384">
        <v>43461.859722222223</v>
      </c>
      <c r="D8" s="517" t="s">
        <v>683</v>
      </c>
      <c r="E8" s="385">
        <v>1.8</v>
      </c>
      <c r="F8" s="385"/>
    </row>
    <row r="9" spans="1:9" s="372" customFormat="1" ht="74.25" customHeight="1">
      <c r="A9" s="383" t="s">
        <v>455</v>
      </c>
      <c r="B9" s="383" t="s">
        <v>493</v>
      </c>
      <c r="C9" s="384">
        <v>43462.46597222222</v>
      </c>
      <c r="D9" s="517" t="s">
        <v>684</v>
      </c>
      <c r="E9" s="385">
        <v>8.02</v>
      </c>
      <c r="F9" s="385"/>
    </row>
    <row r="10" spans="1:9" s="372" customFormat="1" ht="54" customHeight="1">
      <c r="A10" s="383"/>
      <c r="B10" s="383"/>
      <c r="C10" s="384"/>
      <c r="D10" s="517"/>
      <c r="E10" s="385"/>
      <c r="F10" s="385"/>
    </row>
    <row r="11" spans="1:9" s="372" customFormat="1" ht="93.75" customHeight="1">
      <c r="A11" s="383"/>
      <c r="B11" s="383"/>
      <c r="C11" s="384"/>
      <c r="D11" s="517"/>
      <c r="E11" s="385"/>
      <c r="F11" s="385"/>
    </row>
    <row r="12" spans="1:9" s="372" customFormat="1">
      <c r="A12" s="568"/>
      <c r="B12" s="568"/>
      <c r="C12" s="569"/>
      <c r="D12" s="570"/>
      <c r="E12" s="571"/>
      <c r="F12" s="571"/>
    </row>
    <row r="13" spans="1:9" s="372" customFormat="1">
      <c r="E13" s="382"/>
      <c r="F13" s="382"/>
    </row>
    <row r="14" spans="1:9" s="372" customFormat="1">
      <c r="E14" s="382"/>
      <c r="F14" s="382"/>
    </row>
    <row r="15" spans="1:9" s="372" customFormat="1">
      <c r="E15" s="382"/>
      <c r="F15" s="382"/>
    </row>
    <row r="16" spans="1:9" s="372" customFormat="1">
      <c r="E16" s="382"/>
      <c r="F16" s="382"/>
    </row>
    <row r="17" spans="5:6" s="372" customFormat="1">
      <c r="E17" s="382"/>
      <c r="F17" s="382"/>
    </row>
    <row r="18" spans="5:6" s="372" customFormat="1">
      <c r="E18" s="382"/>
      <c r="F18" s="382"/>
    </row>
    <row r="19" spans="5:6" s="372" customFormat="1">
      <c r="E19" s="382"/>
      <c r="F19" s="382"/>
    </row>
    <row r="20" spans="5:6" s="372" customFormat="1">
      <c r="E20" s="382"/>
      <c r="F20" s="382"/>
    </row>
    <row r="21" spans="5:6" s="372" customFormat="1">
      <c r="E21" s="382"/>
      <c r="F21" s="382"/>
    </row>
    <row r="22" spans="5:6" s="372" customFormat="1">
      <c r="E22" s="382"/>
      <c r="F22" s="382"/>
    </row>
    <row r="23" spans="5:6" s="372" customFormat="1">
      <c r="E23" s="382"/>
      <c r="F23" s="382"/>
    </row>
    <row r="24" spans="5:6" s="372" customFormat="1">
      <c r="E24" s="382"/>
      <c r="F24" s="382"/>
    </row>
    <row r="25" spans="5:6" s="372" customFormat="1">
      <c r="E25" s="382"/>
      <c r="F25" s="382"/>
    </row>
    <row r="26" spans="5:6" s="372" customFormat="1">
      <c r="E26" s="382"/>
      <c r="F26" s="382"/>
    </row>
    <row r="27" spans="5:6" s="372" customFormat="1">
      <c r="E27" s="382"/>
      <c r="F27" s="382"/>
    </row>
    <row r="28" spans="5:6" s="372" customFormat="1">
      <c r="E28" s="382"/>
      <c r="F28" s="382"/>
    </row>
    <row r="29" spans="5:6" s="372" customFormat="1">
      <c r="E29" s="382"/>
      <c r="F29" s="382"/>
    </row>
    <row r="30" spans="5:6" s="372" customFormat="1">
      <c r="E30" s="382"/>
      <c r="F30" s="382"/>
    </row>
    <row r="31" spans="5:6" s="372" customFormat="1">
      <c r="E31" s="382"/>
      <c r="F31" s="382"/>
    </row>
    <row r="32" spans="5:6" s="372" customFormat="1">
      <c r="E32" s="382"/>
      <c r="F32" s="382"/>
    </row>
    <row r="33" spans="5:6" s="372" customFormat="1">
      <c r="E33" s="382"/>
      <c r="F33" s="382"/>
    </row>
    <row r="34" spans="5:6" s="372" customFormat="1">
      <c r="E34" s="382"/>
      <c r="F34" s="382"/>
    </row>
    <row r="35" spans="5:6" s="372" customFormat="1">
      <c r="E35" s="382"/>
      <c r="F35" s="382"/>
    </row>
    <row r="36" spans="5:6" s="372" customFormat="1">
      <c r="E36" s="382"/>
      <c r="F36" s="382"/>
    </row>
    <row r="37" spans="5:6" s="372" customFormat="1">
      <c r="E37" s="382"/>
      <c r="F37" s="382"/>
    </row>
    <row r="38" spans="5:6" s="372" customFormat="1">
      <c r="E38" s="382"/>
      <c r="F38" s="382"/>
    </row>
    <row r="39" spans="5:6" s="372" customFormat="1">
      <c r="E39" s="382"/>
      <c r="F39" s="382"/>
    </row>
    <row r="40" spans="5:6" s="372" customFormat="1">
      <c r="E40" s="382"/>
      <c r="F40" s="382"/>
    </row>
    <row r="41" spans="5:6" s="372" customFormat="1">
      <c r="E41" s="382"/>
      <c r="F41" s="382"/>
    </row>
    <row r="42" spans="5:6" s="372" customFormat="1">
      <c r="E42" s="382"/>
      <c r="F42" s="382"/>
    </row>
    <row r="43" spans="5:6" s="372" customFormat="1">
      <c r="E43" s="382"/>
      <c r="F43" s="382"/>
    </row>
    <row r="44" spans="5:6" s="372" customFormat="1">
      <c r="E44" s="382"/>
      <c r="F44" s="382"/>
    </row>
    <row r="45" spans="5:6" s="372" customFormat="1">
      <c r="E45" s="382"/>
      <c r="F45" s="382"/>
    </row>
    <row r="46" spans="5:6" s="372" customFormat="1">
      <c r="E46" s="382"/>
      <c r="F46" s="382"/>
    </row>
    <row r="47" spans="5:6" s="372" customFormat="1">
      <c r="E47" s="382"/>
      <c r="F47" s="382"/>
    </row>
    <row r="48" spans="5:6" s="372" customFormat="1">
      <c r="E48" s="382"/>
      <c r="F48" s="382"/>
    </row>
    <row r="49" spans="5:6" s="372" customFormat="1">
      <c r="E49" s="382"/>
      <c r="F49" s="382"/>
    </row>
    <row r="50" spans="5:6" s="372" customFormat="1">
      <c r="E50" s="382"/>
      <c r="F50" s="382"/>
    </row>
    <row r="51" spans="5:6" s="372" customFormat="1">
      <c r="E51" s="382"/>
      <c r="F51" s="382"/>
    </row>
    <row r="52" spans="5:6" s="372" customFormat="1">
      <c r="E52" s="382"/>
      <c r="F52" s="382"/>
    </row>
    <row r="53" spans="5:6" s="372" customFormat="1">
      <c r="E53" s="382"/>
      <c r="F53" s="382"/>
    </row>
    <row r="54" spans="5:6" s="372" customFormat="1">
      <c r="E54" s="382"/>
      <c r="F54" s="382"/>
    </row>
    <row r="55" spans="5:6" s="372" customFormat="1">
      <c r="E55" s="382"/>
      <c r="F55" s="382"/>
    </row>
    <row r="56" spans="5:6" s="372" customFormat="1">
      <c r="E56" s="382"/>
      <c r="F56" s="382"/>
    </row>
    <row r="57" spans="5:6" s="372" customFormat="1">
      <c r="E57" s="382"/>
      <c r="F57" s="382"/>
    </row>
    <row r="58" spans="5:6" s="372" customFormat="1">
      <c r="E58" s="382"/>
      <c r="F58" s="382"/>
    </row>
    <row r="59" spans="5:6" s="372" customFormat="1">
      <c r="E59" s="382"/>
      <c r="F59" s="382"/>
    </row>
    <row r="60" spans="5:6" s="372" customFormat="1">
      <c r="E60" s="382"/>
      <c r="F60" s="382"/>
    </row>
    <row r="61" spans="5:6" s="372" customFormat="1">
      <c r="E61" s="382"/>
      <c r="F61" s="382"/>
    </row>
    <row r="62" spans="5:6" s="372" customFormat="1">
      <c r="E62" s="382"/>
      <c r="F62" s="382"/>
    </row>
    <row r="63" spans="5:6" s="372" customFormat="1">
      <c r="E63" s="382"/>
      <c r="F63" s="382"/>
    </row>
    <row r="64" spans="5:6" s="372" customFormat="1">
      <c r="E64" s="382"/>
      <c r="F64" s="382"/>
    </row>
    <row r="65" spans="5:6" s="372" customFormat="1">
      <c r="E65" s="382"/>
      <c r="F65" s="382"/>
    </row>
    <row r="66" spans="5:6" s="372" customFormat="1">
      <c r="E66" s="382"/>
      <c r="F66" s="382"/>
    </row>
    <row r="67" spans="5:6" s="372" customFormat="1">
      <c r="E67" s="382"/>
      <c r="F67" s="382"/>
    </row>
    <row r="68" spans="5:6" s="372" customFormat="1">
      <c r="E68" s="382"/>
      <c r="F68" s="382"/>
    </row>
    <row r="69" spans="5:6" s="372" customFormat="1">
      <c r="E69" s="382"/>
      <c r="F69" s="382"/>
    </row>
    <row r="70" spans="5:6" s="372" customFormat="1">
      <c r="E70" s="382"/>
      <c r="F70" s="382"/>
    </row>
    <row r="71" spans="5:6" s="372" customFormat="1">
      <c r="E71" s="382"/>
      <c r="F71" s="382"/>
    </row>
    <row r="72" spans="5:6" s="372" customFormat="1">
      <c r="E72" s="382"/>
      <c r="F72" s="382"/>
    </row>
    <row r="73" spans="5:6" s="372" customFormat="1">
      <c r="E73" s="382"/>
      <c r="F73" s="382"/>
    </row>
    <row r="74" spans="5:6" s="372" customFormat="1">
      <c r="E74" s="382"/>
      <c r="F74" s="382"/>
    </row>
    <row r="75" spans="5:6" s="372" customFormat="1">
      <c r="E75" s="382"/>
      <c r="F75" s="382"/>
    </row>
    <row r="76" spans="5:6" s="372" customFormat="1">
      <c r="E76" s="382"/>
      <c r="F76" s="382"/>
    </row>
    <row r="77" spans="5:6" s="372" customFormat="1">
      <c r="E77" s="382"/>
      <c r="F77" s="382"/>
    </row>
    <row r="78" spans="5:6" s="372" customFormat="1">
      <c r="E78" s="382"/>
      <c r="F78" s="382"/>
    </row>
    <row r="79" spans="5:6" s="372" customFormat="1">
      <c r="E79" s="382"/>
      <c r="F79" s="382"/>
    </row>
    <row r="80" spans="5:6" s="372" customFormat="1">
      <c r="E80" s="382"/>
      <c r="F80" s="382"/>
    </row>
    <row r="81" spans="5:6" s="372" customFormat="1">
      <c r="E81" s="382"/>
      <c r="F81" s="382"/>
    </row>
    <row r="82" spans="5:6" s="372" customFormat="1">
      <c r="E82" s="382"/>
      <c r="F82" s="382"/>
    </row>
    <row r="83" spans="5:6" s="372" customFormat="1">
      <c r="E83" s="382"/>
      <c r="F83" s="382"/>
    </row>
    <row r="84" spans="5:6" s="372" customFormat="1">
      <c r="E84" s="382"/>
      <c r="F84" s="382"/>
    </row>
    <row r="85" spans="5:6" s="372" customFormat="1">
      <c r="E85" s="382"/>
      <c r="F85" s="382"/>
    </row>
    <row r="86" spans="5:6" s="372" customFormat="1">
      <c r="E86" s="382"/>
      <c r="F86" s="382"/>
    </row>
    <row r="87" spans="5:6" s="372" customFormat="1">
      <c r="E87" s="382"/>
      <c r="F87" s="382"/>
    </row>
    <row r="88" spans="5:6" s="372" customFormat="1">
      <c r="E88" s="382"/>
      <c r="F88" s="382"/>
    </row>
    <row r="89" spans="5:6" s="372" customFormat="1">
      <c r="E89" s="382"/>
      <c r="F89" s="382"/>
    </row>
    <row r="90" spans="5:6" s="372" customFormat="1">
      <c r="E90" s="382"/>
      <c r="F90" s="382"/>
    </row>
    <row r="91" spans="5:6" s="372" customFormat="1">
      <c r="E91" s="382"/>
      <c r="F91" s="382"/>
    </row>
    <row r="92" spans="5:6" s="372" customFormat="1">
      <c r="E92" s="382"/>
      <c r="F92" s="382"/>
    </row>
    <row r="93" spans="5:6" s="372" customFormat="1">
      <c r="E93" s="382"/>
      <c r="F93" s="382"/>
    </row>
    <row r="94" spans="5:6" s="372" customFormat="1">
      <c r="E94" s="382"/>
      <c r="F94" s="382"/>
    </row>
    <row r="95" spans="5:6" s="372" customFormat="1">
      <c r="E95" s="382"/>
      <c r="F95" s="382"/>
    </row>
    <row r="96" spans="5:6" s="372" customFormat="1">
      <c r="E96" s="382"/>
      <c r="F96" s="382"/>
    </row>
    <row r="97" spans="5:6" s="372" customFormat="1">
      <c r="E97" s="382"/>
      <c r="F97" s="382"/>
    </row>
    <row r="98" spans="5:6" s="372" customFormat="1">
      <c r="E98" s="382"/>
      <c r="F98" s="382"/>
    </row>
    <row r="99" spans="5:6" s="372" customFormat="1">
      <c r="E99" s="382"/>
      <c r="F99" s="382"/>
    </row>
    <row r="100" spans="5:6" s="372" customFormat="1">
      <c r="E100" s="382"/>
      <c r="F100" s="382"/>
    </row>
    <row r="101" spans="5:6" s="372" customFormat="1">
      <c r="E101" s="382"/>
      <c r="F101" s="382"/>
    </row>
    <row r="102" spans="5:6" s="372" customFormat="1">
      <c r="E102" s="382"/>
      <c r="F102" s="382"/>
    </row>
    <row r="103" spans="5:6" s="372" customFormat="1">
      <c r="E103" s="382"/>
      <c r="F103" s="382"/>
    </row>
    <row r="104" spans="5:6" s="372" customFormat="1">
      <c r="E104" s="382"/>
      <c r="F104" s="382"/>
    </row>
    <row r="105" spans="5:6" s="372" customFormat="1">
      <c r="E105" s="382"/>
      <c r="F105" s="382"/>
    </row>
    <row r="106" spans="5:6" s="372" customFormat="1">
      <c r="E106" s="382"/>
      <c r="F106" s="382"/>
    </row>
    <row r="107" spans="5:6" s="372" customFormat="1">
      <c r="E107" s="382"/>
      <c r="F107" s="382"/>
    </row>
    <row r="108" spans="5:6" s="372" customFormat="1">
      <c r="E108" s="382"/>
      <c r="F108" s="382"/>
    </row>
    <row r="109" spans="5:6" s="372" customFormat="1">
      <c r="E109" s="382"/>
      <c r="F109" s="382"/>
    </row>
    <row r="110" spans="5:6" s="372" customFormat="1">
      <c r="E110" s="382"/>
      <c r="F110" s="382"/>
    </row>
    <row r="111" spans="5:6" s="372" customFormat="1">
      <c r="E111" s="382"/>
      <c r="F111" s="382"/>
    </row>
    <row r="112" spans="5:6" s="372" customFormat="1">
      <c r="E112" s="382"/>
      <c r="F112" s="382"/>
    </row>
    <row r="113" spans="5:6" s="372" customFormat="1">
      <c r="E113" s="382"/>
      <c r="F113" s="382"/>
    </row>
    <row r="114" spans="5:6" s="372" customFormat="1">
      <c r="E114" s="382"/>
      <c r="F114" s="382"/>
    </row>
    <row r="115" spans="5:6" s="372" customFormat="1">
      <c r="E115" s="382"/>
      <c r="F115" s="382"/>
    </row>
    <row r="116" spans="5:6" s="372" customFormat="1">
      <c r="E116" s="382"/>
      <c r="F116" s="382"/>
    </row>
    <row r="117" spans="5:6" s="372" customFormat="1">
      <c r="E117" s="382"/>
      <c r="F117" s="382"/>
    </row>
    <row r="118" spans="5:6" s="372" customFormat="1">
      <c r="E118" s="382"/>
      <c r="F118" s="382"/>
    </row>
    <row r="119" spans="5:6" s="372" customFormat="1">
      <c r="E119" s="382"/>
      <c r="F119" s="382"/>
    </row>
    <row r="120" spans="5:6" s="372" customFormat="1">
      <c r="E120" s="382"/>
      <c r="F120" s="382"/>
    </row>
    <row r="121" spans="5:6" s="372" customFormat="1">
      <c r="E121" s="382"/>
      <c r="F121" s="382"/>
    </row>
    <row r="122" spans="5:6" s="372" customFormat="1">
      <c r="E122" s="382"/>
      <c r="F122" s="382"/>
    </row>
    <row r="123" spans="5:6" s="372" customFormat="1">
      <c r="E123" s="382"/>
      <c r="F123" s="382"/>
    </row>
    <row r="124" spans="5:6" s="372" customFormat="1">
      <c r="E124" s="382"/>
      <c r="F124" s="382"/>
    </row>
    <row r="125" spans="5:6" s="372" customFormat="1">
      <c r="E125" s="382"/>
      <c r="F125" s="382"/>
    </row>
    <row r="126" spans="5:6" s="372" customFormat="1">
      <c r="E126" s="382"/>
      <c r="F126" s="382"/>
    </row>
    <row r="127" spans="5:6" s="372" customFormat="1">
      <c r="E127" s="382"/>
      <c r="F127" s="382"/>
    </row>
    <row r="128" spans="5:6" s="372" customFormat="1">
      <c r="E128" s="382"/>
      <c r="F128" s="382"/>
    </row>
    <row r="129" spans="5:6" s="372" customFormat="1">
      <c r="E129" s="382"/>
      <c r="F129" s="382"/>
    </row>
    <row r="130" spans="5:6" s="372" customFormat="1">
      <c r="E130" s="382"/>
      <c r="F130" s="382"/>
    </row>
    <row r="131" spans="5:6" s="372" customFormat="1">
      <c r="E131" s="382"/>
      <c r="F131" s="382"/>
    </row>
    <row r="132" spans="5:6" s="372" customFormat="1">
      <c r="E132" s="382"/>
      <c r="F132" s="382"/>
    </row>
    <row r="133" spans="5:6" s="372" customFormat="1">
      <c r="E133" s="382"/>
      <c r="F133" s="382"/>
    </row>
    <row r="134" spans="5:6" s="372" customFormat="1">
      <c r="E134" s="382"/>
      <c r="F134" s="382"/>
    </row>
    <row r="135" spans="5:6" s="372" customFormat="1">
      <c r="E135" s="382"/>
      <c r="F135" s="382"/>
    </row>
    <row r="136" spans="5:6" s="372" customFormat="1">
      <c r="E136" s="382"/>
      <c r="F136" s="382"/>
    </row>
    <row r="137" spans="5:6" s="372" customFormat="1">
      <c r="E137" s="382"/>
      <c r="F137" s="382"/>
    </row>
    <row r="138" spans="5:6" s="372" customFormat="1">
      <c r="E138" s="382"/>
      <c r="F138" s="382"/>
    </row>
    <row r="139" spans="5:6" s="372" customFormat="1">
      <c r="E139" s="382"/>
      <c r="F139" s="382"/>
    </row>
    <row r="140" spans="5:6" s="372" customFormat="1">
      <c r="E140" s="382"/>
      <c r="F140" s="382"/>
    </row>
    <row r="141" spans="5:6" s="372" customFormat="1">
      <c r="E141" s="382"/>
      <c r="F141" s="382"/>
    </row>
    <row r="142" spans="5:6" s="372" customFormat="1">
      <c r="E142" s="382"/>
      <c r="F142" s="382"/>
    </row>
    <row r="143" spans="5:6" s="372" customFormat="1">
      <c r="E143" s="382"/>
      <c r="F143" s="382"/>
    </row>
    <row r="144" spans="5:6" s="372" customFormat="1">
      <c r="E144" s="382"/>
      <c r="F144" s="382"/>
    </row>
    <row r="145" spans="5:6" s="372" customFormat="1">
      <c r="E145" s="382"/>
      <c r="F145"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SINAC, 2018
&amp;C30&amp;R&amp;7Dirección Ejecutiva
Sub Dirección de Gestión de Información</oddFooter>
  </headerFooter>
  <rowBreaks count="1" manualBreakCount="1">
    <brk id="9"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53"/>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72" customHeight="1">
      <c r="A2" s="383" t="s">
        <v>593</v>
      </c>
      <c r="B2" s="383" t="s">
        <v>493</v>
      </c>
      <c r="C2" s="384">
        <v>43462.46875</v>
      </c>
      <c r="D2" s="517" t="s">
        <v>685</v>
      </c>
      <c r="E2" s="385">
        <v>7.2</v>
      </c>
      <c r="F2" s="385"/>
      <c r="G2" s="361"/>
      <c r="H2" s="363"/>
    </row>
    <row r="3" spans="1:9" s="372" customFormat="1" ht="75" customHeight="1">
      <c r="A3" s="383" t="s">
        <v>455</v>
      </c>
      <c r="B3" s="383" t="s">
        <v>493</v>
      </c>
      <c r="C3" s="384">
        <v>43462.496527777781</v>
      </c>
      <c r="D3" s="517" t="s">
        <v>686</v>
      </c>
      <c r="E3" s="385">
        <v>5.23</v>
      </c>
      <c r="F3" s="385"/>
      <c r="G3" s="361"/>
      <c r="H3" s="363"/>
    </row>
    <row r="4" spans="1:9" s="372" customFormat="1" ht="108" customHeight="1">
      <c r="A4" s="383" t="s">
        <v>456</v>
      </c>
      <c r="B4" s="383" t="s">
        <v>493</v>
      </c>
      <c r="C4" s="384">
        <v>43462.762499999997</v>
      </c>
      <c r="D4" s="517" t="s">
        <v>687</v>
      </c>
      <c r="E4" s="385">
        <v>5.18</v>
      </c>
      <c r="F4" s="385"/>
      <c r="G4" s="361"/>
      <c r="H4" s="363"/>
    </row>
    <row r="5" spans="1:9" s="372" customFormat="1" ht="84" customHeight="1">
      <c r="A5" s="383" t="s">
        <v>563</v>
      </c>
      <c r="B5" s="383" t="s">
        <v>493</v>
      </c>
      <c r="C5" s="384">
        <v>43462.968055555553</v>
      </c>
      <c r="D5" s="517" t="s">
        <v>688</v>
      </c>
      <c r="E5" s="385">
        <v>12.84</v>
      </c>
      <c r="F5" s="385"/>
    </row>
    <row r="6" spans="1:9" s="372" customFormat="1" ht="75" customHeight="1">
      <c r="A6" s="383" t="s">
        <v>653</v>
      </c>
      <c r="B6" s="383" t="s">
        <v>493</v>
      </c>
      <c r="C6" s="384">
        <v>43463.500694444447</v>
      </c>
      <c r="D6" s="517" t="s">
        <v>689</v>
      </c>
      <c r="E6" s="385">
        <v>4.75</v>
      </c>
      <c r="F6" s="385"/>
    </row>
    <row r="7" spans="1:9" s="372" customFormat="1" ht="68.25" customHeight="1">
      <c r="A7" s="383" t="s">
        <v>455</v>
      </c>
      <c r="B7" s="383" t="s">
        <v>493</v>
      </c>
      <c r="C7" s="384">
        <v>43464.586805555555</v>
      </c>
      <c r="D7" s="517" t="s">
        <v>690</v>
      </c>
      <c r="E7" s="385">
        <v>4.5999999999999996</v>
      </c>
      <c r="F7" s="385"/>
    </row>
    <row r="8" spans="1:9" s="372" customFormat="1" ht="94.5" customHeight="1">
      <c r="A8" s="383" t="s">
        <v>605</v>
      </c>
      <c r="B8" s="383" t="s">
        <v>493</v>
      </c>
      <c r="C8" s="384">
        <v>43464.643750000003</v>
      </c>
      <c r="D8" s="517" t="s">
        <v>691</v>
      </c>
      <c r="E8" s="385">
        <v>10.48</v>
      </c>
      <c r="F8" s="385"/>
    </row>
    <row r="9" spans="1:9" s="372" customFormat="1" ht="84.75" customHeight="1">
      <c r="A9" s="383" t="s">
        <v>592</v>
      </c>
      <c r="B9" s="383" t="s">
        <v>493</v>
      </c>
      <c r="C9" s="384">
        <v>43464.675000000003</v>
      </c>
      <c r="D9" s="517" t="s">
        <v>692</v>
      </c>
      <c r="E9" s="385"/>
      <c r="F9" s="385">
        <v>124</v>
      </c>
    </row>
    <row r="10" spans="1:9" s="372" customFormat="1">
      <c r="E10" s="382"/>
      <c r="F10" s="382"/>
    </row>
    <row r="11" spans="1:9" s="372" customFormat="1">
      <c r="E11" s="382"/>
      <c r="F11" s="382"/>
    </row>
    <row r="12" spans="1:9" s="372" customFormat="1">
      <c r="E12" s="382"/>
      <c r="F12" s="382"/>
    </row>
    <row r="13" spans="1:9" s="372" customFormat="1">
      <c r="E13" s="382"/>
      <c r="F13" s="382"/>
    </row>
    <row r="14" spans="1:9" s="372" customFormat="1">
      <c r="E14" s="382"/>
      <c r="F14" s="382"/>
    </row>
    <row r="15" spans="1:9" s="372" customFormat="1">
      <c r="E15" s="382"/>
      <c r="F15" s="382"/>
    </row>
    <row r="16" spans="1:9" s="372" customFormat="1">
      <c r="E16" s="382"/>
      <c r="F16" s="382"/>
    </row>
    <row r="17" spans="5:6" s="372" customFormat="1">
      <c r="E17" s="382"/>
      <c r="F17" s="382"/>
    </row>
    <row r="18" spans="5:6" s="372" customFormat="1">
      <c r="E18" s="382"/>
      <c r="F18" s="382"/>
    </row>
    <row r="19" spans="5:6" s="372" customFormat="1">
      <c r="E19" s="382"/>
      <c r="F19" s="382"/>
    </row>
    <row r="20" spans="5:6" s="372" customFormat="1">
      <c r="E20" s="382"/>
      <c r="F20" s="382"/>
    </row>
    <row r="21" spans="5:6" s="372" customFormat="1">
      <c r="E21" s="382"/>
      <c r="F21" s="382"/>
    </row>
    <row r="22" spans="5:6" s="372" customFormat="1">
      <c r="E22" s="382"/>
      <c r="F22" s="382"/>
    </row>
    <row r="23" spans="5:6" s="372" customFormat="1">
      <c r="E23" s="382"/>
      <c r="F23" s="382"/>
    </row>
    <row r="24" spans="5:6" s="372" customFormat="1">
      <c r="E24" s="382"/>
      <c r="F24" s="382"/>
    </row>
    <row r="25" spans="5:6" s="372" customFormat="1">
      <c r="E25" s="382"/>
      <c r="F25" s="382"/>
    </row>
    <row r="26" spans="5:6" s="372" customFormat="1">
      <c r="E26" s="382"/>
      <c r="F26" s="382"/>
    </row>
    <row r="27" spans="5:6" s="372" customFormat="1">
      <c r="E27" s="382"/>
      <c r="F27" s="382"/>
    </row>
    <row r="28" spans="5:6" s="372" customFormat="1">
      <c r="E28" s="382"/>
      <c r="F28" s="382"/>
    </row>
    <row r="29" spans="5:6" s="372" customFormat="1">
      <c r="E29" s="382"/>
      <c r="F29" s="382"/>
    </row>
    <row r="30" spans="5:6" s="372" customFormat="1">
      <c r="E30" s="382"/>
      <c r="F30" s="382"/>
    </row>
    <row r="31" spans="5:6" s="372" customFormat="1">
      <c r="E31" s="382"/>
      <c r="F31" s="382"/>
    </row>
    <row r="32" spans="5:6" s="372" customFormat="1">
      <c r="E32" s="382"/>
      <c r="F32" s="382"/>
    </row>
    <row r="33" spans="5:6" s="372" customFormat="1">
      <c r="E33" s="382"/>
      <c r="F33" s="382"/>
    </row>
    <row r="34" spans="5:6" s="372" customFormat="1">
      <c r="E34" s="382"/>
      <c r="F34" s="382"/>
    </row>
    <row r="35" spans="5:6" s="372" customFormat="1">
      <c r="E35" s="382"/>
      <c r="F35" s="382"/>
    </row>
    <row r="36" spans="5:6" s="372" customFormat="1">
      <c r="E36" s="382"/>
      <c r="F36" s="382"/>
    </row>
    <row r="37" spans="5:6" s="372" customFormat="1">
      <c r="E37" s="382"/>
      <c r="F37" s="382"/>
    </row>
    <row r="38" spans="5:6" s="372" customFormat="1">
      <c r="E38" s="382"/>
      <c r="F38" s="382"/>
    </row>
    <row r="39" spans="5:6" s="372" customFormat="1">
      <c r="E39" s="382"/>
      <c r="F39" s="382"/>
    </row>
    <row r="40" spans="5:6" s="372" customFormat="1">
      <c r="E40" s="382"/>
      <c r="F40" s="382"/>
    </row>
    <row r="41" spans="5:6" s="372" customFormat="1">
      <c r="E41" s="382"/>
      <c r="F41" s="382"/>
    </row>
    <row r="42" spans="5:6" s="372" customFormat="1">
      <c r="E42" s="382"/>
      <c r="F42" s="382"/>
    </row>
    <row r="43" spans="5:6" s="372" customFormat="1">
      <c r="E43" s="382"/>
      <c r="F43" s="382"/>
    </row>
    <row r="44" spans="5:6" s="372" customFormat="1">
      <c r="E44" s="382"/>
      <c r="F44" s="382"/>
    </row>
    <row r="45" spans="5:6" s="372" customFormat="1">
      <c r="E45" s="382"/>
      <c r="F45" s="382"/>
    </row>
    <row r="46" spans="5:6" s="372" customFormat="1">
      <c r="E46" s="382"/>
      <c r="F46" s="382"/>
    </row>
    <row r="47" spans="5:6" s="372" customFormat="1">
      <c r="E47" s="382"/>
      <c r="F47" s="382"/>
    </row>
    <row r="48" spans="5:6" s="372" customFormat="1">
      <c r="E48" s="382"/>
      <c r="F48" s="382"/>
    </row>
    <row r="49" spans="5:6" s="372" customFormat="1">
      <c r="E49" s="382"/>
      <c r="F49" s="382"/>
    </row>
    <row r="50" spans="5:6" s="372" customFormat="1">
      <c r="E50" s="382"/>
      <c r="F50" s="382"/>
    </row>
    <row r="51" spans="5:6" s="372" customFormat="1">
      <c r="E51" s="382"/>
      <c r="F51" s="382"/>
    </row>
    <row r="52" spans="5:6" s="372" customFormat="1">
      <c r="E52" s="382"/>
      <c r="F52" s="382"/>
    </row>
    <row r="53" spans="5:6" s="372" customFormat="1">
      <c r="E53" s="382"/>
      <c r="F53" s="382"/>
    </row>
    <row r="54" spans="5:6" s="372" customFormat="1">
      <c r="E54" s="382"/>
      <c r="F54" s="382"/>
    </row>
    <row r="55" spans="5:6" s="372" customFormat="1">
      <c r="E55" s="382"/>
      <c r="F55" s="382"/>
    </row>
    <row r="56" spans="5:6" s="372" customFormat="1">
      <c r="E56" s="382"/>
      <c r="F56" s="382"/>
    </row>
    <row r="57" spans="5:6" s="372" customFormat="1">
      <c r="E57" s="382"/>
      <c r="F57" s="382"/>
    </row>
    <row r="58" spans="5:6" s="372" customFormat="1">
      <c r="E58" s="382"/>
      <c r="F58" s="382"/>
    </row>
    <row r="59" spans="5:6" s="372" customFormat="1">
      <c r="E59" s="382"/>
      <c r="F59" s="382"/>
    </row>
    <row r="60" spans="5:6" s="372" customFormat="1">
      <c r="E60" s="382"/>
      <c r="F60" s="382"/>
    </row>
    <row r="61" spans="5:6" s="372" customFormat="1">
      <c r="E61" s="382"/>
      <c r="F61" s="382"/>
    </row>
    <row r="62" spans="5:6" s="372" customFormat="1">
      <c r="E62" s="382"/>
      <c r="F62" s="382"/>
    </row>
    <row r="63" spans="5:6" s="372" customFormat="1">
      <c r="E63" s="382"/>
      <c r="F63" s="382"/>
    </row>
    <row r="64" spans="5:6" s="372" customFormat="1">
      <c r="E64" s="382"/>
      <c r="F64" s="382"/>
    </row>
    <row r="65" spans="5:6" s="372" customFormat="1">
      <c r="E65" s="382"/>
      <c r="F65" s="382"/>
    </row>
    <row r="66" spans="5:6" s="372" customFormat="1">
      <c r="E66" s="382"/>
      <c r="F66" s="382"/>
    </row>
    <row r="67" spans="5:6" s="372" customFormat="1">
      <c r="E67" s="382"/>
      <c r="F67" s="382"/>
    </row>
    <row r="68" spans="5:6" s="372" customFormat="1">
      <c r="E68" s="382"/>
      <c r="F68" s="382"/>
    </row>
    <row r="69" spans="5:6" s="372" customFormat="1">
      <c r="E69" s="382"/>
      <c r="F69" s="382"/>
    </row>
    <row r="70" spans="5:6" s="372" customFormat="1">
      <c r="E70" s="382"/>
      <c r="F70" s="382"/>
    </row>
    <row r="71" spans="5:6" s="372" customFormat="1">
      <c r="E71" s="382"/>
      <c r="F71" s="382"/>
    </row>
    <row r="72" spans="5:6" s="372" customFormat="1">
      <c r="E72" s="382"/>
      <c r="F72" s="382"/>
    </row>
    <row r="73" spans="5:6" s="372" customFormat="1">
      <c r="E73" s="382"/>
      <c r="F73" s="382"/>
    </row>
    <row r="74" spans="5:6" s="372" customFormat="1">
      <c r="E74" s="382"/>
      <c r="F74" s="382"/>
    </row>
    <row r="75" spans="5:6" s="372" customFormat="1">
      <c r="E75" s="382"/>
      <c r="F75" s="382"/>
    </row>
    <row r="76" spans="5:6" s="372" customFormat="1">
      <c r="E76" s="382"/>
      <c r="F76" s="382"/>
    </row>
    <row r="77" spans="5:6" s="372" customFormat="1">
      <c r="E77" s="382"/>
      <c r="F77" s="382"/>
    </row>
    <row r="78" spans="5:6" s="372" customFormat="1">
      <c r="E78" s="382"/>
      <c r="F78" s="382"/>
    </row>
    <row r="79" spans="5:6" s="372" customFormat="1">
      <c r="E79" s="382"/>
      <c r="F79" s="382"/>
    </row>
    <row r="80" spans="5:6" s="372" customFormat="1">
      <c r="E80" s="382"/>
      <c r="F80" s="382"/>
    </row>
    <row r="81" spans="5:6" s="372" customFormat="1">
      <c r="E81" s="382"/>
      <c r="F81" s="382"/>
    </row>
    <row r="82" spans="5:6" s="372" customFormat="1">
      <c r="E82" s="382"/>
      <c r="F82" s="382"/>
    </row>
    <row r="83" spans="5:6" s="372" customFormat="1">
      <c r="E83" s="382"/>
      <c r="F83" s="382"/>
    </row>
    <row r="84" spans="5:6" s="372" customFormat="1">
      <c r="E84" s="382"/>
      <c r="F84" s="382"/>
    </row>
    <row r="85" spans="5:6" s="372" customFormat="1">
      <c r="E85" s="382"/>
      <c r="F85" s="382"/>
    </row>
    <row r="86" spans="5:6" s="372" customFormat="1">
      <c r="E86" s="382"/>
      <c r="F86" s="382"/>
    </row>
    <row r="87" spans="5:6" s="372" customFormat="1">
      <c r="E87" s="382"/>
      <c r="F87" s="382"/>
    </row>
    <row r="88" spans="5:6" s="372" customFormat="1">
      <c r="E88" s="382"/>
      <c r="F88" s="382"/>
    </row>
    <row r="89" spans="5:6" s="372" customFormat="1">
      <c r="E89" s="382"/>
      <c r="F89" s="382"/>
    </row>
    <row r="90" spans="5:6" s="372" customFormat="1">
      <c r="E90" s="382"/>
      <c r="F90" s="382"/>
    </row>
    <row r="91" spans="5:6" s="372" customFormat="1">
      <c r="E91" s="382"/>
      <c r="F91" s="382"/>
    </row>
    <row r="92" spans="5:6" s="372" customFormat="1">
      <c r="E92" s="382"/>
      <c r="F92" s="382"/>
    </row>
    <row r="93" spans="5:6" s="372" customFormat="1">
      <c r="E93" s="382"/>
      <c r="F93" s="382"/>
    </row>
    <row r="94" spans="5:6" s="372" customFormat="1">
      <c r="E94" s="382"/>
      <c r="F94" s="382"/>
    </row>
    <row r="95" spans="5:6" s="372" customFormat="1">
      <c r="E95" s="382"/>
      <c r="F95" s="382"/>
    </row>
    <row r="96" spans="5:6" s="372" customFormat="1">
      <c r="E96" s="382"/>
      <c r="F96" s="382"/>
    </row>
    <row r="97" spans="5:6" s="372" customFormat="1">
      <c r="E97" s="382"/>
      <c r="F97" s="382"/>
    </row>
    <row r="98" spans="5:6" s="372" customFormat="1">
      <c r="E98" s="382"/>
      <c r="F98" s="382"/>
    </row>
    <row r="99" spans="5:6" s="372" customFormat="1">
      <c r="E99" s="382"/>
      <c r="F99" s="382"/>
    </row>
    <row r="100" spans="5:6" s="372" customFormat="1">
      <c r="E100" s="382"/>
      <c r="F100" s="382"/>
    </row>
    <row r="101" spans="5:6" s="372" customFormat="1">
      <c r="E101" s="382"/>
      <c r="F101" s="382"/>
    </row>
    <row r="102" spans="5:6" s="372" customFormat="1">
      <c r="E102" s="382"/>
      <c r="F102" s="382"/>
    </row>
    <row r="103" spans="5:6" s="372" customFormat="1">
      <c r="E103" s="382"/>
      <c r="F103" s="382"/>
    </row>
    <row r="104" spans="5:6" s="372" customFormat="1">
      <c r="E104" s="382"/>
      <c r="F104" s="382"/>
    </row>
    <row r="105" spans="5:6" s="372" customFormat="1">
      <c r="E105" s="382"/>
      <c r="F105" s="382"/>
    </row>
    <row r="106" spans="5:6" s="372" customFormat="1">
      <c r="E106" s="382"/>
      <c r="F106" s="382"/>
    </row>
    <row r="107" spans="5:6" s="372" customFormat="1">
      <c r="E107" s="382"/>
      <c r="F107" s="382"/>
    </row>
    <row r="108" spans="5:6" s="372" customFormat="1">
      <c r="E108" s="382"/>
      <c r="F108" s="382"/>
    </row>
    <row r="109" spans="5:6" s="372" customFormat="1">
      <c r="E109" s="382"/>
      <c r="F109" s="382"/>
    </row>
    <row r="110" spans="5:6" s="372" customFormat="1">
      <c r="E110" s="382"/>
      <c r="F110" s="382"/>
    </row>
    <row r="111" spans="5:6" s="372" customFormat="1">
      <c r="E111" s="382"/>
      <c r="F111" s="382"/>
    </row>
    <row r="112" spans="5:6" s="372" customFormat="1">
      <c r="E112" s="382"/>
      <c r="F112" s="382"/>
    </row>
    <row r="113" spans="5:6" s="372" customFormat="1">
      <c r="E113" s="382"/>
      <c r="F113" s="382"/>
    </row>
    <row r="114" spans="5:6" s="372" customFormat="1">
      <c r="E114" s="382"/>
      <c r="F114" s="382"/>
    </row>
    <row r="115" spans="5:6" s="372" customFormat="1">
      <c r="E115" s="382"/>
      <c r="F115" s="382"/>
    </row>
    <row r="116" spans="5:6" s="372" customFormat="1">
      <c r="E116" s="382"/>
      <c r="F116" s="382"/>
    </row>
    <row r="117" spans="5:6" s="372" customFormat="1">
      <c r="E117" s="382"/>
      <c r="F117" s="382"/>
    </row>
    <row r="118" spans="5:6" s="372" customFormat="1">
      <c r="E118" s="382"/>
      <c r="F118" s="382"/>
    </row>
    <row r="119" spans="5:6" s="372" customFormat="1">
      <c r="E119" s="382"/>
      <c r="F119" s="382"/>
    </row>
    <row r="120" spans="5:6" s="372" customFormat="1">
      <c r="E120" s="382"/>
      <c r="F120" s="382"/>
    </row>
    <row r="121" spans="5:6" s="372" customFormat="1">
      <c r="E121" s="382"/>
      <c r="F121" s="382"/>
    </row>
    <row r="122" spans="5:6" s="372" customFormat="1">
      <c r="E122" s="382"/>
      <c r="F122" s="382"/>
    </row>
    <row r="123" spans="5:6" s="372" customFormat="1">
      <c r="E123" s="382"/>
      <c r="F123" s="382"/>
    </row>
    <row r="124" spans="5:6" s="372" customFormat="1">
      <c r="E124" s="382"/>
      <c r="F124" s="382"/>
    </row>
    <row r="125" spans="5:6" s="372" customFormat="1">
      <c r="E125" s="382"/>
      <c r="F125" s="382"/>
    </row>
    <row r="126" spans="5:6" s="372" customFormat="1">
      <c r="E126" s="382"/>
      <c r="F126" s="382"/>
    </row>
    <row r="127" spans="5:6" s="372" customFormat="1">
      <c r="E127" s="382"/>
      <c r="F127" s="382"/>
    </row>
    <row r="128" spans="5:6" s="372" customFormat="1">
      <c r="E128" s="382"/>
      <c r="F128" s="382"/>
    </row>
    <row r="129" spans="5:6" s="372" customFormat="1">
      <c r="E129" s="382"/>
      <c r="F129" s="382"/>
    </row>
    <row r="130" spans="5:6" s="372" customFormat="1">
      <c r="E130" s="382"/>
      <c r="F130" s="382"/>
    </row>
    <row r="131" spans="5:6" s="372" customFormat="1">
      <c r="E131" s="382"/>
      <c r="F131" s="382"/>
    </row>
    <row r="132" spans="5:6" s="372" customFormat="1">
      <c r="E132" s="382"/>
      <c r="F132" s="382"/>
    </row>
    <row r="133" spans="5:6" s="372" customFormat="1">
      <c r="E133" s="382"/>
      <c r="F133" s="382"/>
    </row>
    <row r="134" spans="5:6" s="372" customFormat="1">
      <c r="E134" s="382"/>
      <c r="F134" s="382"/>
    </row>
    <row r="135" spans="5:6" s="372" customFormat="1">
      <c r="E135" s="382"/>
      <c r="F135" s="382"/>
    </row>
    <row r="136" spans="5:6" s="372" customFormat="1">
      <c r="E136" s="382"/>
      <c r="F136" s="382"/>
    </row>
    <row r="137" spans="5:6" s="372" customFormat="1">
      <c r="E137" s="382"/>
      <c r="F137" s="382"/>
    </row>
    <row r="138" spans="5:6" s="372" customFormat="1">
      <c r="E138" s="382"/>
      <c r="F138" s="382"/>
    </row>
    <row r="139" spans="5:6" s="372" customFormat="1">
      <c r="E139" s="382"/>
      <c r="F139" s="382"/>
    </row>
    <row r="140" spans="5:6" s="372" customFormat="1">
      <c r="E140" s="382"/>
      <c r="F140" s="382"/>
    </row>
    <row r="141" spans="5:6" s="372" customFormat="1">
      <c r="E141" s="382"/>
      <c r="F141" s="382"/>
    </row>
    <row r="142" spans="5:6" s="372" customFormat="1">
      <c r="E142" s="382"/>
      <c r="F142" s="382"/>
    </row>
    <row r="143" spans="5:6" s="372" customFormat="1">
      <c r="E143" s="382"/>
      <c r="F143" s="382"/>
    </row>
    <row r="144" spans="5:6" s="372" customFormat="1">
      <c r="E144" s="382"/>
      <c r="F144" s="382"/>
    </row>
    <row r="145" spans="5:6" s="372" customFormat="1">
      <c r="E145" s="382"/>
      <c r="F145" s="382"/>
    </row>
    <row r="146" spans="5:6" s="372" customFormat="1">
      <c r="E146" s="382"/>
      <c r="F146" s="382"/>
    </row>
    <row r="147" spans="5:6" s="372" customFormat="1">
      <c r="E147" s="382"/>
      <c r="F147" s="382"/>
    </row>
    <row r="148" spans="5:6" s="372" customFormat="1">
      <c r="E148" s="382"/>
      <c r="F148" s="382"/>
    </row>
    <row r="149" spans="5:6" s="372" customFormat="1">
      <c r="E149" s="382"/>
      <c r="F149" s="382"/>
    </row>
    <row r="150" spans="5:6" s="372" customFormat="1">
      <c r="E150" s="382"/>
      <c r="F150" s="382"/>
    </row>
    <row r="151" spans="5:6" s="372" customFormat="1">
      <c r="E151" s="382"/>
      <c r="F151" s="382"/>
    </row>
    <row r="152" spans="5:6" s="372" customFormat="1">
      <c r="E152" s="382"/>
      <c r="F152" s="382"/>
    </row>
    <row r="153" spans="5:6" s="372" customFormat="1">
      <c r="E153" s="382"/>
      <c r="F153"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8CDA-B93B-4F18-9093-0714CC705FA2}">
  <sheetPr>
    <tabColor theme="4"/>
  </sheetPr>
  <dimension ref="A1:J143"/>
  <sheetViews>
    <sheetView showGridLines="0" view="pageBreakPreview" zoomScale="145" zoomScaleNormal="100" zoomScaleSheetLayoutView="145" zoomScalePageLayoutView="145" workbookViewId="0">
      <selection activeCell="D4" sqref="D4"/>
    </sheetView>
  </sheetViews>
  <sheetFormatPr defaultColWidth="9.33203125" defaultRowHeight="9"/>
  <cols>
    <col min="1" max="1" width="16.1640625" style="372" customWidth="1"/>
    <col min="2" max="2" width="19.6640625" style="372" customWidth="1"/>
    <col min="3" max="3" width="12.5" style="372" bestFit="1" customWidth="1"/>
    <col min="4" max="4" width="47.1640625" style="372" customWidth="1"/>
    <col min="5" max="5" width="11.5" style="372" customWidth="1"/>
    <col min="6" max="6" width="10.5" style="372" customWidth="1"/>
    <col min="7" max="8" width="9.33203125" style="372" customWidth="1"/>
    <col min="9" max="10" width="9.33203125" style="372"/>
    <col min="11" max="16384" width="9.33203125" style="381"/>
  </cols>
  <sheetData>
    <row r="1" spans="1:9" s="372" customFormat="1" ht="30" customHeight="1">
      <c r="A1" s="776" t="s">
        <v>279</v>
      </c>
      <c r="B1" s="777" t="s">
        <v>451</v>
      </c>
      <c r="C1" s="776" t="s">
        <v>440</v>
      </c>
      <c r="D1" s="778" t="s">
        <v>452</v>
      </c>
      <c r="E1" s="779" t="s">
        <v>453</v>
      </c>
      <c r="F1" s="779" t="s">
        <v>454</v>
      </c>
      <c r="G1" s="362"/>
      <c r="H1" s="373"/>
      <c r="I1" s="360"/>
    </row>
    <row r="2" spans="1:9" s="372" customFormat="1" ht="103.5" customHeight="1">
      <c r="A2" s="383" t="s">
        <v>606</v>
      </c>
      <c r="B2" s="383" t="s">
        <v>493</v>
      </c>
      <c r="C2" s="384">
        <v>43464.689583333333</v>
      </c>
      <c r="D2" s="517" t="s">
        <v>693</v>
      </c>
      <c r="E2" s="385">
        <v>5.31</v>
      </c>
      <c r="F2" s="385"/>
      <c r="G2" s="361"/>
      <c r="H2" s="363"/>
    </row>
    <row r="3" spans="1:9" s="372" customFormat="1" ht="84" customHeight="1">
      <c r="A3" s="383" t="s">
        <v>590</v>
      </c>
      <c r="B3" s="383" t="s">
        <v>694</v>
      </c>
      <c r="C3" s="384">
        <v>43464.727777777778</v>
      </c>
      <c r="D3" s="517" t="s">
        <v>695</v>
      </c>
      <c r="E3" s="385">
        <v>23.8</v>
      </c>
      <c r="F3" s="385"/>
      <c r="G3" s="361"/>
      <c r="H3" s="363"/>
    </row>
    <row r="4" spans="1:9" s="372" customFormat="1" ht="92.25" customHeight="1">
      <c r="A4" s="568"/>
      <c r="B4" s="568"/>
      <c r="C4" s="569"/>
      <c r="D4" s="570"/>
      <c r="E4" s="571"/>
      <c r="F4" s="571"/>
      <c r="G4" s="361"/>
      <c r="H4" s="363"/>
    </row>
    <row r="5" spans="1:9" s="372" customFormat="1" ht="57" customHeight="1">
      <c r="A5" s="568"/>
      <c r="B5" s="568"/>
      <c r="C5" s="569"/>
      <c r="D5" s="570"/>
      <c r="E5" s="571"/>
      <c r="F5" s="571"/>
    </row>
    <row r="6" spans="1:9" s="372" customFormat="1" ht="99" customHeight="1">
      <c r="A6" s="568"/>
      <c r="B6" s="568"/>
      <c r="C6" s="569"/>
      <c r="D6" s="570"/>
      <c r="E6" s="571"/>
      <c r="F6" s="571"/>
    </row>
    <row r="7" spans="1:9" s="372" customFormat="1" ht="66" customHeight="1">
      <c r="A7" s="568"/>
      <c r="B7" s="568"/>
      <c r="C7" s="569"/>
      <c r="D7" s="570"/>
      <c r="E7" s="571"/>
      <c r="F7" s="571"/>
    </row>
    <row r="8" spans="1:9" s="372" customFormat="1" ht="83.25" customHeight="1">
      <c r="A8" s="568"/>
      <c r="B8" s="568"/>
      <c r="C8" s="569"/>
      <c r="D8" s="570"/>
      <c r="E8" s="571"/>
      <c r="F8" s="571"/>
    </row>
    <row r="9" spans="1:9" s="372" customFormat="1" ht="73.5" customHeight="1">
      <c r="A9" s="568"/>
      <c r="B9" s="568"/>
      <c r="C9" s="569"/>
      <c r="D9" s="570"/>
      <c r="E9" s="571"/>
      <c r="F9" s="571"/>
    </row>
    <row r="10" spans="1:9" s="372" customFormat="1" ht="72" customHeight="1">
      <c r="A10" s="568"/>
      <c r="B10" s="568"/>
      <c r="C10" s="569"/>
      <c r="D10" s="570"/>
      <c r="E10" s="571"/>
      <c r="F10" s="571"/>
    </row>
    <row r="11" spans="1:9" s="372" customFormat="1">
      <c r="E11" s="382"/>
      <c r="F11" s="382"/>
    </row>
    <row r="12" spans="1:9" s="372" customFormat="1">
      <c r="E12" s="382"/>
      <c r="F12" s="382"/>
    </row>
    <row r="13" spans="1:9" s="372" customFormat="1">
      <c r="E13" s="382"/>
      <c r="F13" s="382"/>
    </row>
    <row r="14" spans="1:9" s="372" customFormat="1">
      <c r="E14" s="382"/>
      <c r="F14" s="382"/>
    </row>
    <row r="15" spans="1:9" s="372" customFormat="1">
      <c r="E15" s="382"/>
      <c r="F15" s="382"/>
    </row>
    <row r="16" spans="1:9" s="372" customFormat="1">
      <c r="E16" s="382"/>
      <c r="F16" s="382"/>
    </row>
    <row r="17" spans="5:6" s="372" customFormat="1">
      <c r="E17" s="382"/>
      <c r="F17" s="382"/>
    </row>
    <row r="18" spans="5:6" s="372" customFormat="1">
      <c r="E18" s="382"/>
      <c r="F18" s="382"/>
    </row>
    <row r="19" spans="5:6" s="372" customFormat="1">
      <c r="E19" s="382"/>
      <c r="F19" s="382"/>
    </row>
    <row r="20" spans="5:6" s="372" customFormat="1">
      <c r="E20" s="382"/>
      <c r="F20" s="382"/>
    </row>
    <row r="21" spans="5:6" s="372" customFormat="1">
      <c r="E21" s="382"/>
      <c r="F21" s="382"/>
    </row>
    <row r="22" spans="5:6" s="372" customFormat="1">
      <c r="E22" s="382"/>
      <c r="F22" s="382"/>
    </row>
    <row r="23" spans="5:6" s="372" customFormat="1">
      <c r="E23" s="382"/>
      <c r="F23" s="382"/>
    </row>
    <row r="24" spans="5:6" s="372" customFormat="1">
      <c r="E24" s="382"/>
      <c r="F24" s="382"/>
    </row>
    <row r="25" spans="5:6" s="372" customFormat="1">
      <c r="E25" s="382"/>
      <c r="F25" s="382"/>
    </row>
    <row r="26" spans="5:6" s="372" customFormat="1">
      <c r="E26" s="382"/>
      <c r="F26" s="382"/>
    </row>
    <row r="27" spans="5:6" s="372" customFormat="1">
      <c r="E27" s="382"/>
      <c r="F27" s="382"/>
    </row>
    <row r="28" spans="5:6" s="372" customFormat="1">
      <c r="E28" s="382"/>
      <c r="F28" s="382"/>
    </row>
    <row r="29" spans="5:6" s="372" customFormat="1">
      <c r="E29" s="382"/>
      <c r="F29" s="382"/>
    </row>
    <row r="30" spans="5:6" s="372" customFormat="1">
      <c r="E30" s="382"/>
      <c r="F30" s="382"/>
    </row>
    <row r="31" spans="5:6" s="372" customFormat="1">
      <c r="E31" s="382"/>
      <c r="F31" s="382"/>
    </row>
    <row r="32" spans="5:6" s="372" customFormat="1">
      <c r="E32" s="382"/>
      <c r="F32" s="382"/>
    </row>
    <row r="33" spans="5:6" s="372" customFormat="1">
      <c r="E33" s="382"/>
      <c r="F33" s="382"/>
    </row>
    <row r="34" spans="5:6" s="372" customFormat="1">
      <c r="E34" s="382"/>
      <c r="F34" s="382"/>
    </row>
    <row r="35" spans="5:6" s="372" customFormat="1">
      <c r="E35" s="382"/>
      <c r="F35" s="382"/>
    </row>
    <row r="36" spans="5:6" s="372" customFormat="1">
      <c r="E36" s="382"/>
      <c r="F36" s="382"/>
    </row>
    <row r="37" spans="5:6" s="372" customFormat="1">
      <c r="E37" s="382"/>
      <c r="F37" s="382"/>
    </row>
    <row r="38" spans="5:6" s="372" customFormat="1">
      <c r="E38" s="382"/>
      <c r="F38" s="382"/>
    </row>
    <row r="39" spans="5:6" s="372" customFormat="1">
      <c r="E39" s="382"/>
      <c r="F39" s="382"/>
    </row>
    <row r="40" spans="5:6" s="372" customFormat="1">
      <c r="E40" s="382"/>
      <c r="F40" s="382"/>
    </row>
    <row r="41" spans="5:6" s="372" customFormat="1">
      <c r="E41" s="382"/>
      <c r="F41" s="382"/>
    </row>
    <row r="42" spans="5:6" s="372" customFormat="1">
      <c r="E42" s="382"/>
      <c r="F42" s="382"/>
    </row>
    <row r="43" spans="5:6" s="372" customFormat="1">
      <c r="E43" s="382"/>
      <c r="F43" s="382"/>
    </row>
    <row r="44" spans="5:6" s="372" customFormat="1">
      <c r="E44" s="382"/>
      <c r="F44" s="382"/>
    </row>
    <row r="45" spans="5:6" s="372" customFormat="1">
      <c r="E45" s="382"/>
      <c r="F45" s="382"/>
    </row>
    <row r="46" spans="5:6" s="372" customFormat="1">
      <c r="E46" s="382"/>
      <c r="F46" s="382"/>
    </row>
    <row r="47" spans="5:6" s="372" customFormat="1">
      <c r="E47" s="382"/>
      <c r="F47" s="382"/>
    </row>
    <row r="48" spans="5:6" s="372" customFormat="1">
      <c r="E48" s="382"/>
      <c r="F48" s="382"/>
    </row>
    <row r="49" spans="5:6" s="372" customFormat="1">
      <c r="E49" s="382"/>
      <c r="F49" s="382"/>
    </row>
    <row r="50" spans="5:6" s="372" customFormat="1">
      <c r="E50" s="382"/>
      <c r="F50" s="382"/>
    </row>
    <row r="51" spans="5:6" s="372" customFormat="1">
      <c r="E51" s="382"/>
      <c r="F51" s="382"/>
    </row>
    <row r="52" spans="5:6" s="372" customFormat="1">
      <c r="E52" s="382"/>
      <c r="F52" s="382"/>
    </row>
    <row r="53" spans="5:6" s="372" customFormat="1">
      <c r="E53" s="382"/>
      <c r="F53" s="382"/>
    </row>
    <row r="54" spans="5:6" s="372" customFormat="1">
      <c r="E54" s="382"/>
      <c r="F54" s="382"/>
    </row>
    <row r="55" spans="5:6" s="372" customFormat="1">
      <c r="E55" s="382"/>
      <c r="F55" s="382"/>
    </row>
    <row r="56" spans="5:6" s="372" customFormat="1">
      <c r="E56" s="382"/>
      <c r="F56" s="382"/>
    </row>
    <row r="57" spans="5:6" s="372" customFormat="1">
      <c r="E57" s="382"/>
      <c r="F57" s="382"/>
    </row>
    <row r="58" spans="5:6" s="372" customFormat="1">
      <c r="E58" s="382"/>
      <c r="F58" s="382"/>
    </row>
    <row r="59" spans="5:6" s="372" customFormat="1">
      <c r="E59" s="382"/>
      <c r="F59" s="382"/>
    </row>
    <row r="60" spans="5:6" s="372" customFormat="1">
      <c r="E60" s="382"/>
      <c r="F60" s="382"/>
    </row>
    <row r="61" spans="5:6" s="372" customFormat="1">
      <c r="E61" s="382"/>
      <c r="F61" s="382"/>
    </row>
    <row r="62" spans="5:6" s="372" customFormat="1">
      <c r="E62" s="382"/>
      <c r="F62" s="382"/>
    </row>
    <row r="63" spans="5:6" s="372" customFormat="1">
      <c r="E63" s="382"/>
      <c r="F63" s="382"/>
    </row>
    <row r="64" spans="5:6" s="372" customFormat="1">
      <c r="E64" s="382"/>
      <c r="F64" s="382"/>
    </row>
    <row r="65" spans="5:6" s="372" customFormat="1">
      <c r="E65" s="382"/>
      <c r="F65" s="382"/>
    </row>
    <row r="66" spans="5:6" s="372" customFormat="1">
      <c r="E66" s="382"/>
      <c r="F66" s="382"/>
    </row>
    <row r="67" spans="5:6" s="372" customFormat="1">
      <c r="E67" s="382"/>
      <c r="F67" s="382"/>
    </row>
    <row r="68" spans="5:6" s="372" customFormat="1">
      <c r="E68" s="382"/>
      <c r="F68" s="382"/>
    </row>
    <row r="69" spans="5:6" s="372" customFormat="1">
      <c r="E69" s="382"/>
      <c r="F69" s="382"/>
    </row>
    <row r="70" spans="5:6" s="372" customFormat="1">
      <c r="E70" s="382"/>
      <c r="F70" s="382"/>
    </row>
    <row r="71" spans="5:6" s="372" customFormat="1">
      <c r="E71" s="382"/>
      <c r="F71" s="382"/>
    </row>
    <row r="72" spans="5:6" s="372" customFormat="1">
      <c r="E72" s="382"/>
      <c r="F72" s="382"/>
    </row>
    <row r="73" spans="5:6" s="372" customFormat="1">
      <c r="E73" s="382"/>
      <c r="F73" s="382"/>
    </row>
    <row r="74" spans="5:6" s="372" customFormat="1">
      <c r="E74" s="382"/>
      <c r="F74" s="382"/>
    </row>
    <row r="75" spans="5:6" s="372" customFormat="1">
      <c r="E75" s="382"/>
      <c r="F75" s="382"/>
    </row>
    <row r="76" spans="5:6" s="372" customFormat="1">
      <c r="E76" s="382"/>
      <c r="F76" s="382"/>
    </row>
    <row r="77" spans="5:6" s="372" customFormat="1">
      <c r="E77" s="382"/>
      <c r="F77" s="382"/>
    </row>
    <row r="78" spans="5:6" s="372" customFormat="1">
      <c r="E78" s="382"/>
      <c r="F78" s="382"/>
    </row>
    <row r="79" spans="5:6" s="372" customFormat="1">
      <c r="E79" s="382"/>
      <c r="F79" s="382"/>
    </row>
    <row r="80" spans="5:6" s="372" customFormat="1">
      <c r="E80" s="382"/>
      <c r="F80" s="382"/>
    </row>
    <row r="81" spans="5:6" s="372" customFormat="1">
      <c r="E81" s="382"/>
      <c r="F81" s="382"/>
    </row>
    <row r="82" spans="5:6" s="372" customFormat="1">
      <c r="E82" s="382"/>
      <c r="F82" s="382"/>
    </row>
    <row r="83" spans="5:6" s="372" customFormat="1">
      <c r="E83" s="382"/>
      <c r="F83" s="382"/>
    </row>
    <row r="84" spans="5:6" s="372" customFormat="1">
      <c r="E84" s="382"/>
      <c r="F84" s="382"/>
    </row>
    <row r="85" spans="5:6" s="372" customFormat="1">
      <c r="E85" s="382"/>
      <c r="F85" s="382"/>
    </row>
    <row r="86" spans="5:6" s="372" customFormat="1">
      <c r="E86" s="382"/>
      <c r="F86" s="382"/>
    </row>
    <row r="87" spans="5:6" s="372" customFormat="1">
      <c r="E87" s="382"/>
      <c r="F87" s="382"/>
    </row>
    <row r="88" spans="5:6" s="372" customFormat="1">
      <c r="E88" s="382"/>
      <c r="F88" s="382"/>
    </row>
    <row r="89" spans="5:6" s="372" customFormat="1">
      <c r="E89" s="382"/>
      <c r="F89" s="382"/>
    </row>
    <row r="90" spans="5:6" s="372" customFormat="1">
      <c r="E90" s="382"/>
      <c r="F90" s="382"/>
    </row>
    <row r="91" spans="5:6" s="372" customFormat="1">
      <c r="E91" s="382"/>
      <c r="F91" s="382"/>
    </row>
    <row r="92" spans="5:6" s="372" customFormat="1">
      <c r="E92" s="382"/>
      <c r="F92" s="382"/>
    </row>
    <row r="93" spans="5:6" s="372" customFormat="1">
      <c r="E93" s="382"/>
      <c r="F93" s="382"/>
    </row>
    <row r="94" spans="5:6" s="372" customFormat="1">
      <c r="E94" s="382"/>
      <c r="F94" s="382"/>
    </row>
    <row r="95" spans="5:6" s="372" customFormat="1">
      <c r="E95" s="382"/>
      <c r="F95" s="382"/>
    </row>
    <row r="96" spans="5:6" s="372" customFormat="1">
      <c r="E96" s="382"/>
      <c r="F96" s="382"/>
    </row>
    <row r="97" spans="5:6" s="372" customFormat="1">
      <c r="E97" s="382"/>
      <c r="F97" s="382"/>
    </row>
    <row r="98" spans="5:6" s="372" customFormat="1">
      <c r="E98" s="382"/>
      <c r="F98" s="382"/>
    </row>
    <row r="99" spans="5:6" s="372" customFormat="1">
      <c r="E99" s="382"/>
      <c r="F99" s="382"/>
    </row>
    <row r="100" spans="5:6" s="372" customFormat="1">
      <c r="E100" s="382"/>
      <c r="F100" s="382"/>
    </row>
    <row r="101" spans="5:6" s="372" customFormat="1">
      <c r="E101" s="382"/>
      <c r="F101" s="382"/>
    </row>
    <row r="102" spans="5:6" s="372" customFormat="1">
      <c r="E102" s="382"/>
      <c r="F102" s="382"/>
    </row>
    <row r="103" spans="5:6" s="372" customFormat="1">
      <c r="E103" s="382"/>
      <c r="F103" s="382"/>
    </row>
    <row r="104" spans="5:6" s="372" customFormat="1">
      <c r="E104" s="382"/>
      <c r="F104" s="382"/>
    </row>
    <row r="105" spans="5:6" s="372" customFormat="1">
      <c r="E105" s="382"/>
      <c r="F105" s="382"/>
    </row>
    <row r="106" spans="5:6" s="372" customFormat="1">
      <c r="E106" s="382"/>
      <c r="F106" s="382"/>
    </row>
    <row r="107" spans="5:6" s="372" customFormat="1">
      <c r="E107" s="382"/>
      <c r="F107" s="382"/>
    </row>
    <row r="108" spans="5:6" s="372" customFormat="1">
      <c r="E108" s="382"/>
      <c r="F108" s="382"/>
    </row>
    <row r="109" spans="5:6" s="372" customFormat="1">
      <c r="E109" s="382"/>
      <c r="F109" s="382"/>
    </row>
    <row r="110" spans="5:6" s="372" customFormat="1">
      <c r="E110" s="382"/>
      <c r="F110" s="382"/>
    </row>
    <row r="111" spans="5:6" s="372" customFormat="1">
      <c r="E111" s="382"/>
      <c r="F111" s="382"/>
    </row>
    <row r="112" spans="5:6" s="372" customFormat="1">
      <c r="E112" s="382"/>
      <c r="F112" s="382"/>
    </row>
    <row r="113" spans="5:6" s="372" customFormat="1">
      <c r="E113" s="382"/>
      <c r="F113" s="382"/>
    </row>
    <row r="114" spans="5:6" s="372" customFormat="1">
      <c r="E114" s="382"/>
      <c r="F114" s="382"/>
    </row>
    <row r="115" spans="5:6" s="372" customFormat="1">
      <c r="E115" s="382"/>
      <c r="F115" s="382"/>
    </row>
    <row r="116" spans="5:6" s="372" customFormat="1">
      <c r="E116" s="382"/>
      <c r="F116" s="382"/>
    </row>
    <row r="117" spans="5:6" s="372" customFormat="1">
      <c r="E117" s="382"/>
      <c r="F117" s="382"/>
    </row>
    <row r="118" spans="5:6" s="372" customFormat="1">
      <c r="E118" s="382"/>
      <c r="F118" s="382"/>
    </row>
    <row r="119" spans="5:6" s="372" customFormat="1">
      <c r="E119" s="382"/>
      <c r="F119" s="382"/>
    </row>
    <row r="120" spans="5:6" s="372" customFormat="1">
      <c r="E120" s="382"/>
      <c r="F120" s="382"/>
    </row>
    <row r="121" spans="5:6" s="372" customFormat="1">
      <c r="E121" s="382"/>
      <c r="F121" s="382"/>
    </row>
    <row r="122" spans="5:6" s="372" customFormat="1">
      <c r="E122" s="382"/>
      <c r="F122" s="382"/>
    </row>
    <row r="123" spans="5:6" s="372" customFormat="1">
      <c r="E123" s="382"/>
      <c r="F123" s="382"/>
    </row>
    <row r="124" spans="5:6" s="372" customFormat="1">
      <c r="E124" s="382"/>
      <c r="F124" s="382"/>
    </row>
    <row r="125" spans="5:6" s="372" customFormat="1">
      <c r="E125" s="382"/>
      <c r="F125" s="382"/>
    </row>
    <row r="126" spans="5:6" s="372" customFormat="1">
      <c r="E126" s="382"/>
      <c r="F126" s="382"/>
    </row>
    <row r="127" spans="5:6" s="372" customFormat="1">
      <c r="E127" s="382"/>
      <c r="F127" s="382"/>
    </row>
    <row r="128" spans="5:6" s="372" customFormat="1">
      <c r="E128" s="382"/>
      <c r="F128" s="382"/>
    </row>
    <row r="129" spans="5:6" s="372" customFormat="1">
      <c r="E129" s="382"/>
      <c r="F129" s="382"/>
    </row>
    <row r="130" spans="5:6" s="372" customFormat="1">
      <c r="E130" s="382"/>
      <c r="F130" s="382"/>
    </row>
    <row r="131" spans="5:6" s="372" customFormat="1">
      <c r="E131" s="382"/>
      <c r="F131" s="382"/>
    </row>
    <row r="132" spans="5:6" s="372" customFormat="1">
      <c r="E132" s="382"/>
      <c r="F132" s="382"/>
    </row>
    <row r="133" spans="5:6" s="372" customFormat="1">
      <c r="E133" s="382"/>
      <c r="F133" s="382"/>
    </row>
    <row r="134" spans="5:6" s="372" customFormat="1">
      <c r="E134" s="382"/>
      <c r="F134" s="382"/>
    </row>
    <row r="135" spans="5:6" s="372" customFormat="1">
      <c r="E135" s="382"/>
      <c r="F135" s="382"/>
    </row>
    <row r="136" spans="5:6" s="372" customFormat="1">
      <c r="E136" s="382"/>
      <c r="F136" s="382"/>
    </row>
    <row r="137" spans="5:6" s="372" customFormat="1">
      <c r="E137" s="382"/>
      <c r="F137" s="382"/>
    </row>
    <row r="138" spans="5:6" s="372" customFormat="1">
      <c r="E138" s="382"/>
      <c r="F138" s="382"/>
    </row>
    <row r="139" spans="5:6" s="372" customFormat="1">
      <c r="E139" s="382"/>
      <c r="F139" s="382"/>
    </row>
    <row r="140" spans="5:6" s="372" customFormat="1">
      <c r="E140" s="382"/>
      <c r="F140" s="382"/>
    </row>
    <row r="141" spans="5:6" s="372" customFormat="1">
      <c r="E141" s="382"/>
      <c r="F141" s="382"/>
    </row>
    <row r="142" spans="5:6" s="372" customFormat="1">
      <c r="E142" s="382"/>
      <c r="F142" s="382"/>
    </row>
    <row r="143" spans="5:6" s="372" customFormat="1">
      <c r="E143" s="382"/>
      <c r="F143" s="382"/>
    </row>
  </sheetData>
  <pageMargins left="0.7" right="0.51432291666666663" top="0.86956521739130432" bottom="0.61458333333333337" header="0.3" footer="0.3"/>
  <pageSetup orientation="portrait" r:id="rId1"/>
  <headerFooter>
    <oddHeader>&amp;R&amp;7Informe de la Operación Mensual - Diciembre 2018
INFSGI-MES-12-2018
15/01/2019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30" zoomScaleNormal="100" zoomScaleSheetLayoutView="130" workbookViewId="0">
      <selection activeCell="D4" sqref="D4"/>
    </sheetView>
  </sheetViews>
  <sheetFormatPr defaultColWidth="9.33203125" defaultRowHeight="11.25"/>
  <sheetData>
    <row r="4" spans="2:15">
      <c r="B4" s="386"/>
      <c r="C4" s="386"/>
      <c r="D4" s="386"/>
      <c r="E4" s="386"/>
      <c r="F4" s="386"/>
      <c r="G4" s="386"/>
      <c r="H4" s="386"/>
      <c r="I4" s="386"/>
      <c r="J4" s="386"/>
      <c r="K4" s="386"/>
      <c r="L4" s="386"/>
      <c r="M4" s="386"/>
      <c r="N4" s="386"/>
      <c r="O4" s="386"/>
    </row>
    <row r="5" spans="2:15">
      <c r="B5" s="386"/>
      <c r="C5" s="386"/>
      <c r="D5" s="386"/>
      <c r="E5" s="386"/>
      <c r="F5" s="386"/>
      <c r="G5" s="386"/>
      <c r="H5" s="386"/>
      <c r="I5" s="386"/>
      <c r="J5" s="386"/>
      <c r="K5" s="386"/>
      <c r="L5" s="386"/>
      <c r="M5" s="386"/>
      <c r="N5" s="386"/>
      <c r="O5" s="386"/>
    </row>
    <row r="6" spans="2:15">
      <c r="B6" s="386"/>
      <c r="C6" s="386"/>
      <c r="D6" s="386"/>
      <c r="E6" s="386"/>
      <c r="F6" s="386"/>
      <c r="G6" s="386"/>
      <c r="H6" s="386"/>
      <c r="I6" s="386"/>
      <c r="J6" s="386"/>
      <c r="K6" s="386"/>
      <c r="L6" s="386"/>
      <c r="M6" s="386"/>
      <c r="N6" s="386"/>
      <c r="O6" s="386"/>
    </row>
    <row r="7" spans="2:15">
      <c r="B7" s="387"/>
      <c r="C7" s="386"/>
      <c r="D7" s="386"/>
      <c r="E7" s="386"/>
      <c r="F7" s="386"/>
      <c r="G7" s="386"/>
      <c r="H7" s="386"/>
      <c r="I7" s="386"/>
      <c r="J7" s="386"/>
      <c r="K7" s="386"/>
      <c r="L7" s="386"/>
      <c r="M7" s="386"/>
      <c r="N7" s="386"/>
      <c r="O7" s="386"/>
    </row>
    <row r="8" spans="2:15">
      <c r="B8" s="387"/>
      <c r="C8" s="386"/>
      <c r="D8" s="386"/>
      <c r="E8" s="386"/>
      <c r="F8" s="386"/>
      <c r="G8" s="386"/>
      <c r="H8" s="386"/>
      <c r="I8" s="386"/>
      <c r="J8" s="386"/>
      <c r="K8" s="386"/>
      <c r="L8" s="386"/>
      <c r="M8" s="386"/>
      <c r="N8" s="386"/>
      <c r="O8" s="386"/>
    </row>
    <row r="9" spans="2:15">
      <c r="B9" s="387"/>
      <c r="C9" s="386"/>
      <c r="D9" s="386"/>
      <c r="E9" s="386"/>
      <c r="F9" s="386"/>
      <c r="G9" s="386"/>
      <c r="H9" s="386"/>
      <c r="I9" s="386"/>
      <c r="J9" s="386"/>
      <c r="K9" s="386"/>
      <c r="L9" s="386"/>
      <c r="M9" s="386"/>
      <c r="N9" s="386"/>
      <c r="O9" s="386"/>
    </row>
    <row r="10" spans="2:15">
      <c r="B10" s="386"/>
      <c r="C10" s="386"/>
      <c r="D10" s="386"/>
      <c r="E10" s="386"/>
      <c r="F10" s="386"/>
      <c r="G10" s="386"/>
      <c r="H10" s="386"/>
      <c r="I10" s="386"/>
      <c r="J10" s="386"/>
      <c r="K10" s="386"/>
      <c r="L10" s="386"/>
      <c r="M10" s="386"/>
      <c r="N10" s="386"/>
      <c r="O10" s="386"/>
    </row>
    <row r="11" spans="2:15">
      <c r="B11" s="386"/>
      <c r="C11" s="386"/>
      <c r="D11" s="386"/>
      <c r="E11" s="386"/>
      <c r="F11" s="386"/>
      <c r="G11" s="386"/>
      <c r="H11" s="386"/>
      <c r="I11" s="386"/>
      <c r="J11" s="386"/>
      <c r="K11" s="386"/>
      <c r="L11" s="386"/>
      <c r="M11" s="386"/>
      <c r="N11" s="386"/>
      <c r="O11" s="386"/>
    </row>
    <row r="12" spans="2:15">
      <c r="B12" s="386"/>
      <c r="C12" s="386"/>
      <c r="D12" s="386"/>
      <c r="E12" s="386"/>
      <c r="F12" s="386"/>
      <c r="G12" s="386"/>
      <c r="H12" s="386"/>
      <c r="I12" s="386"/>
      <c r="J12" s="386"/>
      <c r="K12" s="386"/>
      <c r="L12" s="386"/>
      <c r="M12" s="386"/>
      <c r="N12" s="386"/>
      <c r="O12" s="386"/>
    </row>
    <row r="13" spans="2:15" ht="12.75">
      <c r="B13" s="388"/>
      <c r="C13" s="386"/>
      <c r="D13" s="386"/>
      <c r="E13" s="386"/>
      <c r="F13" s="386"/>
      <c r="G13" s="386"/>
      <c r="H13" s="386"/>
      <c r="I13" s="386"/>
      <c r="J13" s="386"/>
      <c r="K13" s="386"/>
      <c r="L13" s="386"/>
      <c r="M13" s="386"/>
      <c r="N13" s="386"/>
      <c r="O13" s="386"/>
    </row>
    <row r="14" spans="2:15">
      <c r="B14" s="386"/>
      <c r="C14" s="386"/>
      <c r="D14" s="386"/>
      <c r="E14" s="386"/>
      <c r="F14" s="386"/>
      <c r="G14" s="386"/>
      <c r="H14" s="386"/>
      <c r="I14" s="386"/>
      <c r="J14" s="386"/>
      <c r="K14" s="386"/>
      <c r="L14" s="386"/>
      <c r="M14" s="386"/>
      <c r="N14" s="386"/>
      <c r="O14" s="386"/>
    </row>
    <row r="15" spans="2:15">
      <c r="B15" s="386"/>
      <c r="C15" s="386"/>
      <c r="D15" s="386"/>
      <c r="E15" s="386"/>
      <c r="F15" s="386"/>
      <c r="G15" s="386"/>
      <c r="H15" s="386"/>
      <c r="I15" s="386"/>
      <c r="J15" s="386"/>
      <c r="K15" s="386"/>
      <c r="L15" s="386"/>
      <c r="M15" s="386"/>
      <c r="N15" s="386"/>
      <c r="O15" s="386"/>
    </row>
    <row r="16" spans="2:15">
      <c r="B16" s="386"/>
      <c r="C16" s="386"/>
      <c r="D16" s="386"/>
      <c r="E16" s="386"/>
      <c r="F16" s="386"/>
      <c r="G16" s="386"/>
      <c r="H16" s="386"/>
      <c r="I16" s="386"/>
      <c r="J16" s="386"/>
      <c r="K16" s="386"/>
      <c r="L16" s="386"/>
      <c r="M16" s="386"/>
      <c r="N16" s="386"/>
      <c r="O16" s="386"/>
    </row>
    <row r="17" spans="2:15">
      <c r="B17" s="386"/>
      <c r="C17" s="386"/>
      <c r="D17" s="386"/>
      <c r="E17" s="386"/>
      <c r="F17" s="386"/>
      <c r="G17" s="386"/>
      <c r="H17" s="386"/>
      <c r="I17" s="386"/>
      <c r="J17" s="386"/>
      <c r="K17" s="386"/>
      <c r="L17" s="386"/>
      <c r="M17" s="386"/>
      <c r="N17" s="386"/>
      <c r="O17" s="386"/>
    </row>
    <row r="18" spans="2:15">
      <c r="B18" s="386"/>
      <c r="C18" s="386"/>
      <c r="D18" s="386"/>
      <c r="E18" s="386"/>
      <c r="F18" s="386"/>
      <c r="G18" s="386"/>
      <c r="H18" s="386"/>
      <c r="I18" s="386"/>
      <c r="J18" s="386"/>
      <c r="K18" s="386"/>
      <c r="L18" s="386"/>
      <c r="M18" s="386"/>
      <c r="N18" s="386"/>
      <c r="O18" s="386"/>
    </row>
    <row r="19" spans="2:15">
      <c r="B19" s="386"/>
      <c r="C19" s="386"/>
      <c r="D19" s="386"/>
      <c r="E19" s="386"/>
      <c r="F19" s="386"/>
      <c r="G19" s="386"/>
      <c r="H19" s="386"/>
      <c r="I19" s="386"/>
      <c r="J19" s="386" t="s">
        <v>8</v>
      </c>
      <c r="K19" s="386"/>
      <c r="L19" s="386"/>
      <c r="M19" s="386"/>
      <c r="N19" s="386"/>
      <c r="O19" s="386"/>
    </row>
    <row r="20" spans="2:15">
      <c r="B20" s="386"/>
      <c r="C20" s="386"/>
      <c r="D20" s="386"/>
      <c r="E20" s="386"/>
      <c r="F20" s="386"/>
      <c r="G20" s="386"/>
      <c r="H20" s="386"/>
      <c r="I20" s="386"/>
      <c r="J20" s="386"/>
      <c r="K20" s="386"/>
      <c r="L20" s="386"/>
      <c r="M20" s="386"/>
      <c r="N20" s="386"/>
      <c r="O20" s="386"/>
    </row>
    <row r="21" spans="2:15">
      <c r="B21" s="386"/>
      <c r="C21" s="386"/>
      <c r="D21" s="386"/>
      <c r="E21" s="386"/>
      <c r="F21" s="386"/>
      <c r="G21" s="386"/>
      <c r="H21" s="386"/>
      <c r="I21" s="386"/>
      <c r="J21" s="386"/>
      <c r="K21" s="386"/>
      <c r="L21" s="386"/>
      <c r="M21" s="386"/>
      <c r="N21" s="386"/>
      <c r="O21" s="386"/>
    </row>
    <row r="22" spans="2:15">
      <c r="B22" s="386"/>
      <c r="C22" s="386"/>
      <c r="D22" s="386"/>
      <c r="E22" s="386"/>
      <c r="F22" s="386"/>
      <c r="G22" s="386"/>
      <c r="H22" s="386"/>
      <c r="I22" s="386"/>
      <c r="J22" s="386"/>
      <c r="K22" s="386"/>
      <c r="L22" s="386"/>
      <c r="M22" s="386"/>
      <c r="N22" s="386"/>
      <c r="O22" s="386"/>
    </row>
    <row r="23" spans="2:15">
      <c r="B23" s="386"/>
      <c r="C23" s="386"/>
      <c r="D23" s="386"/>
      <c r="E23" s="386"/>
      <c r="F23" s="386"/>
      <c r="G23" s="386"/>
      <c r="H23" s="386"/>
      <c r="I23" s="386"/>
      <c r="J23" s="386"/>
      <c r="K23" s="386"/>
      <c r="L23" s="386"/>
      <c r="M23" s="386"/>
      <c r="N23" s="386"/>
      <c r="O23" s="386"/>
    </row>
    <row r="24" spans="2:15">
      <c r="B24" s="386"/>
      <c r="C24" s="386"/>
      <c r="D24" s="386"/>
      <c r="E24" s="386"/>
      <c r="F24" s="386"/>
      <c r="G24" s="386"/>
      <c r="H24" s="386"/>
      <c r="I24" s="386"/>
      <c r="J24" s="386"/>
      <c r="K24" s="386"/>
      <c r="L24" s="386"/>
      <c r="M24" s="386"/>
      <c r="N24" s="386"/>
      <c r="O24" s="386"/>
    </row>
    <row r="25" spans="2:15">
      <c r="B25" s="386"/>
      <c r="C25" s="386"/>
      <c r="D25" s="386"/>
      <c r="E25" s="386"/>
      <c r="F25" s="386"/>
      <c r="G25" s="386"/>
      <c r="H25" s="386"/>
      <c r="I25" s="386"/>
      <c r="J25" s="386"/>
      <c r="K25" s="386"/>
      <c r="L25" s="386"/>
      <c r="M25" s="386"/>
      <c r="N25" s="386"/>
      <c r="O25" s="386"/>
    </row>
    <row r="26" spans="2:15">
      <c r="B26" s="386"/>
      <c r="C26" s="386"/>
      <c r="D26" s="386"/>
      <c r="E26" s="386"/>
      <c r="F26" s="386"/>
      <c r="G26" s="386"/>
      <c r="H26" s="386"/>
      <c r="I26" s="386"/>
      <c r="J26" s="386"/>
      <c r="K26" s="386"/>
      <c r="L26" s="386"/>
      <c r="M26" s="386"/>
      <c r="N26" s="386"/>
      <c r="O26" s="386"/>
    </row>
    <row r="27" spans="2:15">
      <c r="B27" s="386"/>
      <c r="C27" s="386"/>
      <c r="D27" s="386"/>
      <c r="E27" s="386"/>
      <c r="F27" s="386"/>
      <c r="G27" s="386"/>
      <c r="H27" s="386"/>
      <c r="I27" s="386"/>
      <c r="J27" s="386"/>
      <c r="K27" s="386"/>
      <c r="L27" s="386"/>
      <c r="M27" s="386"/>
      <c r="N27" s="386"/>
      <c r="O27" s="386"/>
    </row>
    <row r="28" spans="2:15">
      <c r="B28" s="386"/>
      <c r="C28" s="386"/>
      <c r="D28" s="386"/>
      <c r="E28" s="386"/>
      <c r="F28" s="386"/>
      <c r="G28" s="386"/>
      <c r="H28" s="386"/>
      <c r="I28" s="386"/>
      <c r="J28" s="386"/>
      <c r="K28" s="386"/>
      <c r="L28" s="386"/>
      <c r="M28" s="386"/>
      <c r="N28" s="386"/>
      <c r="O28" s="386"/>
    </row>
    <row r="29" spans="2:15">
      <c r="B29" s="386"/>
      <c r="C29" s="386"/>
      <c r="D29" s="386"/>
      <c r="E29" s="386"/>
      <c r="F29" s="386"/>
      <c r="G29" s="386"/>
      <c r="H29" s="386"/>
      <c r="I29" s="386"/>
      <c r="J29" s="386"/>
      <c r="K29" s="386"/>
      <c r="L29" s="386"/>
      <c r="M29" s="386"/>
      <c r="N29" s="386"/>
      <c r="O29" s="386"/>
    </row>
    <row r="30" spans="2:15">
      <c r="B30" s="386"/>
      <c r="C30" s="386"/>
      <c r="D30" s="386"/>
      <c r="E30" s="386"/>
      <c r="F30" s="386"/>
      <c r="G30" s="386"/>
      <c r="H30" s="386"/>
      <c r="I30" s="386"/>
      <c r="J30" s="386"/>
      <c r="K30" s="386"/>
      <c r="L30" s="386"/>
      <c r="M30" s="386"/>
      <c r="N30" s="386"/>
      <c r="O30" s="386"/>
    </row>
    <row r="31" spans="2:15">
      <c r="B31" s="386"/>
      <c r="C31" s="386"/>
      <c r="D31" s="386"/>
      <c r="E31" s="386"/>
      <c r="F31" s="386"/>
      <c r="G31" s="386"/>
      <c r="H31" s="386"/>
      <c r="I31" s="386"/>
      <c r="J31" s="386"/>
      <c r="K31" s="386"/>
      <c r="L31" s="386"/>
      <c r="M31" s="386"/>
      <c r="N31" s="386"/>
      <c r="O31" s="386"/>
    </row>
    <row r="32" spans="2:15">
      <c r="B32" s="386"/>
      <c r="C32" s="386"/>
      <c r="D32" s="386"/>
      <c r="E32" s="386"/>
      <c r="F32" s="386"/>
      <c r="G32" s="386"/>
      <c r="H32" s="386"/>
      <c r="I32" s="386"/>
      <c r="J32" s="386"/>
      <c r="K32" s="386"/>
      <c r="L32" s="386"/>
      <c r="M32" s="386"/>
      <c r="N32" s="386"/>
      <c r="O32" s="386"/>
    </row>
    <row r="33" spans="2:15">
      <c r="B33" s="386"/>
      <c r="C33" s="386"/>
      <c r="D33" s="386"/>
      <c r="E33" s="386"/>
      <c r="F33" s="386"/>
      <c r="G33" s="386"/>
      <c r="H33" s="386"/>
      <c r="I33" s="386"/>
      <c r="J33" s="386"/>
      <c r="K33" s="386"/>
      <c r="L33" s="386"/>
      <c r="M33" s="386"/>
      <c r="N33" s="386"/>
      <c r="O33" s="386"/>
    </row>
    <row r="34" spans="2:15">
      <c r="B34" s="386"/>
      <c r="C34" s="386"/>
      <c r="D34" s="386"/>
      <c r="E34" s="386"/>
      <c r="F34" s="386"/>
      <c r="G34" s="386"/>
      <c r="H34" s="386"/>
      <c r="I34" s="386"/>
      <c r="J34" s="386"/>
      <c r="K34" s="386"/>
      <c r="L34" s="386"/>
      <c r="M34" s="386"/>
      <c r="N34" s="386"/>
      <c r="O34" s="386"/>
    </row>
    <row r="35" spans="2:15">
      <c r="B35" s="386"/>
      <c r="C35" s="386"/>
      <c r="D35" s="386"/>
      <c r="E35" s="386"/>
      <c r="F35" s="386"/>
      <c r="G35" s="386"/>
      <c r="H35" s="386"/>
      <c r="I35" s="386"/>
      <c r="J35" s="386"/>
      <c r="K35" s="386"/>
      <c r="L35" s="386"/>
      <c r="M35" s="386"/>
      <c r="N35" s="386"/>
      <c r="O35" s="386"/>
    </row>
    <row r="36" spans="2:15">
      <c r="B36" s="386"/>
      <c r="C36" s="386"/>
      <c r="D36" s="386"/>
      <c r="E36" s="386"/>
      <c r="F36" s="386"/>
      <c r="G36" s="386"/>
      <c r="H36" s="386"/>
      <c r="I36" s="386"/>
      <c r="J36" s="386"/>
      <c r="K36" s="386"/>
      <c r="L36" s="386"/>
      <c r="M36" s="386"/>
      <c r="N36" s="386"/>
      <c r="O36" s="386"/>
    </row>
    <row r="37" spans="2:15">
      <c r="B37" s="386"/>
      <c r="C37" s="386"/>
      <c r="D37" s="386"/>
      <c r="E37" s="386"/>
      <c r="F37" s="386"/>
      <c r="G37" s="386"/>
      <c r="H37" s="386"/>
      <c r="I37" s="386"/>
      <c r="J37" s="386"/>
      <c r="K37" s="386"/>
      <c r="L37" s="386"/>
      <c r="M37" s="386"/>
      <c r="N37" s="386"/>
      <c r="O37" s="386"/>
    </row>
    <row r="38" spans="2:15">
      <c r="B38" s="386"/>
      <c r="C38" s="386"/>
      <c r="D38" s="386"/>
      <c r="E38" s="386"/>
      <c r="F38" s="386"/>
      <c r="G38" s="386"/>
      <c r="H38" s="386"/>
      <c r="I38" s="386"/>
      <c r="J38" s="386"/>
      <c r="K38" s="386"/>
      <c r="L38" s="386"/>
      <c r="M38" s="386"/>
      <c r="N38" s="386"/>
      <c r="O38" s="386"/>
    </row>
    <row r="39" spans="2:15">
      <c r="B39" s="386"/>
      <c r="C39" s="386"/>
      <c r="D39" s="386"/>
      <c r="E39" s="386"/>
      <c r="F39" s="386"/>
      <c r="G39" s="386"/>
      <c r="H39" s="386"/>
      <c r="I39" s="386"/>
      <c r="J39" s="386"/>
      <c r="K39" s="386"/>
      <c r="L39" s="386"/>
      <c r="M39" s="386"/>
      <c r="N39" s="386"/>
      <c r="O39" s="386"/>
    </row>
    <row r="40" spans="2:15">
      <c r="B40" s="386"/>
      <c r="C40" s="386"/>
      <c r="D40" s="386"/>
      <c r="E40" s="386"/>
      <c r="F40" s="386"/>
      <c r="G40" s="386"/>
      <c r="H40" s="386"/>
      <c r="I40" s="386"/>
      <c r="J40" s="386"/>
      <c r="K40" s="386"/>
      <c r="L40" s="386"/>
      <c r="M40" s="386"/>
      <c r="N40" s="386"/>
      <c r="O40" s="386"/>
    </row>
    <row r="41" spans="2:15">
      <c r="B41" s="386"/>
      <c r="C41" s="386"/>
      <c r="D41" s="386"/>
      <c r="E41" s="386"/>
      <c r="F41" s="386"/>
      <c r="G41" s="386"/>
      <c r="H41" s="386"/>
      <c r="I41" s="386"/>
      <c r="J41" s="386"/>
      <c r="K41" s="386"/>
      <c r="L41" s="386"/>
      <c r="M41" s="386"/>
      <c r="N41" s="386"/>
      <c r="O41" s="386"/>
    </row>
    <row r="42" spans="2:15">
      <c r="B42" s="386"/>
      <c r="C42" s="386"/>
      <c r="D42" s="386"/>
      <c r="E42" s="386"/>
      <c r="F42" s="386"/>
      <c r="G42" s="386"/>
      <c r="H42" s="386"/>
      <c r="I42" s="386"/>
      <c r="J42" s="386"/>
      <c r="K42" s="386"/>
      <c r="L42" s="386"/>
      <c r="M42" s="386"/>
      <c r="N42" s="386"/>
      <c r="O42" s="386"/>
    </row>
    <row r="43" spans="2:15">
      <c r="B43" s="386"/>
      <c r="C43" s="386"/>
      <c r="D43" s="386"/>
      <c r="E43" s="386"/>
      <c r="F43" s="386"/>
      <c r="G43" s="386"/>
      <c r="H43" s="386"/>
      <c r="I43" s="386"/>
      <c r="J43" s="386"/>
      <c r="K43" s="386"/>
      <c r="L43" s="386"/>
      <c r="M43" s="386"/>
      <c r="N43" s="386"/>
      <c r="O43" s="386"/>
    </row>
    <row r="44" spans="2:15">
      <c r="B44" s="386"/>
      <c r="C44" s="386"/>
      <c r="D44" s="386"/>
      <c r="E44" s="386"/>
      <c r="F44" s="386"/>
      <c r="G44" s="386"/>
      <c r="H44" s="386"/>
      <c r="I44" s="386"/>
      <c r="J44" s="386"/>
      <c r="K44" s="386"/>
      <c r="L44" s="386"/>
      <c r="M44" s="386"/>
      <c r="N44" s="386"/>
      <c r="O44" s="386"/>
    </row>
    <row r="45" spans="2:15">
      <c r="B45" s="386"/>
      <c r="C45" s="386"/>
      <c r="D45" s="386"/>
      <c r="E45" s="386"/>
      <c r="F45" s="386"/>
      <c r="G45" s="386"/>
      <c r="H45" s="386"/>
      <c r="I45" s="386"/>
      <c r="J45" s="386"/>
      <c r="K45" s="386"/>
      <c r="L45" s="386"/>
      <c r="M45" s="386"/>
      <c r="N45" s="386"/>
      <c r="O45" s="386"/>
    </row>
    <row r="46" spans="2:15">
      <c r="B46" s="386"/>
      <c r="C46" s="386"/>
      <c r="D46" s="386"/>
      <c r="E46" s="386"/>
      <c r="F46" s="386"/>
      <c r="G46" s="386"/>
      <c r="H46" s="386"/>
      <c r="I46" s="386"/>
      <c r="J46" s="386"/>
      <c r="K46" s="386"/>
      <c r="L46" s="386"/>
      <c r="M46" s="386"/>
      <c r="N46" s="386"/>
      <c r="O46" s="386"/>
    </row>
    <row r="47" spans="2:15">
      <c r="B47" s="386"/>
      <c r="C47" s="386"/>
      <c r="D47" s="386"/>
      <c r="E47" s="386"/>
      <c r="F47" s="386"/>
      <c r="G47" s="386"/>
      <c r="H47" s="386"/>
      <c r="I47" s="386"/>
      <c r="J47" s="386"/>
      <c r="K47" s="386"/>
      <c r="L47" s="386"/>
      <c r="M47" s="386"/>
      <c r="N47" s="386"/>
      <c r="O47" s="386"/>
    </row>
    <row r="48" spans="2:15">
      <c r="B48" s="386"/>
      <c r="C48" s="386"/>
      <c r="D48" s="386"/>
      <c r="E48" s="386"/>
      <c r="F48" s="386"/>
      <c r="G48" s="386"/>
      <c r="H48" s="386"/>
      <c r="I48" s="386"/>
      <c r="J48" s="386"/>
      <c r="K48" s="386"/>
      <c r="L48" s="386"/>
      <c r="M48" s="386"/>
      <c r="N48" s="386"/>
      <c r="O48" s="386"/>
    </row>
    <row r="49" spans="2:15">
      <c r="B49" s="386"/>
      <c r="C49" s="386"/>
      <c r="D49" s="386"/>
      <c r="E49" s="386"/>
      <c r="F49" s="386"/>
      <c r="G49" s="386"/>
      <c r="H49" s="386"/>
      <c r="I49" s="386"/>
      <c r="J49" s="386"/>
      <c r="K49" s="386"/>
      <c r="L49" s="386"/>
      <c r="M49" s="386"/>
      <c r="N49" s="386"/>
      <c r="O49" s="386"/>
    </row>
    <row r="50" spans="2:15">
      <c r="B50" s="386"/>
      <c r="C50" s="386"/>
      <c r="D50" s="386"/>
      <c r="E50" s="386"/>
      <c r="F50" s="386"/>
      <c r="G50" s="386"/>
      <c r="H50" s="386"/>
      <c r="I50" s="386"/>
      <c r="J50" s="386"/>
      <c r="K50" s="386"/>
      <c r="L50" s="386"/>
      <c r="M50" s="386"/>
      <c r="N50" s="386"/>
      <c r="O50" s="386"/>
    </row>
    <row r="51" spans="2:15">
      <c r="B51" s="386"/>
      <c r="C51" s="386"/>
      <c r="D51" s="386"/>
      <c r="E51" s="386"/>
      <c r="F51" s="386"/>
      <c r="G51" s="386"/>
      <c r="H51" s="386"/>
      <c r="I51" s="386"/>
      <c r="J51" s="386"/>
      <c r="K51" s="386"/>
      <c r="L51" s="386"/>
      <c r="M51" s="386"/>
      <c r="N51" s="386"/>
      <c r="O51" s="386"/>
    </row>
    <row r="52" spans="2:15">
      <c r="B52" s="386"/>
      <c r="C52" s="386"/>
      <c r="D52" s="386"/>
      <c r="E52" s="386"/>
      <c r="F52" s="386"/>
      <c r="G52" s="386"/>
      <c r="H52" s="386"/>
      <c r="I52" s="386"/>
      <c r="J52" s="386"/>
      <c r="K52" s="386"/>
      <c r="L52" s="386"/>
      <c r="M52" s="386"/>
      <c r="N52" s="386"/>
      <c r="O52" s="386"/>
    </row>
    <row r="53" spans="2:15">
      <c r="B53" s="386"/>
      <c r="C53" s="386"/>
      <c r="D53" s="386"/>
      <c r="E53" s="386"/>
      <c r="F53" s="386"/>
      <c r="G53" s="386"/>
      <c r="H53" s="386"/>
      <c r="I53" s="386"/>
      <c r="J53" s="386"/>
      <c r="K53" s="386"/>
      <c r="L53" s="386"/>
      <c r="M53" s="386"/>
      <c r="N53" s="386"/>
      <c r="O53" s="386"/>
    </row>
    <row r="54" spans="2:15">
      <c r="B54" s="386"/>
      <c r="C54" s="386"/>
      <c r="D54" s="386"/>
      <c r="E54" s="386"/>
      <c r="F54" s="386"/>
      <c r="G54" s="386"/>
      <c r="H54" s="386"/>
      <c r="I54" s="386"/>
      <c r="J54" s="386"/>
      <c r="K54" s="386"/>
      <c r="L54" s="386"/>
      <c r="M54" s="386"/>
      <c r="N54" s="386"/>
      <c r="O54" s="386"/>
    </row>
    <row r="55" spans="2:15">
      <c r="B55" s="386"/>
      <c r="C55" s="386"/>
      <c r="D55" s="386"/>
      <c r="E55" s="386"/>
      <c r="F55" s="386"/>
      <c r="G55" s="386"/>
      <c r="H55" s="386"/>
      <c r="I55" s="386"/>
      <c r="J55" s="386"/>
      <c r="K55" s="386"/>
      <c r="L55" s="386"/>
      <c r="M55" s="386"/>
      <c r="N55" s="386"/>
      <c r="O55" s="386"/>
    </row>
    <row r="56" spans="2:15">
      <c r="B56" s="386"/>
      <c r="C56" s="386"/>
      <c r="D56" s="386"/>
      <c r="E56" s="386"/>
      <c r="F56" s="386"/>
      <c r="G56" s="386"/>
      <c r="H56" s="386"/>
      <c r="I56" s="386"/>
      <c r="J56" s="386"/>
      <c r="K56" s="386"/>
      <c r="L56" s="386"/>
      <c r="M56" s="386"/>
      <c r="N56" s="386"/>
      <c r="O56" s="386"/>
    </row>
    <row r="57" spans="2:15">
      <c r="B57" s="386"/>
      <c r="C57" s="386"/>
      <c r="D57" s="386"/>
      <c r="E57" s="386"/>
      <c r="F57" s="386"/>
      <c r="G57" s="386"/>
      <c r="H57" s="386"/>
      <c r="I57" s="386"/>
      <c r="J57" s="386"/>
      <c r="K57" s="386"/>
      <c r="L57" s="386"/>
      <c r="M57" s="386"/>
      <c r="N57" s="386"/>
      <c r="O57" s="386"/>
    </row>
    <row r="58" spans="2:15">
      <c r="B58" s="386"/>
      <c r="C58" s="386"/>
      <c r="D58" s="386"/>
      <c r="E58" s="386"/>
      <c r="F58" s="386"/>
      <c r="G58" s="386"/>
      <c r="H58" s="386"/>
      <c r="I58" s="386"/>
      <c r="J58" s="386"/>
      <c r="K58" s="386"/>
      <c r="L58" s="386"/>
      <c r="M58" s="386"/>
      <c r="N58" s="386"/>
      <c r="O58" s="386"/>
    </row>
    <row r="59" spans="2:15">
      <c r="B59" s="386"/>
      <c r="C59" s="386"/>
      <c r="D59" s="386"/>
      <c r="E59" s="386"/>
      <c r="F59" s="386"/>
      <c r="G59" s="386"/>
      <c r="H59" s="386"/>
      <c r="I59" s="386"/>
      <c r="J59" s="386"/>
      <c r="K59" s="386"/>
      <c r="L59" s="386"/>
      <c r="M59" s="386"/>
      <c r="N59" s="386"/>
      <c r="O59" s="386"/>
    </row>
    <row r="60" spans="2:15">
      <c r="B60" s="386"/>
      <c r="C60" s="386"/>
      <c r="D60" s="386"/>
      <c r="E60" s="386"/>
      <c r="F60" s="386"/>
      <c r="G60" s="386"/>
      <c r="H60" s="386"/>
      <c r="I60" s="386"/>
      <c r="J60" s="386"/>
      <c r="K60" s="386"/>
      <c r="L60" s="386"/>
      <c r="M60" s="386"/>
      <c r="N60" s="386"/>
      <c r="O60" s="386"/>
    </row>
    <row r="61" spans="2:15">
      <c r="B61" s="386"/>
      <c r="C61" s="386"/>
      <c r="D61" s="386"/>
      <c r="E61" s="386"/>
      <c r="F61" s="386"/>
      <c r="G61" s="386"/>
      <c r="H61" s="386"/>
      <c r="I61" s="386"/>
      <c r="J61" s="386"/>
      <c r="K61" s="386"/>
      <c r="L61" s="386"/>
      <c r="M61" s="386"/>
      <c r="N61" s="386"/>
      <c r="O61" s="386"/>
    </row>
    <row r="62" spans="2:15">
      <c r="B62" s="386"/>
      <c r="C62" s="386"/>
      <c r="D62" s="386"/>
      <c r="E62" s="386"/>
      <c r="F62" s="386"/>
      <c r="G62" s="386"/>
      <c r="H62" s="386"/>
      <c r="I62" s="386"/>
      <c r="J62" s="386"/>
      <c r="K62" s="386"/>
      <c r="L62" s="386"/>
      <c r="M62" s="386"/>
      <c r="N62" s="386"/>
      <c r="O62" s="386"/>
    </row>
    <row r="63" spans="2:15">
      <c r="B63" s="386"/>
      <c r="C63" s="386"/>
      <c r="D63" s="386"/>
      <c r="E63" s="386"/>
      <c r="F63" s="386"/>
      <c r="G63" s="386"/>
      <c r="H63" s="386"/>
      <c r="I63" s="386"/>
      <c r="J63" s="386"/>
      <c r="K63" s="386"/>
      <c r="L63" s="386"/>
      <c r="M63" s="386"/>
      <c r="N63" s="386"/>
      <c r="O63" s="386"/>
    </row>
    <row r="64" spans="2:15">
      <c r="B64" s="386"/>
      <c r="C64" s="386"/>
      <c r="D64" s="386"/>
      <c r="E64" s="386"/>
      <c r="F64" s="386"/>
      <c r="G64" s="386"/>
      <c r="H64" s="386"/>
      <c r="I64" s="386"/>
      <c r="J64" s="386"/>
      <c r="K64" s="386"/>
      <c r="L64" s="386"/>
      <c r="M64" s="386"/>
      <c r="N64" s="386"/>
      <c r="O64" s="386"/>
    </row>
    <row r="65" spans="2:15">
      <c r="B65" s="386"/>
      <c r="C65" s="386"/>
      <c r="D65" s="386"/>
      <c r="E65" s="386"/>
      <c r="F65" s="386"/>
      <c r="G65" s="386"/>
      <c r="H65" s="386"/>
      <c r="I65" s="386"/>
      <c r="J65" s="386"/>
      <c r="K65" s="386"/>
      <c r="L65" s="386"/>
      <c r="M65" s="386"/>
      <c r="N65" s="386"/>
      <c r="O65" s="38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8"/>
  <sheetViews>
    <sheetView showGridLines="0" view="pageBreakPreview" zoomScale="190" zoomScaleNormal="100" zoomScaleSheetLayoutView="190" zoomScalePageLayoutView="160" workbookViewId="0">
      <selection activeCell="D4" sqref="D4"/>
    </sheetView>
  </sheetViews>
  <sheetFormatPr defaultColWidth="9.33203125"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1" width="9.33203125" style="95"/>
    <col min="12" max="12" width="18.6640625" style="95" bestFit="1" customWidth="1"/>
    <col min="13" max="16384" width="9.33203125" style="95"/>
  </cols>
  <sheetData>
    <row r="2" spans="1:12" ht="16.5" customHeight="1">
      <c r="A2" s="910" t="s">
        <v>458</v>
      </c>
      <c r="B2" s="910"/>
      <c r="C2" s="910"/>
      <c r="D2" s="910"/>
      <c r="E2" s="910"/>
      <c r="F2" s="910"/>
      <c r="G2" s="910"/>
      <c r="H2" s="910"/>
      <c r="I2" s="910"/>
      <c r="J2" s="910"/>
      <c r="K2" s="822"/>
    </row>
    <row r="3" spans="1:12" ht="7.5" customHeight="1">
      <c r="A3" s="158"/>
      <c r="B3" s="250"/>
      <c r="C3" s="269"/>
      <c r="D3" s="270"/>
      <c r="E3" s="270"/>
      <c r="F3" s="271"/>
      <c r="G3" s="272"/>
      <c r="H3" s="272"/>
      <c r="I3" s="205"/>
      <c r="J3" s="271"/>
    </row>
    <row r="4" spans="1:12" ht="11.25" customHeight="1">
      <c r="A4" s="223" t="s">
        <v>229</v>
      </c>
      <c r="B4" s="250"/>
      <c r="C4" s="269"/>
      <c r="D4" s="270"/>
      <c r="E4" s="270"/>
      <c r="F4" s="271"/>
      <c r="G4" s="272"/>
      <c r="H4" s="272"/>
      <c r="I4" s="205"/>
      <c r="J4" s="271"/>
      <c r="K4" s="467"/>
    </row>
    <row r="5" spans="1:12" ht="6.75" customHeight="1">
      <c r="A5" s="158"/>
      <c r="B5" s="250"/>
      <c r="C5" s="269"/>
      <c r="D5" s="270"/>
      <c r="E5" s="270"/>
      <c r="F5" s="271"/>
      <c r="G5" s="272"/>
      <c r="H5" s="272"/>
      <c r="I5" s="205"/>
      <c r="J5" s="271"/>
      <c r="K5" s="467"/>
    </row>
    <row r="6" spans="1:12" ht="20.25" customHeight="1">
      <c r="A6" s="708" t="s">
        <v>223</v>
      </c>
      <c r="B6" s="709" t="s">
        <v>224</v>
      </c>
      <c r="C6" s="709" t="s">
        <v>225</v>
      </c>
      <c r="D6" s="709" t="s">
        <v>226</v>
      </c>
      <c r="E6" s="709" t="s">
        <v>227</v>
      </c>
      <c r="F6" s="710" t="s">
        <v>228</v>
      </c>
      <c r="G6" s="711" t="s">
        <v>237</v>
      </c>
      <c r="H6" s="710" t="s">
        <v>241</v>
      </c>
      <c r="I6" s="711" t="s">
        <v>530</v>
      </c>
      <c r="J6" s="712" t="s">
        <v>238</v>
      </c>
      <c r="K6" s="823"/>
    </row>
    <row r="7" spans="1:12" s="273" customFormat="1" ht="18" customHeight="1">
      <c r="A7" s="679" t="s">
        <v>230</v>
      </c>
      <c r="B7" s="680" t="s">
        <v>30</v>
      </c>
      <c r="C7" s="680" t="s">
        <v>30</v>
      </c>
      <c r="D7" s="680" t="s">
        <v>236</v>
      </c>
      <c r="E7" s="680" t="s">
        <v>231</v>
      </c>
      <c r="F7" s="681" t="s">
        <v>242</v>
      </c>
      <c r="G7" s="682">
        <v>33</v>
      </c>
      <c r="H7" s="683">
        <v>144.48400000000001</v>
      </c>
      <c r="I7" s="684" t="s">
        <v>751</v>
      </c>
      <c r="J7" s="685" t="s">
        <v>232</v>
      </c>
      <c r="K7" s="824"/>
      <c r="L7" s="273">
        <v>144.47999999999999</v>
      </c>
    </row>
    <row r="8" spans="1:12" s="273" customFormat="1" ht="18" customHeight="1">
      <c r="A8" s="686" t="s">
        <v>509</v>
      </c>
      <c r="B8" s="687" t="s">
        <v>37</v>
      </c>
      <c r="C8" s="687" t="s">
        <v>46</v>
      </c>
      <c r="D8" s="687" t="s">
        <v>518</v>
      </c>
      <c r="E8" s="687" t="s">
        <v>512</v>
      </c>
      <c r="F8" s="688" t="s">
        <v>517</v>
      </c>
      <c r="G8" s="689">
        <v>13.8</v>
      </c>
      <c r="H8" s="690">
        <v>20</v>
      </c>
      <c r="I8" s="690">
        <v>20</v>
      </c>
      <c r="J8" s="691" t="s">
        <v>516</v>
      </c>
      <c r="K8" s="824"/>
      <c r="L8" s="273">
        <v>20</v>
      </c>
    </row>
    <row r="9" spans="1:12" s="273" customFormat="1" ht="18" customHeight="1">
      <c r="A9" s="679" t="s">
        <v>104</v>
      </c>
      <c r="B9" s="680" t="s">
        <v>38</v>
      </c>
      <c r="C9" s="680" t="s">
        <v>25</v>
      </c>
      <c r="D9" s="680" t="s">
        <v>527</v>
      </c>
      <c r="E9" s="680" t="s">
        <v>503</v>
      </c>
      <c r="F9" s="681" t="s">
        <v>527</v>
      </c>
      <c r="G9" s="682">
        <v>13.8</v>
      </c>
      <c r="H9" s="683" t="s">
        <v>752</v>
      </c>
      <c r="I9" s="683" t="s">
        <v>753</v>
      </c>
      <c r="J9" s="685" t="s">
        <v>502</v>
      </c>
      <c r="K9" s="824"/>
      <c r="L9" s="825">
        <v>103.95113000000001</v>
      </c>
    </row>
    <row r="10" spans="1:12" s="273" customFormat="1" ht="18" customHeight="1">
      <c r="A10" s="686" t="s">
        <v>91</v>
      </c>
      <c r="B10" s="687" t="s">
        <v>30</v>
      </c>
      <c r="C10" s="687" t="s">
        <v>30</v>
      </c>
      <c r="D10" s="687" t="s">
        <v>236</v>
      </c>
      <c r="E10" s="687" t="s">
        <v>513</v>
      </c>
      <c r="F10" s="688" t="s">
        <v>514</v>
      </c>
      <c r="G10" s="689">
        <v>22.9</v>
      </c>
      <c r="H10" s="690">
        <v>44.54</v>
      </c>
      <c r="I10" s="690" t="s">
        <v>754</v>
      </c>
      <c r="J10" s="691" t="s">
        <v>515</v>
      </c>
      <c r="K10" s="824"/>
      <c r="L10" s="273">
        <v>44.54</v>
      </c>
    </row>
    <row r="11" spans="1:12" s="273" customFormat="1" ht="18" customHeight="1">
      <c r="A11" s="679" t="s">
        <v>230</v>
      </c>
      <c r="B11" s="680" t="s">
        <v>535</v>
      </c>
      <c r="C11" s="680" t="s">
        <v>575</v>
      </c>
      <c r="D11" s="680" t="s">
        <v>536</v>
      </c>
      <c r="E11" s="680" t="s">
        <v>537</v>
      </c>
      <c r="F11" s="681" t="s">
        <v>538</v>
      </c>
      <c r="G11" s="682">
        <v>12</v>
      </c>
      <c r="H11" s="683">
        <v>132.30000000000001</v>
      </c>
      <c r="I11" s="683" t="s">
        <v>755</v>
      </c>
      <c r="J11" s="685" t="s">
        <v>539</v>
      </c>
      <c r="K11" s="824"/>
      <c r="L11" s="273">
        <v>132.30000000000001</v>
      </c>
    </row>
    <row r="12" spans="1:12" s="273" customFormat="1" ht="18" customHeight="1">
      <c r="A12" s="686" t="s">
        <v>560</v>
      </c>
      <c r="B12" s="687" t="s">
        <v>38</v>
      </c>
      <c r="C12" s="687" t="s">
        <v>51</v>
      </c>
      <c r="D12" s="687" t="s">
        <v>576</v>
      </c>
      <c r="E12" s="687" t="s">
        <v>577</v>
      </c>
      <c r="F12" s="688" t="s">
        <v>583</v>
      </c>
      <c r="G12" s="689">
        <v>0.48</v>
      </c>
      <c r="H12" s="690">
        <v>2.4</v>
      </c>
      <c r="I12" s="690">
        <v>2.4</v>
      </c>
      <c r="J12" s="691" t="s">
        <v>584</v>
      </c>
      <c r="K12" s="824"/>
      <c r="L12" s="273">
        <v>2.4</v>
      </c>
    </row>
    <row r="13" spans="1:12" s="273" customFormat="1" ht="24.75" customHeight="1">
      <c r="A13" s="679" t="s">
        <v>574</v>
      </c>
      <c r="B13" s="680" t="s">
        <v>37</v>
      </c>
      <c r="C13" s="680" t="s">
        <v>46</v>
      </c>
      <c r="D13" s="680" t="s">
        <v>588</v>
      </c>
      <c r="E13" s="680" t="s">
        <v>578</v>
      </c>
      <c r="F13" s="681" t="s">
        <v>582</v>
      </c>
      <c r="G13" s="682">
        <v>0.4</v>
      </c>
      <c r="H13" s="683">
        <v>0.7</v>
      </c>
      <c r="I13" s="683">
        <v>0.7</v>
      </c>
      <c r="J13" s="685" t="s">
        <v>585</v>
      </c>
      <c r="K13" s="824"/>
      <c r="L13" s="273">
        <v>0.7</v>
      </c>
    </row>
    <row r="14" spans="1:12" s="273" customFormat="1" ht="14.25" customHeight="1">
      <c r="A14" s="686" t="s">
        <v>112</v>
      </c>
      <c r="B14" s="687" t="s">
        <v>37</v>
      </c>
      <c r="C14" s="687" t="s">
        <v>46</v>
      </c>
      <c r="D14" s="687" t="s">
        <v>518</v>
      </c>
      <c r="E14" s="687" t="s">
        <v>579</v>
      </c>
      <c r="F14" s="688" t="s">
        <v>583</v>
      </c>
      <c r="G14" s="689">
        <v>6.6</v>
      </c>
      <c r="H14" s="690">
        <v>20.815999999999999</v>
      </c>
      <c r="I14" s="690">
        <v>20.16</v>
      </c>
      <c r="J14" s="691" t="s">
        <v>585</v>
      </c>
      <c r="K14" s="824"/>
      <c r="L14" s="273">
        <v>20.16</v>
      </c>
    </row>
    <row r="15" spans="1:12" s="273" customFormat="1" ht="14.25" customHeight="1">
      <c r="A15" s="679" t="s">
        <v>112</v>
      </c>
      <c r="B15" s="680" t="s">
        <v>37</v>
      </c>
      <c r="C15" s="680" t="s">
        <v>46</v>
      </c>
      <c r="D15" s="680" t="s">
        <v>518</v>
      </c>
      <c r="E15" s="680" t="s">
        <v>580</v>
      </c>
      <c r="F15" s="681" t="s">
        <v>583</v>
      </c>
      <c r="G15" s="682">
        <v>6.6</v>
      </c>
      <c r="H15" s="683">
        <v>20.815999999999999</v>
      </c>
      <c r="I15" s="683">
        <v>20.16</v>
      </c>
      <c r="J15" s="685" t="s">
        <v>585</v>
      </c>
      <c r="K15" s="824"/>
      <c r="L15" s="273">
        <v>20.16</v>
      </c>
    </row>
    <row r="16" spans="1:12" s="273" customFormat="1" ht="14.25" customHeight="1">
      <c r="A16" s="686" t="s">
        <v>112</v>
      </c>
      <c r="B16" s="687" t="s">
        <v>37</v>
      </c>
      <c r="C16" s="687" t="s">
        <v>46</v>
      </c>
      <c r="D16" s="687" t="s">
        <v>518</v>
      </c>
      <c r="E16" s="687" t="s">
        <v>581</v>
      </c>
      <c r="F16" s="688" t="s">
        <v>583</v>
      </c>
      <c r="G16" s="689">
        <v>6.6</v>
      </c>
      <c r="H16" s="690">
        <v>20.815999999999999</v>
      </c>
      <c r="I16" s="690">
        <v>20.16</v>
      </c>
      <c r="J16" s="691" t="s">
        <v>585</v>
      </c>
      <c r="K16" s="824"/>
      <c r="L16" s="273">
        <v>20.16</v>
      </c>
    </row>
    <row r="17" spans="1:13" s="273" customFormat="1" ht="14.25" customHeight="1">
      <c r="A17" s="679" t="s">
        <v>596</v>
      </c>
      <c r="B17" s="680" t="s">
        <v>37</v>
      </c>
      <c r="C17" s="680" t="s">
        <v>46</v>
      </c>
      <c r="D17" s="680" t="s">
        <v>614</v>
      </c>
      <c r="E17" s="680" t="s">
        <v>615</v>
      </c>
      <c r="F17" s="681" t="s">
        <v>583</v>
      </c>
      <c r="G17" s="682">
        <v>6.6</v>
      </c>
      <c r="H17" s="683">
        <v>20</v>
      </c>
      <c r="I17" s="683">
        <v>20</v>
      </c>
      <c r="J17" s="685" t="s">
        <v>756</v>
      </c>
      <c r="K17" s="824"/>
      <c r="L17" s="273">
        <v>20</v>
      </c>
    </row>
    <row r="18" spans="1:13" s="273" customFormat="1" ht="14.25" customHeight="1">
      <c r="A18" s="686" t="s">
        <v>714</v>
      </c>
      <c r="B18" s="687" t="s">
        <v>37</v>
      </c>
      <c r="C18" s="687" t="s">
        <v>46</v>
      </c>
      <c r="D18" s="687" t="s">
        <v>614</v>
      </c>
      <c r="E18" s="687" t="s">
        <v>757</v>
      </c>
      <c r="F18" s="688" t="s">
        <v>758</v>
      </c>
      <c r="G18" s="689">
        <v>6.9</v>
      </c>
      <c r="H18" s="690">
        <v>7.5</v>
      </c>
      <c r="I18" s="690">
        <v>6.6</v>
      </c>
      <c r="J18" s="691" t="s">
        <v>759</v>
      </c>
      <c r="K18" s="824"/>
      <c r="L18" s="273">
        <v>6.6</v>
      </c>
    </row>
    <row r="19" spans="1:13" ht="11.25" customHeight="1">
      <c r="A19" s="713" t="s">
        <v>44</v>
      </c>
      <c r="B19" s="714"/>
      <c r="C19" s="714"/>
      <c r="D19" s="714"/>
      <c r="E19" s="715"/>
      <c r="F19" s="716"/>
      <c r="G19" s="717"/>
      <c r="H19" s="718">
        <f>+SUM(H7:H18)+123.61</f>
        <v>557.98199999999986</v>
      </c>
      <c r="I19" s="718">
        <f>+SUM(L7:L18)</f>
        <v>535.45113000000003</v>
      </c>
      <c r="J19" s="719"/>
      <c r="K19" s="826"/>
      <c r="L19" s="827"/>
    </row>
    <row r="20" spans="1:13" ht="15" customHeight="1">
      <c r="A20" s="572" t="str">
        <f>"Cuadro N° 1: Relación de ingresos a operación comercial en "&amp;'1. Resumen'!Q4&amp;" "&amp;'1. Resumen'!Q5</f>
        <v>Cuadro N° 1: Relación de ingresos a operación comercial en diciembre 2018</v>
      </c>
      <c r="B20" s="153"/>
      <c r="C20" s="153"/>
      <c r="D20" s="153"/>
      <c r="E20" s="153"/>
      <c r="F20" s="153"/>
      <c r="G20" s="153"/>
      <c r="H20" s="153"/>
      <c r="I20" s="153"/>
      <c r="J20" s="153"/>
      <c r="K20" s="826"/>
    </row>
    <row r="21" spans="1:13" ht="11.25" customHeight="1">
      <c r="A21" s="919" t="s">
        <v>540</v>
      </c>
      <c r="B21" s="919"/>
      <c r="C21" s="919"/>
      <c r="D21" s="919"/>
      <c r="E21" s="919"/>
      <c r="F21" s="919"/>
      <c r="G21" s="919"/>
      <c r="H21" s="919"/>
      <c r="I21" s="919"/>
      <c r="J21" s="919"/>
      <c r="K21" s="826"/>
    </row>
    <row r="22" spans="1:13" ht="11.25" customHeight="1">
      <c r="A22" s="577" t="s">
        <v>520</v>
      </c>
      <c r="B22" s="577"/>
      <c r="C22" s="577"/>
      <c r="D22" s="577"/>
      <c r="E22" s="577"/>
      <c r="F22" s="577"/>
      <c r="G22" s="577"/>
      <c r="H22" s="577"/>
      <c r="I22" s="577"/>
      <c r="J22" s="577"/>
      <c r="K22" s="826"/>
      <c r="L22" s="95" t="s">
        <v>239</v>
      </c>
      <c r="M22" s="827">
        <f>+L7+L10</f>
        <v>189.01999999999998</v>
      </c>
    </row>
    <row r="23" spans="1:13" ht="20.25" customHeight="1">
      <c r="A23" s="920" t="s">
        <v>521</v>
      </c>
      <c r="B23" s="920"/>
      <c r="C23" s="920"/>
      <c r="D23" s="920"/>
      <c r="E23" s="920"/>
      <c r="F23" s="920"/>
      <c r="G23" s="920"/>
      <c r="H23" s="920"/>
      <c r="I23" s="920"/>
      <c r="J23" s="920"/>
      <c r="K23" s="826"/>
      <c r="L23" s="95" t="s">
        <v>519</v>
      </c>
      <c r="M23" s="827">
        <f>+L8+L16+L15+L14+L13+L17+L18</f>
        <v>107.77999999999999</v>
      </c>
    </row>
    <row r="24" spans="1:13" ht="11.25" customHeight="1">
      <c r="A24" s="920" t="s">
        <v>589</v>
      </c>
      <c r="B24" s="920"/>
      <c r="C24" s="920"/>
      <c r="D24" s="920"/>
      <c r="E24" s="920"/>
      <c r="F24" s="920"/>
      <c r="G24" s="920"/>
      <c r="H24" s="920"/>
      <c r="I24" s="920"/>
      <c r="J24" s="920"/>
      <c r="K24" s="826"/>
      <c r="L24" s="95" t="s">
        <v>587</v>
      </c>
      <c r="M24" s="827">
        <f>+L9</f>
        <v>103.95113000000001</v>
      </c>
    </row>
    <row r="25" spans="1:13" ht="15" customHeight="1">
      <c r="A25" s="280"/>
      <c r="B25" s="274"/>
      <c r="C25" s="274"/>
      <c r="D25" s="274"/>
      <c r="E25" s="274"/>
      <c r="F25" s="274"/>
      <c r="G25" s="274"/>
      <c r="H25" s="281"/>
      <c r="I25" s="281"/>
      <c r="J25" s="281"/>
      <c r="K25" s="826"/>
      <c r="L25" s="95" t="s">
        <v>541</v>
      </c>
      <c r="M25" s="95">
        <v>132.30000000000001</v>
      </c>
    </row>
    <row r="26" spans="1:13" ht="11.25" customHeight="1">
      <c r="A26" s="280"/>
      <c r="B26" s="274"/>
      <c r="C26" s="274"/>
      <c r="D26" s="274"/>
      <c r="E26" s="274"/>
      <c r="F26" s="274"/>
      <c r="G26" s="274"/>
      <c r="H26" s="279"/>
      <c r="I26" s="279" t="s">
        <v>8</v>
      </c>
      <c r="J26" s="279"/>
      <c r="K26" s="826"/>
      <c r="L26" s="95" t="s">
        <v>586</v>
      </c>
      <c r="M26" s="95">
        <f>+L12</f>
        <v>2.4</v>
      </c>
    </row>
    <row r="27" spans="1:13" ht="11.25" customHeight="1">
      <c r="A27" s="280"/>
      <c r="B27" s="274"/>
      <c r="C27" s="274"/>
      <c r="D27" s="274"/>
      <c r="E27" s="274"/>
      <c r="F27" s="274"/>
      <c r="G27" s="274"/>
      <c r="H27" s="279"/>
      <c r="I27" s="279"/>
      <c r="J27" s="279"/>
      <c r="K27" s="826"/>
    </row>
    <row r="28" spans="1:13" ht="11.25" customHeight="1">
      <c r="A28" s="280"/>
      <c r="B28" s="274"/>
      <c r="C28" s="274"/>
      <c r="D28" s="274"/>
      <c r="E28" s="274"/>
      <c r="F28" s="274"/>
      <c r="G28" s="274"/>
      <c r="H28" s="279"/>
      <c r="I28" s="279"/>
      <c r="J28" s="279"/>
      <c r="K28" s="826"/>
    </row>
    <row r="29" spans="1:13" ht="9" customHeight="1">
      <c r="A29" s="282"/>
      <c r="B29" s="283"/>
      <c r="C29" s="283"/>
      <c r="D29" s="283"/>
      <c r="E29" s="283"/>
      <c r="F29" s="283"/>
      <c r="G29" s="283"/>
      <c r="H29" s="284"/>
      <c r="I29" s="284"/>
      <c r="J29" s="284"/>
      <c r="K29" s="826"/>
    </row>
    <row r="30" spans="1:13" ht="9" customHeight="1">
      <c r="A30" s="285"/>
      <c r="B30" s="209"/>
      <c r="C30" s="209"/>
      <c r="D30" s="159"/>
      <c r="E30" s="159"/>
      <c r="F30" s="159"/>
      <c r="G30" s="159"/>
      <c r="H30" s="275"/>
      <c r="I30" s="275"/>
      <c r="J30" s="275"/>
      <c r="K30" s="826"/>
    </row>
    <row r="31" spans="1:13" ht="9" customHeight="1">
      <c r="A31" s="258"/>
      <c r="B31" s="159"/>
      <c r="C31" s="159"/>
      <c r="D31" s="159"/>
      <c r="E31" s="159"/>
      <c r="F31" s="159"/>
      <c r="G31" s="159"/>
      <c r="H31" s="275"/>
      <c r="I31" s="275"/>
      <c r="J31" s="275"/>
      <c r="K31" s="826"/>
    </row>
    <row r="32" spans="1:13" ht="11.25" customHeight="1">
      <c r="A32" s="258"/>
      <c r="B32" s="159"/>
      <c r="C32" s="159"/>
      <c r="D32" s="159"/>
      <c r="E32" s="159"/>
      <c r="F32" s="159"/>
      <c r="G32" s="159"/>
      <c r="H32" s="275"/>
      <c r="I32" s="275"/>
      <c r="J32" s="275"/>
      <c r="K32" s="826"/>
    </row>
    <row r="33" spans="1:15" ht="11.25" customHeight="1">
      <c r="A33" s="258"/>
      <c r="B33" s="159"/>
      <c r="C33" s="159"/>
      <c r="D33" s="159"/>
      <c r="E33" s="159"/>
      <c r="F33" s="159"/>
      <c r="G33" s="159"/>
      <c r="H33" s="286"/>
      <c r="I33" s="286"/>
      <c r="J33" s="286"/>
      <c r="K33" s="826"/>
    </row>
    <row r="34" spans="1:15" ht="11.25" customHeight="1">
      <c r="A34" s="276"/>
      <c r="B34" s="187"/>
      <c r="C34" s="187"/>
      <c r="D34" s="187"/>
      <c r="E34" s="187"/>
      <c r="F34" s="187"/>
      <c r="G34" s="187"/>
      <c r="H34" s="187"/>
      <c r="I34" s="187"/>
      <c r="J34" s="187"/>
      <c r="K34" s="826"/>
    </row>
    <row r="35" spans="1:15" ht="11.25" customHeight="1">
      <c r="A35" s="274"/>
      <c r="B35" s="159"/>
      <c r="C35" s="159"/>
      <c r="D35" s="159"/>
      <c r="E35" s="159"/>
      <c r="F35" s="159"/>
      <c r="G35" s="159"/>
      <c r="H35" s="159"/>
      <c r="I35" s="159"/>
      <c r="J35" s="159"/>
      <c r="K35" s="826"/>
    </row>
    <row r="36" spans="1:15" ht="11.25" customHeight="1">
      <c r="A36" s="25"/>
      <c r="B36" s="909" t="str">
        <f>"Gráfico 2: Ingreso de Potencia Efectiva por tipo de Recurso Energético y Tecnología en "&amp;'1. Resumen'!Q4&amp;" "&amp;'1. Resumen'!Q5&amp;" (MW)"</f>
        <v>Gráfico 2: Ingreso de Potencia Efectiva por tipo de Recurso Energético y Tecnología en diciembre 2018 (MW)</v>
      </c>
      <c r="C36" s="909"/>
      <c r="D36" s="909"/>
      <c r="E36" s="909"/>
      <c r="F36" s="909"/>
      <c r="G36" s="909"/>
      <c r="H36" s="909"/>
      <c r="I36" s="909"/>
      <c r="J36" s="909"/>
      <c r="K36" s="909"/>
    </row>
    <row r="37" spans="1:15" ht="27" customHeight="1">
      <c r="B37" s="921" t="s">
        <v>528</v>
      </c>
      <c r="C37" s="921"/>
      <c r="D37" s="921"/>
      <c r="E37" s="921"/>
      <c r="F37" s="921"/>
      <c r="G37" s="921"/>
      <c r="H37" s="921"/>
    </row>
    <row r="38" spans="1:15" ht="9" customHeight="1">
      <c r="A38" s="84"/>
      <c r="B38" s="84"/>
      <c r="C38" s="84"/>
      <c r="D38" s="84"/>
      <c r="E38" s="25"/>
      <c r="F38" s="25"/>
      <c r="G38" s="84"/>
      <c r="H38" s="25"/>
      <c r="I38" s="25"/>
      <c r="J38" s="25"/>
      <c r="K38" s="826"/>
    </row>
    <row r="39" spans="1:15" ht="11.25" customHeight="1">
      <c r="A39" s="277" t="s">
        <v>471</v>
      </c>
      <c r="B39" s="153"/>
      <c r="C39" s="278"/>
      <c r="D39" s="153"/>
      <c r="E39" s="186"/>
      <c r="F39" s="186"/>
      <c r="G39" s="153"/>
      <c r="H39" s="186"/>
      <c r="I39" s="186"/>
      <c r="J39" s="186"/>
      <c r="K39" s="826"/>
    </row>
    <row r="40" spans="1:15" ht="11.25" customHeight="1">
      <c r="B40" s="153"/>
      <c r="C40" s="278"/>
      <c r="D40" s="153"/>
      <c r="E40" s="186"/>
      <c r="F40" s="186"/>
      <c r="G40" s="153"/>
      <c r="H40" s="186"/>
      <c r="I40" s="186"/>
      <c r="J40" s="186"/>
      <c r="K40" s="826"/>
    </row>
    <row r="41" spans="1:15" ht="21" customHeight="1">
      <c r="B41" s="907" t="s">
        <v>240</v>
      </c>
      <c r="C41" s="908"/>
      <c r="D41" s="720" t="str">
        <f>UPPER('1. Resumen'!Q4)&amp;" "&amp;'1. Resumen'!Q5</f>
        <v>DICIEMBRE 2018</v>
      </c>
      <c r="E41" s="720" t="str">
        <f>UPPER('1. Resumen'!Q4)&amp;" "&amp;'1. Resumen'!Q5-1</f>
        <v>DICIEMBRE 2017</v>
      </c>
      <c r="F41" s="721" t="s">
        <v>243</v>
      </c>
      <c r="G41" s="287"/>
      <c r="H41" s="288"/>
      <c r="I41" s="186"/>
      <c r="J41" s="186"/>
    </row>
    <row r="42" spans="1:15" ht="9.75" customHeight="1">
      <c r="B42" s="911" t="s">
        <v>233</v>
      </c>
      <c r="C42" s="912"/>
      <c r="D42" s="692">
        <v>4995.1492474999995</v>
      </c>
      <c r="E42" s="693">
        <v>4882.6042475000013</v>
      </c>
      <c r="F42" s="694">
        <f>+D42/E42-1</f>
        <v>2.3050199093572532E-2</v>
      </c>
      <c r="G42" s="287"/>
      <c r="H42" s="288"/>
      <c r="I42" s="186"/>
      <c r="J42" s="186"/>
      <c r="K42" s="826"/>
    </row>
    <row r="43" spans="1:15" ht="9.75" customHeight="1">
      <c r="B43" s="913" t="s">
        <v>234</v>
      </c>
      <c r="C43" s="914"/>
      <c r="D43" s="695">
        <v>7395.9645</v>
      </c>
      <c r="E43" s="696">
        <v>7268.29</v>
      </c>
      <c r="F43" s="697">
        <f>+D43/E43-1</f>
        <v>1.7565961182066214E-2</v>
      </c>
      <c r="G43" s="289"/>
      <c r="H43" s="289"/>
      <c r="M43" s="828"/>
      <c r="N43" s="828"/>
      <c r="O43" s="829"/>
    </row>
    <row r="44" spans="1:15" ht="9.75" customHeight="1">
      <c r="B44" s="915" t="s">
        <v>235</v>
      </c>
      <c r="C44" s="916"/>
      <c r="D44" s="698">
        <v>375.46</v>
      </c>
      <c r="E44" s="699">
        <v>243.16</v>
      </c>
      <c r="F44" s="700">
        <f>+D44/E44-1</f>
        <v>0.54408619838789263</v>
      </c>
      <c r="G44" s="289"/>
      <c r="H44" s="289"/>
    </row>
    <row r="45" spans="1:15" ht="9.75" customHeight="1">
      <c r="B45" s="917" t="s">
        <v>83</v>
      </c>
      <c r="C45" s="918"/>
      <c r="D45" s="701">
        <v>285.02</v>
      </c>
      <c r="E45" s="702">
        <v>96</v>
      </c>
      <c r="F45" s="703">
        <f>+D45/E45-1</f>
        <v>1.9689583333333331</v>
      </c>
      <c r="G45" s="289"/>
      <c r="H45" s="289"/>
    </row>
    <row r="46" spans="1:15" ht="9.75" customHeight="1">
      <c r="B46" s="905" t="s">
        <v>208</v>
      </c>
      <c r="C46" s="906"/>
      <c r="D46" s="704">
        <f>+D42+D43+D44+D45</f>
        <v>13051.593747499999</v>
      </c>
      <c r="E46" s="705">
        <f>+E42+E43+E44+E45</f>
        <v>12490.0542475</v>
      </c>
      <c r="F46" s="706">
        <f>+D46/E46-1</f>
        <v>4.495893203285295E-2</v>
      </c>
      <c r="G46" s="575"/>
      <c r="H46" s="289"/>
    </row>
    <row r="47" spans="1:15" ht="11.25" customHeight="1">
      <c r="B47" s="572" t="str">
        <f>"Cuadro N° 2: Comparación de la potencia instalada en el SEIN al término de "&amp;'1. Resumen'!Q4&amp;" "&amp;'1. Resumen'!Q5-1&amp;" y "&amp;'1. Resumen'!Q4&amp;" "&amp;'1. Resumen'!Q5</f>
        <v>Cuadro N° 2: Comparación de la potencia instalada en el SEIN al término de diciembre 2017 y diciembre 2018</v>
      </c>
      <c r="C47" s="287"/>
      <c r="D47" s="287"/>
      <c r="E47" s="287"/>
      <c r="F47" s="287"/>
      <c r="G47" s="287"/>
      <c r="H47" s="287"/>
      <c r="I47" s="153"/>
      <c r="J47" s="153"/>
      <c r="K47" s="826"/>
    </row>
    <row r="48" spans="1:15" ht="11.25" customHeight="1">
      <c r="A48" s="153"/>
      <c r="C48" s="289"/>
      <c r="D48" s="287"/>
      <c r="E48" s="287"/>
      <c r="F48" s="287"/>
      <c r="G48" s="287"/>
      <c r="H48" s="287"/>
      <c r="I48" s="153"/>
      <c r="J48" s="153"/>
      <c r="K48" s="826"/>
    </row>
    <row r="49" spans="1:11" ht="11.25" customHeight="1">
      <c r="A49" s="153"/>
      <c r="B49" s="153"/>
      <c r="C49" s="153"/>
      <c r="D49" s="153"/>
      <c r="E49" s="153"/>
      <c r="F49" s="153"/>
      <c r="G49" s="153"/>
      <c r="H49" s="153"/>
      <c r="I49" s="153"/>
      <c r="J49" s="153"/>
      <c r="K49" s="826"/>
    </row>
    <row r="50" spans="1:11" ht="11.25" customHeight="1">
      <c r="A50" s="153"/>
      <c r="B50" s="153"/>
      <c r="C50" s="153"/>
      <c r="D50" s="153"/>
      <c r="E50" s="153"/>
      <c r="F50" s="153"/>
      <c r="G50" s="153"/>
      <c r="H50" s="153"/>
      <c r="I50" s="153"/>
      <c r="J50" s="153"/>
      <c r="K50" s="826"/>
    </row>
    <row r="51" spans="1:11">
      <c r="A51" s="158"/>
      <c r="B51" s="153"/>
      <c r="C51" s="153"/>
      <c r="D51" s="153"/>
      <c r="E51" s="153"/>
      <c r="F51" s="153"/>
      <c r="G51" s="153"/>
      <c r="H51" s="153"/>
      <c r="I51" s="153"/>
      <c r="J51" s="153"/>
    </row>
    <row r="52" spans="1:11">
      <c r="A52" s="153"/>
      <c r="B52" s="153"/>
      <c r="C52" s="153"/>
      <c r="D52" s="153"/>
      <c r="E52" s="153"/>
      <c r="F52" s="153"/>
      <c r="G52" s="153"/>
      <c r="H52" s="153"/>
      <c r="I52" s="153"/>
      <c r="J52" s="153"/>
    </row>
    <row r="53" spans="1:11">
      <c r="A53" s="153"/>
      <c r="B53" s="153"/>
      <c r="C53" s="153"/>
      <c r="D53" s="153"/>
      <c r="E53" s="153"/>
      <c r="F53" s="153"/>
      <c r="G53" s="153"/>
      <c r="H53" s="153"/>
      <c r="I53" s="153"/>
      <c r="J53" s="153"/>
    </row>
    <row r="54" spans="1:11">
      <c r="A54" s="153"/>
      <c r="B54" s="153"/>
      <c r="C54" s="153"/>
      <c r="D54" s="153"/>
      <c r="E54" s="153"/>
      <c r="F54" s="153"/>
      <c r="G54" s="153"/>
      <c r="H54" s="153"/>
      <c r="I54" s="153"/>
      <c r="J54" s="153"/>
    </row>
    <row r="55" spans="1:11">
      <c r="A55" s="153"/>
      <c r="B55" s="153"/>
      <c r="C55" s="153"/>
      <c r="D55" s="153"/>
      <c r="E55" s="153"/>
      <c r="F55" s="153"/>
      <c r="G55" s="153"/>
      <c r="H55" s="153"/>
      <c r="I55" s="153"/>
      <c r="J55" s="153"/>
    </row>
    <row r="56" spans="1:11">
      <c r="A56" s="153"/>
      <c r="B56" s="153"/>
      <c r="C56" s="153"/>
      <c r="D56" s="153"/>
      <c r="E56" s="153"/>
      <c r="F56" s="153"/>
      <c r="G56" s="153"/>
      <c r="H56" s="153"/>
      <c r="I56" s="153"/>
      <c r="J56" s="153"/>
    </row>
    <row r="57" spans="1:11">
      <c r="A57" s="153"/>
      <c r="B57" s="153"/>
      <c r="C57" s="153"/>
      <c r="D57" s="153"/>
      <c r="E57" s="153"/>
      <c r="F57" s="153"/>
      <c r="G57" s="153"/>
      <c r="H57" s="153"/>
      <c r="I57" s="153"/>
      <c r="J57" s="153"/>
    </row>
    <row r="58" spans="1:11">
      <c r="A58" s="573" t="str">
        <f>"Gráfico N° 3: Comparación de la potencia instalada en el SEIN al término de "&amp;'1. Resumen'!Q4&amp;" "&amp;'1. Resumen'!Q5-1&amp;" y "&amp;'1. Resumen'!Q4&amp;" "&amp;'1. Resumen'!Q5</f>
        <v>Gráfico N° 3: Comparación de la potencia instalada en el SEIN al término de diciembre 2017 y diciembre 2018</v>
      </c>
      <c r="C58" s="153"/>
      <c r="D58" s="153"/>
      <c r="E58" s="153"/>
      <c r="F58" s="153"/>
      <c r="G58" s="153"/>
      <c r="H58" s="153"/>
      <c r="I58" s="153"/>
      <c r="J58" s="153"/>
    </row>
  </sheetData>
  <mergeCells count="12">
    <mergeCell ref="B46:C46"/>
    <mergeCell ref="B41:C41"/>
    <mergeCell ref="B36:K36"/>
    <mergeCell ref="A2:J2"/>
    <mergeCell ref="B42:C42"/>
    <mergeCell ref="B43:C43"/>
    <mergeCell ref="B44:C44"/>
    <mergeCell ref="B45:C45"/>
    <mergeCell ref="A21:J21"/>
    <mergeCell ref="A23:J23"/>
    <mergeCell ref="B37:H37"/>
    <mergeCell ref="A24:J24"/>
  </mergeCells>
  <conditionalFormatting sqref="A27:A29">
    <cfRule type="containsText" dxfId="6" priority="5" stopIfTrue="1" operator="containsText" text=" 0%">
      <formula>NOT(ISERROR(SEARCH(" 0%",A27)))</formula>
    </cfRule>
    <cfRule type="containsText" dxfId="5" priority="6" stopIfTrue="1" operator="containsText" text="0.0%">
      <formula>NOT(ISERROR(SEARCH("0.0%",A27)))</formula>
    </cfRule>
  </conditionalFormatting>
  <conditionalFormatting sqref="A25">
    <cfRule type="containsText" dxfId="4" priority="3" stopIfTrue="1" operator="containsText" text=" 0%">
      <formula>NOT(ISERROR(SEARCH(" 0%",A25)))</formula>
    </cfRule>
    <cfRule type="containsText" dxfId="3" priority="4" stopIfTrue="1" operator="containsText" text="0.0%">
      <formula>NOT(ISERROR(SEARCH("0.0%",A25)))</formula>
    </cfRule>
  </conditionalFormatting>
  <conditionalFormatting sqref="A26">
    <cfRule type="containsText" dxfId="2" priority="1" stopIfTrue="1" operator="containsText" text=" 0%">
      <formula>NOT(ISERROR(SEARCH(" 0%",A26)))</formula>
    </cfRule>
    <cfRule type="containsText" dxfId="1" priority="2" stopIfTrue="1" operator="containsText" text="0.0%">
      <formula>NOT(ISERROR(SEARCH("0.0%",A26)))</formula>
    </cfRule>
  </conditionalFormatting>
  <pageMargins left="0.7" right="0.57471264367816088" top="0.86956521739130432" bottom="0.61458333333333337" header="0.3" footer="0.3"/>
  <pageSetup orientation="portrait" r:id="rId1"/>
  <headerFooter>
    <oddHeader>&amp;R&amp;7Informe de la Operación Mensual - Diciembre 2018
INFSGI-MES-12-2018
15/01/2019
Versión: 01</oddHeader>
    <oddFooter>&amp;L&amp;7COES, 2018&amp;C2&amp;R&amp;7Dirección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45" zoomScaleNormal="100" zoomScaleSheetLayoutView="145" zoomScalePageLayoutView="160" workbookViewId="0">
      <selection activeCell="D4" sqref="D4"/>
    </sheetView>
  </sheetViews>
  <sheetFormatPr defaultColWidth="9.33203125"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926" t="s">
        <v>246</v>
      </c>
      <c r="B2" s="926"/>
      <c r="C2" s="926"/>
      <c r="D2" s="926"/>
      <c r="E2" s="926"/>
      <c r="F2" s="926"/>
      <c r="G2" s="926"/>
      <c r="H2" s="926"/>
      <c r="I2" s="926"/>
      <c r="J2" s="926"/>
      <c r="K2" s="926"/>
    </row>
    <row r="3" spans="1:11" ht="11.25" customHeight="1">
      <c r="A3" s="103"/>
      <c r="B3" s="104"/>
      <c r="C3" s="105"/>
      <c r="D3" s="106"/>
      <c r="E3" s="106"/>
      <c r="F3" s="106"/>
      <c r="G3" s="106"/>
      <c r="H3" s="103"/>
      <c r="I3" s="103"/>
      <c r="J3" s="103"/>
      <c r="K3" s="107"/>
    </row>
    <row r="4" spans="1:11" ht="11.25" customHeight="1">
      <c r="A4" s="927" t="str">
        <f>+"3.1. PRODUCCIÓN POR TIPO DE GENERACIÓN (GWh)"</f>
        <v>3.1. PRODUCCIÓN POR TIPO DE GENERACIÓN (GWh)</v>
      </c>
      <c r="B4" s="927"/>
      <c r="C4" s="927"/>
      <c r="D4" s="927"/>
      <c r="E4" s="927"/>
      <c r="F4" s="927"/>
      <c r="G4" s="927"/>
      <c r="H4" s="927"/>
      <c r="I4" s="927"/>
      <c r="J4" s="927"/>
      <c r="K4" s="927"/>
    </row>
    <row r="5" spans="1:11" ht="11.25" customHeight="1">
      <c r="A5" s="93"/>
      <c r="B5" s="108"/>
      <c r="C5" s="109"/>
      <c r="D5" s="110"/>
      <c r="E5" s="110"/>
      <c r="F5" s="110"/>
      <c r="G5" s="110"/>
      <c r="H5" s="111"/>
      <c r="I5" s="103"/>
      <c r="J5" s="103"/>
      <c r="K5" s="112"/>
    </row>
    <row r="6" spans="1:11" ht="18" customHeight="1">
      <c r="A6" s="924" t="s">
        <v>32</v>
      </c>
      <c r="B6" s="928" t="s">
        <v>33</v>
      </c>
      <c r="C6" s="929"/>
      <c r="D6" s="929"/>
      <c r="E6" s="929" t="s">
        <v>34</v>
      </c>
      <c r="F6" s="929"/>
      <c r="G6" s="930" t="str">
        <f>"Generación Acumulada a "&amp;'1. Resumen'!Q4</f>
        <v>Generación Acumulada a diciembre</v>
      </c>
      <c r="H6" s="930"/>
      <c r="I6" s="930"/>
      <c r="J6" s="930"/>
      <c r="K6" s="931"/>
    </row>
    <row r="7" spans="1:11" ht="32.25" customHeight="1">
      <c r="A7" s="925"/>
      <c r="B7" s="722">
        <f>+C7-30</f>
        <v>43377</v>
      </c>
      <c r="C7" s="722">
        <f>+D7-28</f>
        <v>43407</v>
      </c>
      <c r="D7" s="722">
        <f>+'1. Resumen'!Q6</f>
        <v>43435</v>
      </c>
      <c r="E7" s="722">
        <f>+D7-365</f>
        <v>43070</v>
      </c>
      <c r="F7" s="723" t="s">
        <v>35</v>
      </c>
      <c r="G7" s="724">
        <v>2018</v>
      </c>
      <c r="H7" s="724">
        <v>2017</v>
      </c>
      <c r="I7" s="723" t="s">
        <v>43</v>
      </c>
      <c r="J7" s="724">
        <v>2016</v>
      </c>
      <c r="K7" s="725" t="s">
        <v>36</v>
      </c>
    </row>
    <row r="8" spans="1:11" ht="15" customHeight="1">
      <c r="A8" s="137" t="s">
        <v>37</v>
      </c>
      <c r="B8" s="491">
        <v>2372.0296140100004</v>
      </c>
      <c r="C8" s="485">
        <v>2593.2451959425016</v>
      </c>
      <c r="D8" s="492">
        <v>2436.2101136875003</v>
      </c>
      <c r="E8" s="491">
        <v>2518.1680651151491</v>
      </c>
      <c r="F8" s="297">
        <f>IF(E8=0,"",D8/E8-1)</f>
        <v>-3.2546656660067286E-2</v>
      </c>
      <c r="G8" s="499">
        <v>29357.914005065006</v>
      </c>
      <c r="H8" s="485">
        <v>27741.419127373239</v>
      </c>
      <c r="I8" s="301">
        <f>IF(H8=0,"",G8/H8-1)</f>
        <v>5.827008597756711E-2</v>
      </c>
      <c r="J8" s="491">
        <v>22934.888030034352</v>
      </c>
      <c r="K8" s="297">
        <f t="shared" ref="K8:K15" si="0">IF(J8=0,"",H8/J8-1)</f>
        <v>0.20957290443469789</v>
      </c>
    </row>
    <row r="9" spans="1:11" ht="15" customHeight="1">
      <c r="A9" s="138" t="s">
        <v>38</v>
      </c>
      <c r="B9" s="493">
        <v>1758.0409207749999</v>
      </c>
      <c r="C9" s="486">
        <v>1470.2361781100001</v>
      </c>
      <c r="D9" s="494">
        <v>1843.3767355599998</v>
      </c>
      <c r="E9" s="493">
        <v>1537.8745376180818</v>
      </c>
      <c r="F9" s="298">
        <f t="shared" ref="F9:F15" si="1">IF(E9=0,"",D9/E9-1)</f>
        <v>0.19865222452742559</v>
      </c>
      <c r="G9" s="500">
        <v>19220.044509157491</v>
      </c>
      <c r="H9" s="486">
        <v>19898.436490924396</v>
      </c>
      <c r="I9" s="302">
        <f t="shared" ref="I9:I15" si="2">IF(H9=0,"",G9/H9-1)</f>
        <v>-3.4092727942535483E-2</v>
      </c>
      <c r="J9" s="493">
        <v>23961.661639282025</v>
      </c>
      <c r="K9" s="298">
        <f t="shared" si="0"/>
        <v>-0.16957192741994576</v>
      </c>
    </row>
    <row r="10" spans="1:11" ht="15" customHeight="1">
      <c r="A10" s="139" t="s">
        <v>39</v>
      </c>
      <c r="B10" s="495">
        <v>149.6194183675</v>
      </c>
      <c r="C10" s="487">
        <v>139.23549507999999</v>
      </c>
      <c r="D10" s="496">
        <v>139.86001345999998</v>
      </c>
      <c r="E10" s="495">
        <v>92.030563942929874</v>
      </c>
      <c r="F10" s="299">
        <f>IF(E10=0,"",D10/E10-1)</f>
        <v>0.51971266357478996</v>
      </c>
      <c r="G10" s="501">
        <v>1493.6338640475001</v>
      </c>
      <c r="H10" s="487">
        <v>1065.2272572094798</v>
      </c>
      <c r="I10" s="303">
        <f t="shared" si="2"/>
        <v>0.40217390602667713</v>
      </c>
      <c r="J10" s="495">
        <v>1051.9592116548417</v>
      </c>
      <c r="K10" s="299">
        <f t="shared" si="0"/>
        <v>1.2612699625269785E-2</v>
      </c>
    </row>
    <row r="11" spans="1:11" ht="15" customHeight="1">
      <c r="A11" s="138" t="s">
        <v>30</v>
      </c>
      <c r="B11" s="493">
        <v>74.899055544999996</v>
      </c>
      <c r="C11" s="486">
        <v>76.693364965000001</v>
      </c>
      <c r="D11" s="494">
        <v>76.637353504999993</v>
      </c>
      <c r="E11" s="493">
        <v>62.632254656498645</v>
      </c>
      <c r="F11" s="298">
        <f>IF(E11=0,"",D11/E11-1)</f>
        <v>0.22360840952175742</v>
      </c>
      <c r="G11" s="500">
        <v>745.19271519000006</v>
      </c>
      <c r="H11" s="486">
        <v>288.16779198629291</v>
      </c>
      <c r="I11" s="302">
        <f t="shared" si="2"/>
        <v>1.5859680919005901</v>
      </c>
      <c r="J11" s="493">
        <v>241.0611229636026</v>
      </c>
      <c r="K11" s="298">
        <f t="shared" si="0"/>
        <v>0.19541379565299244</v>
      </c>
    </row>
    <row r="12" spans="1:11" ht="15" customHeight="1">
      <c r="A12" s="167" t="s">
        <v>44</v>
      </c>
      <c r="B12" s="497">
        <v>4354.5890086974996</v>
      </c>
      <c r="C12" s="488">
        <v>4279.4102340975014</v>
      </c>
      <c r="D12" s="498">
        <v>4496.0842162125</v>
      </c>
      <c r="E12" s="497">
        <v>4210.7054213326601</v>
      </c>
      <c r="F12" s="300">
        <f>IF(E12=0,"",D12/E12-1)</f>
        <v>6.7774580818222852E-2</v>
      </c>
      <c r="G12" s="497">
        <v>50816.785093459999</v>
      </c>
      <c r="H12" s="488">
        <v>48993.250667493405</v>
      </c>
      <c r="I12" s="304">
        <f>IF(H12=0,"",G12/H12-1)</f>
        <v>3.7220115038753665E-2</v>
      </c>
      <c r="J12" s="497">
        <v>48189.570003934823</v>
      </c>
      <c r="K12" s="300">
        <f t="shared" si="0"/>
        <v>1.6677481527495708E-2</v>
      </c>
    </row>
    <row r="13" spans="1:11" ht="15" customHeight="1">
      <c r="A13" s="133"/>
      <c r="B13" s="133"/>
      <c r="C13" s="133"/>
      <c r="D13" s="133"/>
      <c r="E13" s="133"/>
      <c r="F13" s="135"/>
      <c r="G13" s="133"/>
      <c r="H13" s="133"/>
      <c r="I13" s="135"/>
      <c r="J13" s="134"/>
      <c r="K13" s="135" t="str">
        <f t="shared" si="0"/>
        <v/>
      </c>
    </row>
    <row r="14" spans="1:11" ht="15" customHeight="1">
      <c r="A14" s="140" t="s">
        <v>40</v>
      </c>
      <c r="B14" s="295">
        <v>0</v>
      </c>
      <c r="C14" s="296">
        <v>0</v>
      </c>
      <c r="D14" s="490">
        <v>0</v>
      </c>
      <c r="E14" s="295">
        <v>0</v>
      </c>
      <c r="F14" s="141" t="str">
        <f t="shared" si="1"/>
        <v/>
      </c>
      <c r="G14" s="295">
        <v>21.20075765</v>
      </c>
      <c r="H14" s="296">
        <v>16.595158999999999</v>
      </c>
      <c r="I14" s="144">
        <f t="shared" si="2"/>
        <v>0.27752663593039406</v>
      </c>
      <c r="J14" s="295">
        <v>22.400469620000003</v>
      </c>
      <c r="K14" s="141">
        <f t="shared" si="0"/>
        <v>-0.25916021933829447</v>
      </c>
    </row>
    <row r="15" spans="1:11" ht="15" customHeight="1">
      <c r="A15" s="139" t="s">
        <v>41</v>
      </c>
      <c r="B15" s="292">
        <v>0</v>
      </c>
      <c r="C15" s="293">
        <v>0</v>
      </c>
      <c r="D15" s="294">
        <v>0</v>
      </c>
      <c r="E15" s="292">
        <v>0</v>
      </c>
      <c r="F15" s="142" t="str">
        <f t="shared" si="1"/>
        <v/>
      </c>
      <c r="G15" s="292">
        <v>0</v>
      </c>
      <c r="H15" s="293">
        <v>0</v>
      </c>
      <c r="I15" s="136" t="str">
        <f t="shared" si="2"/>
        <v/>
      </c>
      <c r="J15" s="292">
        <v>37.352100999999998</v>
      </c>
      <c r="K15" s="142">
        <f t="shared" si="0"/>
        <v>-1</v>
      </c>
    </row>
    <row r="16" spans="1:11" ht="23.25" customHeight="1">
      <c r="A16" s="146" t="s">
        <v>42</v>
      </c>
      <c r="B16" s="305">
        <v>0</v>
      </c>
      <c r="C16" s="306">
        <v>0</v>
      </c>
      <c r="D16" s="585">
        <v>0</v>
      </c>
      <c r="E16" s="305">
        <v>0</v>
      </c>
      <c r="F16" s="143"/>
      <c r="G16" s="305">
        <v>-21.20075765</v>
      </c>
      <c r="H16" s="306">
        <v>-16.595158999999999</v>
      </c>
      <c r="I16" s="145"/>
      <c r="J16" s="305">
        <v>14.951631379999995</v>
      </c>
      <c r="K16" s="143"/>
    </row>
    <row r="17" spans="1:11" ht="11.25" customHeight="1">
      <c r="A17" s="307" t="s">
        <v>245</v>
      </c>
      <c r="B17" s="130"/>
      <c r="C17" s="130"/>
      <c r="D17" s="130"/>
      <c r="E17" s="130"/>
      <c r="F17" s="130"/>
      <c r="G17" s="130"/>
      <c r="H17" s="130"/>
      <c r="I17" s="130"/>
      <c r="J17" s="130"/>
      <c r="K17" s="130"/>
    </row>
    <row r="18" spans="1:11" ht="11.25" customHeight="1">
      <c r="A18" s="131" t="s">
        <v>792</v>
      </c>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922"/>
      <c r="C42" s="922"/>
      <c r="D42" s="922"/>
      <c r="E42" s="113"/>
      <c r="F42" s="113"/>
      <c r="G42" s="923"/>
      <c r="H42" s="923"/>
      <c r="I42" s="923"/>
      <c r="J42" s="923"/>
      <c r="K42" s="923"/>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08" t="str">
        <f>"Gráfico N° 4: Comparación de la producción de energía eléctrica por tipo de generación acumulada a "&amp;'1. Resumen'!Q4</f>
        <v>Gráfico N° 4: Comparación de la producción de energía eléctrica por tipo de generación acumulada a diciembre</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Diciembre 2018
INFSGI-MES-12-2018
15/01/2019
Versión: 01</oddHeader>
    <oddFooter>&amp;L&amp;7COES, 2018&amp;C3&amp;R&amp;7Dirección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60" zoomScaleNormal="100" zoomScaleSheetLayoutView="160" zoomScalePageLayoutView="145" workbookViewId="0">
      <selection activeCell="D4" sqref="D4"/>
    </sheetView>
  </sheetViews>
  <sheetFormatPr defaultColWidth="9.33203125" defaultRowHeight="11.25"/>
  <cols>
    <col min="1" max="1" width="15.1640625" style="3" customWidth="1"/>
    <col min="2" max="5" width="9.83203125" style="3" customWidth="1"/>
    <col min="6" max="6" width="9.5" style="3" bestFit="1" customWidth="1"/>
    <col min="7" max="8" width="10.5" style="3" bestFit="1" customWidth="1"/>
    <col min="9" max="9" width="9.5" style="3" bestFit="1" customWidth="1"/>
    <col min="10" max="10" width="10.5" style="3" customWidth="1"/>
    <col min="11" max="11" width="9.33203125" style="3" customWidth="1"/>
    <col min="12" max="16384" width="9.33203125" style="3"/>
  </cols>
  <sheetData>
    <row r="1" spans="1:12" ht="11.25" customHeight="1"/>
    <row r="2" spans="1:12" ht="11.25" customHeight="1">
      <c r="A2" s="932" t="str">
        <f>+"3.2. PRODUCCIÓN POR TIPO DE RECURSO ENERGÉTICO (GWh)"</f>
        <v>3.2. PRODUCCIÓN POR TIPO DE RECURSO ENERGÉTICO (GWh)</v>
      </c>
      <c r="B2" s="932"/>
      <c r="C2" s="932"/>
      <c r="D2" s="932"/>
      <c r="E2" s="932"/>
      <c r="F2" s="932"/>
      <c r="G2" s="932"/>
      <c r="H2" s="932"/>
      <c r="I2" s="932"/>
      <c r="J2" s="932"/>
      <c r="K2" s="932"/>
    </row>
    <row r="3" spans="1:12" ht="18.75" customHeight="1">
      <c r="A3" s="147"/>
      <c r="B3" s="148"/>
      <c r="C3" s="149"/>
      <c r="D3" s="150"/>
      <c r="E3" s="150"/>
      <c r="F3" s="150"/>
      <c r="G3" s="151"/>
      <c r="H3" s="151"/>
      <c r="I3" s="151"/>
      <c r="J3" s="147"/>
      <c r="K3" s="147"/>
      <c r="L3" s="45"/>
    </row>
    <row r="4" spans="1:12" ht="14.25" customHeight="1">
      <c r="A4" s="936" t="s">
        <v>45</v>
      </c>
      <c r="B4" s="933" t="s">
        <v>33</v>
      </c>
      <c r="C4" s="934"/>
      <c r="D4" s="934"/>
      <c r="E4" s="934" t="s">
        <v>34</v>
      </c>
      <c r="F4" s="934"/>
      <c r="G4" s="935" t="str">
        <f>+'3. Tipo Generación'!G6:K6</f>
        <v>Generación Acumulada a diciembre</v>
      </c>
      <c r="H4" s="935"/>
      <c r="I4" s="935"/>
      <c r="J4" s="935"/>
      <c r="K4" s="935"/>
      <c r="L4" s="152"/>
    </row>
    <row r="5" spans="1:12" ht="26.25" customHeight="1">
      <c r="A5" s="936"/>
      <c r="B5" s="726">
        <f>+'3. Tipo Generación'!B7</f>
        <v>43377</v>
      </c>
      <c r="C5" s="726">
        <f>+'3. Tipo Generación'!C7</f>
        <v>43407</v>
      </c>
      <c r="D5" s="726">
        <f>+'3. Tipo Generación'!D7</f>
        <v>43435</v>
      </c>
      <c r="E5" s="726">
        <f>+'3. Tipo Generación'!E7</f>
        <v>43070</v>
      </c>
      <c r="F5" s="727" t="s">
        <v>35</v>
      </c>
      <c r="G5" s="728">
        <v>2018</v>
      </c>
      <c r="H5" s="728">
        <v>2017</v>
      </c>
      <c r="I5" s="727" t="s">
        <v>43</v>
      </c>
      <c r="J5" s="728">
        <v>2016</v>
      </c>
      <c r="K5" s="727" t="s">
        <v>36</v>
      </c>
      <c r="L5" s="26"/>
    </row>
    <row r="6" spans="1:12" ht="11.25" customHeight="1">
      <c r="A6" s="161" t="s">
        <v>46</v>
      </c>
      <c r="B6" s="397">
        <v>2372.0296140100004</v>
      </c>
      <c r="C6" s="398">
        <v>2593.2451959425016</v>
      </c>
      <c r="D6" s="399">
        <v>2436.2101136875003</v>
      </c>
      <c r="E6" s="397">
        <v>2518.1680651151491</v>
      </c>
      <c r="F6" s="318">
        <f>IF(E6=0,"",D6/E6-1)</f>
        <v>-3.2546656660067286E-2</v>
      </c>
      <c r="G6" s="397">
        <v>29357.914005065006</v>
      </c>
      <c r="H6" s="398">
        <v>27741.419127373239</v>
      </c>
      <c r="I6" s="318">
        <f t="shared" ref="I6:I16" si="0">IF(H6=0,"",G6/H6-1)</f>
        <v>5.827008597756711E-2</v>
      </c>
      <c r="J6" s="397">
        <v>22934.888030034352</v>
      </c>
      <c r="K6" s="318">
        <f>IF(J6=0,"",H6/J6-1)</f>
        <v>0.20957290443469789</v>
      </c>
      <c r="L6" s="31"/>
    </row>
    <row r="7" spans="1:12" ht="11.25" customHeight="1">
      <c r="A7" s="162" t="s">
        <v>52</v>
      </c>
      <c r="B7" s="400">
        <v>1668.1670487975</v>
      </c>
      <c r="C7" s="309">
        <v>1389.890462845</v>
      </c>
      <c r="D7" s="401">
        <v>1727.3175751775</v>
      </c>
      <c r="E7" s="400">
        <v>1452.0148022819646</v>
      </c>
      <c r="F7" s="319">
        <f t="shared" ref="F7:F18" si="1">IF(E7=0,"",D7/E7-1)</f>
        <v>0.18960052780651648</v>
      </c>
      <c r="G7" s="400">
        <v>17919.965966475</v>
      </c>
      <c r="H7" s="309">
        <v>17533.645970229143</v>
      </c>
      <c r="I7" s="319">
        <f t="shared" si="0"/>
        <v>2.2033066990276851E-2</v>
      </c>
      <c r="J7" s="400">
        <v>21185.401662648117</v>
      </c>
      <c r="K7" s="319">
        <f t="shared" ref="K7:K19" si="2">IF(J7=0,"",H7/J7-1)</f>
        <v>-0.17237132203433114</v>
      </c>
      <c r="L7" s="34"/>
    </row>
    <row r="8" spans="1:12" ht="11.25" customHeight="1">
      <c r="A8" s="163" t="s">
        <v>53</v>
      </c>
      <c r="B8" s="402">
        <v>60.367156642499999</v>
      </c>
      <c r="C8" s="310">
        <v>58.712046164999997</v>
      </c>
      <c r="D8" s="403">
        <v>62.424170189999998</v>
      </c>
      <c r="E8" s="402">
        <v>64.111384065986002</v>
      </c>
      <c r="F8" s="580">
        <f t="shared" si="1"/>
        <v>-2.6316915483363346E-2</v>
      </c>
      <c r="G8" s="402">
        <v>606.26057511749991</v>
      </c>
      <c r="H8" s="310">
        <v>551.35950804963488</v>
      </c>
      <c r="I8" s="580">
        <f t="shared" si="0"/>
        <v>9.9573991681163987E-2</v>
      </c>
      <c r="J8" s="402">
        <v>650.11322185415315</v>
      </c>
      <c r="K8" s="580">
        <f t="shared" si="2"/>
        <v>-0.15190233098608286</v>
      </c>
      <c r="L8" s="29"/>
    </row>
    <row r="9" spans="1:12" ht="11.25" customHeight="1">
      <c r="A9" s="162" t="s">
        <v>54</v>
      </c>
      <c r="B9" s="400">
        <v>14.149995952499999</v>
      </c>
      <c r="C9" s="309">
        <v>0</v>
      </c>
      <c r="D9" s="401">
        <v>22.457336932499999</v>
      </c>
      <c r="E9" s="400">
        <v>7.5640972110342997</v>
      </c>
      <c r="F9" s="319">
        <f t="shared" si="1"/>
        <v>1.968938170141421</v>
      </c>
      <c r="G9" s="400">
        <v>370.74576912999999</v>
      </c>
      <c r="H9" s="309">
        <v>126.1899293396045</v>
      </c>
      <c r="I9" s="319">
        <f t="shared" si="0"/>
        <v>1.937998072193563</v>
      </c>
      <c r="J9" s="400">
        <v>366.26489675736985</v>
      </c>
      <c r="K9" s="319">
        <f t="shared" si="2"/>
        <v>-0.65546813124382397</v>
      </c>
      <c r="L9" s="29"/>
    </row>
    <row r="10" spans="1:12" ht="11.25" customHeight="1">
      <c r="A10" s="163" t="s">
        <v>55</v>
      </c>
      <c r="B10" s="402">
        <v>0</v>
      </c>
      <c r="C10" s="310">
        <v>0</v>
      </c>
      <c r="D10" s="403">
        <v>0</v>
      </c>
      <c r="E10" s="402">
        <v>0</v>
      </c>
      <c r="F10" s="580" t="str">
        <f t="shared" si="1"/>
        <v/>
      </c>
      <c r="G10" s="402">
        <v>0</v>
      </c>
      <c r="H10" s="310">
        <v>9.7034091828799998</v>
      </c>
      <c r="I10" s="580">
        <f t="shared" si="0"/>
        <v>-1</v>
      </c>
      <c r="J10" s="402">
        <v>112.10161766311515</v>
      </c>
      <c r="K10" s="580">
        <f t="shared" si="2"/>
        <v>-0.91344095308204709</v>
      </c>
      <c r="L10" s="29"/>
    </row>
    <row r="11" spans="1:12" ht="11.25" customHeight="1">
      <c r="A11" s="162" t="s">
        <v>26</v>
      </c>
      <c r="B11" s="400">
        <v>0</v>
      </c>
      <c r="C11" s="309">
        <v>0</v>
      </c>
      <c r="D11" s="401">
        <v>0</v>
      </c>
      <c r="E11" s="400">
        <v>1.4045599313964749</v>
      </c>
      <c r="F11" s="319">
        <f t="shared" si="1"/>
        <v>-1</v>
      </c>
      <c r="G11" s="400">
        <v>43.120710160000002</v>
      </c>
      <c r="H11" s="309">
        <v>673.6983736036583</v>
      </c>
      <c r="I11" s="319">
        <f t="shared" si="0"/>
        <v>-0.93599404147386556</v>
      </c>
      <c r="J11" s="400">
        <v>772.88571998629777</v>
      </c>
      <c r="K11" s="319">
        <f t="shared" si="2"/>
        <v>-0.12833378055477329</v>
      </c>
      <c r="L11" s="31"/>
    </row>
    <row r="12" spans="1:12" ht="11.25" customHeight="1">
      <c r="A12" s="163" t="s">
        <v>47</v>
      </c>
      <c r="B12" s="402">
        <v>0</v>
      </c>
      <c r="C12" s="310">
        <v>6.2619120825000003</v>
      </c>
      <c r="D12" s="403">
        <v>13.912232314999999</v>
      </c>
      <c r="E12" s="402">
        <v>0.1620308757974</v>
      </c>
      <c r="F12" s="580">
        <f t="shared" si="1"/>
        <v>84.861612773083834</v>
      </c>
      <c r="G12" s="402">
        <v>25.234750090000002</v>
      </c>
      <c r="H12" s="310">
        <v>126.76813412570822</v>
      </c>
      <c r="I12" s="580">
        <f t="shared" si="0"/>
        <v>-0.80093774934814266</v>
      </c>
      <c r="J12" s="402">
        <v>189.9872839617702</v>
      </c>
      <c r="K12" s="580">
        <f t="shared" si="2"/>
        <v>-0.33275463766713531</v>
      </c>
      <c r="L12" s="34"/>
    </row>
    <row r="13" spans="1:12" ht="11.25" customHeight="1">
      <c r="A13" s="162" t="s">
        <v>48</v>
      </c>
      <c r="B13" s="400">
        <v>2.6453717500000001E-2</v>
      </c>
      <c r="C13" s="309">
        <v>0.197770205</v>
      </c>
      <c r="D13" s="401">
        <v>0</v>
      </c>
      <c r="E13" s="400">
        <v>2.4424055327E-2</v>
      </c>
      <c r="F13" s="319">
        <f>IF(E13=0,"",D13/E13-1)</f>
        <v>-1</v>
      </c>
      <c r="G13" s="400">
        <v>2.6571829249999994</v>
      </c>
      <c r="H13" s="309">
        <v>1.7315323146820001</v>
      </c>
      <c r="I13" s="319">
        <f t="shared" si="0"/>
        <v>0.53458465803336574</v>
      </c>
      <c r="J13" s="400">
        <v>3.2104355488503695</v>
      </c>
      <c r="K13" s="319">
        <f t="shared" si="2"/>
        <v>-0.46065501445682422</v>
      </c>
      <c r="L13" s="29"/>
    </row>
    <row r="14" spans="1:12" ht="11.25" customHeight="1">
      <c r="A14" s="163" t="s">
        <v>49</v>
      </c>
      <c r="B14" s="402">
        <v>1.4271939524999999</v>
      </c>
      <c r="C14" s="310">
        <v>1.2517140874999999</v>
      </c>
      <c r="D14" s="403">
        <v>0.65663901749999987</v>
      </c>
      <c r="E14" s="402">
        <v>2.9909580708510997</v>
      </c>
      <c r="F14" s="580">
        <f t="shared" si="1"/>
        <v>-0.78045863501083845</v>
      </c>
      <c r="G14" s="402">
        <v>107.6509891525</v>
      </c>
      <c r="H14" s="310">
        <v>751.71495404016821</v>
      </c>
      <c r="I14" s="580">
        <f t="shared" si="0"/>
        <v>-0.85679280613759401</v>
      </c>
      <c r="J14" s="402">
        <v>544.15652670155544</v>
      </c>
      <c r="K14" s="580">
        <f t="shared" si="2"/>
        <v>0.38143147633777974</v>
      </c>
      <c r="L14" s="29"/>
    </row>
    <row r="15" spans="1:12" ht="11.25" customHeight="1">
      <c r="A15" s="162" t="s">
        <v>50</v>
      </c>
      <c r="B15" s="400">
        <v>8.2844029750000008</v>
      </c>
      <c r="C15" s="309">
        <v>8.245808672499999</v>
      </c>
      <c r="D15" s="401">
        <v>10.894679502499999</v>
      </c>
      <c r="E15" s="400">
        <v>5.4871707007249997</v>
      </c>
      <c r="F15" s="319">
        <f t="shared" si="1"/>
        <v>0.98548215404717143</v>
      </c>
      <c r="G15" s="400">
        <v>93.812061187500007</v>
      </c>
      <c r="H15" s="309">
        <v>81.687220158217897</v>
      </c>
      <c r="I15" s="319">
        <f>IF(H15=0,"",G15/H15-1)</f>
        <v>0.14843008497287347</v>
      </c>
      <c r="J15" s="400">
        <v>86.506839575721401</v>
      </c>
      <c r="K15" s="319">
        <f t="shared" si="2"/>
        <v>-5.571373825632342E-2</v>
      </c>
      <c r="L15" s="29"/>
    </row>
    <row r="16" spans="1:12" ht="11.25" customHeight="1">
      <c r="A16" s="163" t="s">
        <v>51</v>
      </c>
      <c r="B16" s="402">
        <v>5.6186687374999993</v>
      </c>
      <c r="C16" s="310">
        <v>5.6764640524999992</v>
      </c>
      <c r="D16" s="403">
        <v>5.7141024249999992</v>
      </c>
      <c r="E16" s="402">
        <v>4.1151104249999992</v>
      </c>
      <c r="F16" s="580">
        <f t="shared" si="1"/>
        <v>0.38856600063168423</v>
      </c>
      <c r="G16" s="402">
        <v>50.596504919999994</v>
      </c>
      <c r="H16" s="310">
        <v>41.937459880696615</v>
      </c>
      <c r="I16" s="580">
        <f t="shared" si="0"/>
        <v>0.20647519100910183</v>
      </c>
      <c r="J16" s="402">
        <v>51.033434585075</v>
      </c>
      <c r="K16" s="580">
        <f t="shared" si="2"/>
        <v>-0.17823559747316231</v>
      </c>
      <c r="L16" s="29"/>
    </row>
    <row r="17" spans="1:12" ht="11.25" customHeight="1">
      <c r="A17" s="162" t="s">
        <v>30</v>
      </c>
      <c r="B17" s="400">
        <v>74.899055544999996</v>
      </c>
      <c r="C17" s="309">
        <v>76.693364965000001</v>
      </c>
      <c r="D17" s="401">
        <v>76.637353504999993</v>
      </c>
      <c r="E17" s="400">
        <v>62.632254656498645</v>
      </c>
      <c r="F17" s="319">
        <f t="shared" si="1"/>
        <v>0.22360840952175742</v>
      </c>
      <c r="G17" s="400">
        <v>745.19271519000006</v>
      </c>
      <c r="H17" s="309">
        <v>288.16779198629291</v>
      </c>
      <c r="I17" s="319">
        <f>IF(H17=0,"",G17/H17-1)</f>
        <v>1.5859680919005901</v>
      </c>
      <c r="J17" s="400">
        <v>241.0611229636026</v>
      </c>
      <c r="K17" s="319">
        <f t="shared" si="2"/>
        <v>0.19541379565299244</v>
      </c>
      <c r="L17" s="29"/>
    </row>
    <row r="18" spans="1:12" ht="11.25" customHeight="1">
      <c r="A18" s="163" t="s">
        <v>29</v>
      </c>
      <c r="B18" s="402">
        <v>149.6194183675</v>
      </c>
      <c r="C18" s="310">
        <v>139.23549507999999</v>
      </c>
      <c r="D18" s="403">
        <v>139.86001345999998</v>
      </c>
      <c r="E18" s="402">
        <v>92.030563942929874</v>
      </c>
      <c r="F18" s="580">
        <f t="shared" si="1"/>
        <v>0.51971266357478996</v>
      </c>
      <c r="G18" s="402">
        <v>1493.6338640475001</v>
      </c>
      <c r="H18" s="310">
        <v>1065.2272572094798</v>
      </c>
      <c r="I18" s="580">
        <f>IF(H18=0,"",G18/H18-1)</f>
        <v>0.40217390602667713</v>
      </c>
      <c r="J18" s="402">
        <v>1051.9592116548417</v>
      </c>
      <c r="K18" s="580">
        <f t="shared" si="2"/>
        <v>1.2612699625269785E-2</v>
      </c>
      <c r="L18" s="29"/>
    </row>
    <row r="19" spans="1:12" ht="11.25" customHeight="1">
      <c r="A19" s="168" t="s">
        <v>44</v>
      </c>
      <c r="B19" s="404">
        <f>SUM(B6:B18)</f>
        <v>4354.5890086975005</v>
      </c>
      <c r="C19" s="405">
        <f>SUM(C6:C18)</f>
        <v>4279.4102340975023</v>
      </c>
      <c r="D19" s="406">
        <f>SUM(D6:D18)</f>
        <v>4496.0842162125018</v>
      </c>
      <c r="E19" s="404">
        <f>SUM(E6:E18)</f>
        <v>4210.7054213326592</v>
      </c>
      <c r="F19" s="581">
        <f>IF(E19=0,"",D19/E19-1)</f>
        <v>6.7774580818223518E-2</v>
      </c>
      <c r="G19" s="404">
        <f>SUM(G6:G18)</f>
        <v>50816.785093460014</v>
      </c>
      <c r="H19" s="405">
        <f>SUM(H6:H18)</f>
        <v>48993.250667493405</v>
      </c>
      <c r="I19" s="581">
        <f>IF(H19=0,"",G19/H19-1)</f>
        <v>3.7220115038753887E-2</v>
      </c>
      <c r="J19" s="404">
        <f>SUM(J6:J18)</f>
        <v>48189.570003934816</v>
      </c>
      <c r="K19" s="581">
        <f t="shared" si="2"/>
        <v>1.6677481527495708E-2</v>
      </c>
      <c r="L19" s="39"/>
    </row>
    <row r="20" spans="1:12" ht="11.25" customHeight="1">
      <c r="A20" s="29"/>
      <c r="B20" s="29"/>
      <c r="C20" s="29"/>
      <c r="D20" s="29"/>
      <c r="E20" s="29"/>
      <c r="F20" s="29"/>
      <c r="G20" s="29"/>
      <c r="H20" s="29"/>
      <c r="I20" s="29"/>
      <c r="J20" s="29"/>
      <c r="K20" s="29"/>
      <c r="L20" s="29"/>
    </row>
    <row r="21" spans="1:12" ht="11.25" customHeight="1">
      <c r="A21" s="164" t="s">
        <v>40</v>
      </c>
      <c r="B21" s="295">
        <v>6.9169657400000002</v>
      </c>
      <c r="C21" s="296">
        <v>0</v>
      </c>
      <c r="D21" s="490">
        <v>0</v>
      </c>
      <c r="E21" s="295">
        <v>0</v>
      </c>
      <c r="F21" s="141" t="str">
        <f>IF(E21=0,"",D21/E21-1)</f>
        <v/>
      </c>
      <c r="G21" s="295">
        <v>21.20075765</v>
      </c>
      <c r="H21" s="489">
        <v>16.595158999999999</v>
      </c>
      <c r="I21" s="144">
        <f>IF(H21=0,"",G21/H21-1)</f>
        <v>0.27752663593039406</v>
      </c>
      <c r="J21" s="295">
        <v>22.400469620000003</v>
      </c>
      <c r="K21" s="141">
        <f>IF(J21=0,"",H21/J21-1)</f>
        <v>-0.25916021933829447</v>
      </c>
      <c r="L21" s="29"/>
    </row>
    <row r="22" spans="1:12" ht="11.25" customHeight="1">
      <c r="A22" s="165" t="s">
        <v>41</v>
      </c>
      <c r="B22" s="292">
        <v>0</v>
      </c>
      <c r="C22" s="293">
        <v>0</v>
      </c>
      <c r="D22" s="294">
        <v>0</v>
      </c>
      <c r="E22" s="292">
        <v>0</v>
      </c>
      <c r="F22" s="142" t="str">
        <f>IF(E22=0,"",D22/E22-1)</f>
        <v/>
      </c>
      <c r="G22" s="292">
        <v>0</v>
      </c>
      <c r="H22" s="293">
        <v>0</v>
      </c>
      <c r="I22" s="136" t="str">
        <f>IF(H22=0,"",G22/H22-1)</f>
        <v/>
      </c>
      <c r="J22" s="292">
        <v>37.352100999999998</v>
      </c>
      <c r="K22" s="142">
        <f>IF(J22=0,"",H22/J22-1)</f>
        <v>-1</v>
      </c>
      <c r="L22" s="29"/>
    </row>
    <row r="23" spans="1:12" ht="23.25" customHeight="1">
      <c r="A23" s="166" t="s">
        <v>42</v>
      </c>
      <c r="B23" s="305">
        <f>+B22-B21</f>
        <v>-6.9169657400000002</v>
      </c>
      <c r="C23" s="306">
        <f>+C22-C21</f>
        <v>0</v>
      </c>
      <c r="D23" s="585">
        <f>+D22-D21</f>
        <v>0</v>
      </c>
      <c r="E23" s="305">
        <f>+E22-E21</f>
        <v>0</v>
      </c>
      <c r="F23" s="143"/>
      <c r="G23" s="305">
        <f>+G22-G21</f>
        <v>-21.20075765</v>
      </c>
      <c r="H23" s="306">
        <f>+H22-H21</f>
        <v>-16.595158999999999</v>
      </c>
      <c r="I23" s="145"/>
      <c r="J23" s="305">
        <f>+J22-J21</f>
        <v>14.951631379999995</v>
      </c>
      <c r="K23" s="143"/>
      <c r="L23" s="39"/>
    </row>
    <row r="24" spans="1:12" ht="11.25" customHeight="1">
      <c r="A24" s="290" t="s">
        <v>247</v>
      </c>
      <c r="B24" s="154"/>
      <c r="C24" s="154"/>
      <c r="D24" s="154"/>
      <c r="E24" s="154"/>
      <c r="F24" s="154"/>
      <c r="G24" s="154"/>
      <c r="H24" s="155"/>
      <c r="I24" s="155"/>
      <c r="J24" s="154"/>
      <c r="K24" s="156"/>
      <c r="L24" s="29"/>
    </row>
    <row r="25" spans="1:12" ht="11.25" customHeight="1">
      <c r="A25" s="131" t="s">
        <v>792</v>
      </c>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290" t="str">
        <f>"Gráfico N° 5: Comparación de la producción de energía eléctrica (GWh) por tipo de recurso energético acumulado a "&amp;'1. Resumen'!Q4&amp;"."</f>
        <v>Gráfico N° 5: Comparación de la producción de energía eléctrica (GWh) por tipo de recurso energético acumulado a diciembre.</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Noviembre 2018
INFSGI-MES-11-2018
10/12/2018
Versión: 01</oddHeader>
    <oddFooter>&amp;L&amp;7COES, 2018&amp;C4&amp;R&amp;7Dirección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45" zoomScaleNormal="100" zoomScaleSheetLayoutView="145" zoomScalePageLayoutView="160" workbookViewId="0">
      <selection activeCell="D4" sqref="D4"/>
    </sheetView>
  </sheetViews>
  <sheetFormatPr defaultColWidth="9.33203125"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38" t="s">
        <v>255</v>
      </c>
      <c r="B2" s="938"/>
      <c r="C2" s="938"/>
      <c r="D2" s="938"/>
      <c r="E2" s="938"/>
      <c r="F2" s="938"/>
      <c r="G2" s="938"/>
      <c r="H2" s="938"/>
      <c r="I2" s="938"/>
      <c r="J2" s="938"/>
      <c r="K2" s="938"/>
      <c r="L2" s="45"/>
    </row>
    <row r="3" spans="1:12" ht="11.25" customHeight="1">
      <c r="A3" s="92"/>
      <c r="B3" s="91"/>
      <c r="C3" s="91"/>
      <c r="D3" s="91"/>
      <c r="E3" s="91"/>
      <c r="F3" s="91"/>
      <c r="G3" s="91"/>
      <c r="H3" s="91"/>
      <c r="I3" s="91"/>
      <c r="J3" s="91"/>
      <c r="K3" s="91"/>
      <c r="L3" s="45"/>
    </row>
    <row r="4" spans="1:12" ht="15.75" customHeight="1">
      <c r="A4" s="936" t="s">
        <v>251</v>
      </c>
      <c r="B4" s="933" t="s">
        <v>33</v>
      </c>
      <c r="C4" s="934"/>
      <c r="D4" s="934"/>
      <c r="E4" s="934" t="s">
        <v>34</v>
      </c>
      <c r="F4" s="934"/>
      <c r="G4" s="935" t="str">
        <f>+'4. Tipo Recurso'!G4:K4</f>
        <v>Generación Acumulada a diciembre</v>
      </c>
      <c r="H4" s="935"/>
      <c r="I4" s="935"/>
      <c r="J4" s="935"/>
      <c r="K4" s="935"/>
      <c r="L4" s="29"/>
    </row>
    <row r="5" spans="1:12" ht="29.25" customHeight="1">
      <c r="A5" s="936"/>
      <c r="B5" s="726">
        <f>+'4. Tipo Recurso'!B5</f>
        <v>43377</v>
      </c>
      <c r="C5" s="726">
        <f>+'4. Tipo Recurso'!C5</f>
        <v>43407</v>
      </c>
      <c r="D5" s="726">
        <f>+'4. Tipo Recurso'!D5</f>
        <v>43435</v>
      </c>
      <c r="E5" s="726">
        <f>+'4. Tipo Recurso'!E5</f>
        <v>43070</v>
      </c>
      <c r="F5" s="726" t="s">
        <v>35</v>
      </c>
      <c r="G5" s="728">
        <v>2018</v>
      </c>
      <c r="H5" s="728">
        <v>2017</v>
      </c>
      <c r="I5" s="727" t="s">
        <v>43</v>
      </c>
      <c r="J5" s="728">
        <v>2016</v>
      </c>
      <c r="K5" s="727" t="s">
        <v>36</v>
      </c>
      <c r="L5" s="31"/>
    </row>
    <row r="6" spans="1:12" ht="11.25" customHeight="1">
      <c r="A6" s="161" t="s">
        <v>46</v>
      </c>
      <c r="B6" s="397">
        <v>104.82892481</v>
      </c>
      <c r="C6" s="398">
        <v>143.15945924499999</v>
      </c>
      <c r="D6" s="399">
        <v>138.42144508000001</v>
      </c>
      <c r="E6" s="397">
        <v>93.013492120131772</v>
      </c>
      <c r="F6" s="318">
        <f t="shared" ref="F6:F11" si="0">IF(E6=0,"",D6/E6-1)</f>
        <v>0.48818673425594539</v>
      </c>
      <c r="G6" s="397">
        <v>1290.8966449950001</v>
      </c>
      <c r="H6" s="398">
        <v>1001.8839071484376</v>
      </c>
      <c r="I6" s="322">
        <f t="shared" ref="I6:I11" si="1">IF(H6=0,"",G6/H6-1)</f>
        <v>0.28846928849186781</v>
      </c>
      <c r="J6" s="397">
        <v>850.33699693463234</v>
      </c>
      <c r="K6" s="318">
        <f t="shared" ref="K6:K11" si="2">IF(J6=0,"",H6/J6-1)</f>
        <v>0.17821982432860684</v>
      </c>
      <c r="L6" s="313"/>
    </row>
    <row r="7" spans="1:12" ht="11.25" customHeight="1">
      <c r="A7" s="162" t="s">
        <v>39</v>
      </c>
      <c r="B7" s="400">
        <v>149.6194183675</v>
      </c>
      <c r="C7" s="309">
        <v>139.23549507999999</v>
      </c>
      <c r="D7" s="401">
        <v>139.86001345999998</v>
      </c>
      <c r="E7" s="400">
        <v>92.030563942929874</v>
      </c>
      <c r="F7" s="319">
        <f t="shared" si="0"/>
        <v>0.51971266357478996</v>
      </c>
      <c r="G7" s="400">
        <v>1493.6338640475001</v>
      </c>
      <c r="H7" s="309">
        <v>1065.2272572094798</v>
      </c>
      <c r="I7" s="302">
        <f t="shared" si="1"/>
        <v>0.40217390602667713</v>
      </c>
      <c r="J7" s="400">
        <v>1051.9592116548417</v>
      </c>
      <c r="K7" s="319">
        <f t="shared" si="2"/>
        <v>1.2612699625269785E-2</v>
      </c>
      <c r="L7" s="313"/>
    </row>
    <row r="8" spans="1:12" ht="11.25" customHeight="1">
      <c r="A8" s="316" t="s">
        <v>30</v>
      </c>
      <c r="B8" s="602">
        <v>74.899055544999996</v>
      </c>
      <c r="C8" s="408">
        <v>76.693364965000001</v>
      </c>
      <c r="D8" s="603">
        <v>76.637353504999993</v>
      </c>
      <c r="E8" s="602">
        <v>62.632254656498645</v>
      </c>
      <c r="F8" s="320">
        <f t="shared" si="0"/>
        <v>0.22360840952175742</v>
      </c>
      <c r="G8" s="602">
        <v>745.19271519000006</v>
      </c>
      <c r="H8" s="408">
        <v>288.16779198629291</v>
      </c>
      <c r="I8" s="315">
        <f t="shared" si="1"/>
        <v>1.5859680919005901</v>
      </c>
      <c r="J8" s="602">
        <v>241.0611229636026</v>
      </c>
      <c r="K8" s="320">
        <f t="shared" si="2"/>
        <v>0.19541379565299244</v>
      </c>
      <c r="L8" s="313"/>
    </row>
    <row r="9" spans="1:12" ht="11.25" customHeight="1">
      <c r="A9" s="162" t="s">
        <v>50</v>
      </c>
      <c r="B9" s="400">
        <v>8.2844029750000008</v>
      </c>
      <c r="C9" s="309">
        <v>8.245808672499999</v>
      </c>
      <c r="D9" s="401">
        <f>10.8946795025</f>
        <v>10.894679502500001</v>
      </c>
      <c r="E9" s="400">
        <v>5.4871707007249997</v>
      </c>
      <c r="F9" s="319">
        <f t="shared" si="0"/>
        <v>0.98548215404717165</v>
      </c>
      <c r="G9" s="400">
        <v>93.812061187500007</v>
      </c>
      <c r="H9" s="309">
        <v>81.687220158217897</v>
      </c>
      <c r="I9" s="302">
        <f t="shared" si="1"/>
        <v>0.14843008497287347</v>
      </c>
      <c r="J9" s="400">
        <v>86.506839575721401</v>
      </c>
      <c r="K9" s="319">
        <f t="shared" si="2"/>
        <v>-5.571373825632342E-2</v>
      </c>
      <c r="L9" s="44"/>
    </row>
    <row r="10" spans="1:12" ht="11.25" customHeight="1">
      <c r="A10" s="317" t="s">
        <v>51</v>
      </c>
      <c r="B10" s="604">
        <v>5.6186687374999993</v>
      </c>
      <c r="C10" s="605">
        <v>5.6764640524999992</v>
      </c>
      <c r="D10" s="606">
        <v>5.7141024249999992</v>
      </c>
      <c r="E10" s="604">
        <v>4.1151104249999992</v>
      </c>
      <c r="F10" s="321">
        <f t="shared" si="0"/>
        <v>0.38856600063168423</v>
      </c>
      <c r="G10" s="604">
        <v>50.596504919999994</v>
      </c>
      <c r="H10" s="605">
        <v>41.937459880696615</v>
      </c>
      <c r="I10" s="323">
        <f t="shared" si="1"/>
        <v>0.20647519100910183</v>
      </c>
      <c r="J10" s="604">
        <v>51.033434585075</v>
      </c>
      <c r="K10" s="321">
        <f t="shared" si="2"/>
        <v>-0.17823559747316231</v>
      </c>
      <c r="L10" s="314"/>
    </row>
    <row r="11" spans="1:12" ht="11.25" customHeight="1">
      <c r="A11" s="324" t="s">
        <v>248</v>
      </c>
      <c r="B11" s="502">
        <f t="shared" ref="B11:E11" si="3">+SUM(B6:B10)</f>
        <v>343.25047043500001</v>
      </c>
      <c r="C11" s="503">
        <f t="shared" si="3"/>
        <v>373.01059201499999</v>
      </c>
      <c r="D11" s="504">
        <f t="shared" si="3"/>
        <v>371.52759397250003</v>
      </c>
      <c r="E11" s="505">
        <f t="shared" si="3"/>
        <v>257.27859184528529</v>
      </c>
      <c r="F11" s="325">
        <f t="shared" si="0"/>
        <v>0.44406727084357822</v>
      </c>
      <c r="G11" s="600">
        <f>+SUM(G6:G10)</f>
        <v>3674.13179034</v>
      </c>
      <c r="H11" s="601">
        <f>+SUM(H6:H10)</f>
        <v>2478.9036363831246</v>
      </c>
      <c r="I11" s="326">
        <f t="shared" si="1"/>
        <v>0.48215999057582892</v>
      </c>
      <c r="J11" s="600">
        <f>+SUM(J6:J10)</f>
        <v>2280.897605713873</v>
      </c>
      <c r="K11" s="325">
        <f t="shared" si="2"/>
        <v>8.6810574123637574E-2</v>
      </c>
      <c r="L11" s="29"/>
    </row>
    <row r="12" spans="1:12" ht="24.75" customHeight="1">
      <c r="A12" s="327" t="s">
        <v>249</v>
      </c>
      <c r="B12" s="328">
        <f>B11/'4. Tipo Recurso'!B19</f>
        <v>7.8824998122536835E-2</v>
      </c>
      <c r="C12" s="326">
        <f>C11/'4. Tipo Recurso'!C19</f>
        <v>8.7164018313300437E-2</v>
      </c>
      <c r="D12" s="325">
        <f>D11/'4. Tipo Recurso'!D19</f>
        <v>8.2633593168206843E-2</v>
      </c>
      <c r="E12" s="328">
        <f>E11/'4. Tipo Recurso'!E19</f>
        <v>6.1101066472576557E-2</v>
      </c>
      <c r="F12" s="329"/>
      <c r="G12" s="328">
        <f>G11/'4. Tipo Recurso'!G19</f>
        <v>7.2301539414244664E-2</v>
      </c>
      <c r="H12" s="326">
        <f>H11/'4. Tipo Recurso'!H19</f>
        <v>5.0596839413798188E-2</v>
      </c>
      <c r="I12" s="326"/>
      <c r="J12" s="328">
        <f>J11/'4. Tipo Recurso'!J19</f>
        <v>4.733176920913864E-2</v>
      </c>
      <c r="K12" s="329"/>
      <c r="L12" s="29"/>
    </row>
    <row r="13" spans="1:12" ht="11.25" customHeight="1">
      <c r="A13" s="330" t="s">
        <v>250</v>
      </c>
      <c r="B13" s="155"/>
      <c r="C13" s="155"/>
      <c r="D13" s="155"/>
      <c r="E13" s="155"/>
      <c r="F13" s="155"/>
      <c r="G13" s="155"/>
      <c r="H13" s="155"/>
      <c r="I13" s="155"/>
      <c r="J13" s="155"/>
      <c r="K13" s="156"/>
      <c r="L13" s="29"/>
    </row>
    <row r="14" spans="1:12" ht="23.25" customHeight="1">
      <c r="A14" s="939" t="s">
        <v>601</v>
      </c>
      <c r="B14" s="939"/>
      <c r="C14" s="939"/>
      <c r="D14" s="939"/>
      <c r="E14" s="939"/>
      <c r="F14" s="939"/>
      <c r="G14" s="939"/>
      <c r="H14" s="939"/>
      <c r="I14" s="939"/>
      <c r="J14" s="939"/>
      <c r="K14" s="939"/>
      <c r="L14" s="29"/>
    </row>
    <row r="15" spans="1:12" ht="11.25" customHeight="1">
      <c r="A15" s="131" t="s">
        <v>792</v>
      </c>
      <c r="L15" s="29"/>
    </row>
    <row r="16" spans="1:12" ht="11.25" customHeight="1">
      <c r="A16" s="157"/>
      <c r="B16" s="169"/>
      <c r="C16" s="169"/>
      <c r="D16" s="169"/>
      <c r="E16" s="169"/>
      <c r="F16" s="169"/>
      <c r="G16" s="169"/>
      <c r="H16" s="169"/>
      <c r="I16" s="169"/>
      <c r="J16" s="169"/>
      <c r="K16" s="169"/>
      <c r="L16" s="29"/>
    </row>
    <row r="17" spans="1:12" ht="11.25" customHeight="1">
      <c r="A17" s="169"/>
      <c r="B17" s="169"/>
      <c r="C17" s="169"/>
      <c r="D17" s="169"/>
      <c r="E17" s="169"/>
      <c r="F17" s="169"/>
      <c r="G17" s="169"/>
      <c r="H17" s="169"/>
      <c r="I17" s="169"/>
      <c r="J17" s="169"/>
      <c r="K17" s="169"/>
      <c r="L17" s="29"/>
    </row>
    <row r="18" spans="1:12" ht="11.25" customHeight="1">
      <c r="A18" s="169"/>
      <c r="B18" s="169"/>
      <c r="C18" s="169"/>
      <c r="D18" s="169"/>
      <c r="E18" s="169"/>
      <c r="F18" s="169"/>
      <c r="G18" s="169"/>
      <c r="H18" s="169"/>
      <c r="I18" s="169"/>
      <c r="J18" s="169"/>
      <c r="K18" s="169"/>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37" t="str">
        <f>"Gráfico N° 6: Comparación de la producción de energía eléctrica acumulada (GWh) con recursos energéticos renovables en "&amp;'1. Resumen'!Q4&amp;"."</f>
        <v>Gráfico N° 6: Comparación de la producción de energía eléctrica acumulada (GWh) con recursos energéticos renovables en diciembre.</v>
      </c>
      <c r="B34" s="937"/>
      <c r="C34" s="937"/>
      <c r="D34" s="937"/>
      <c r="E34" s="937"/>
      <c r="F34" s="937"/>
      <c r="G34" s="937"/>
      <c r="H34" s="937"/>
      <c r="I34" s="937"/>
      <c r="J34" s="937"/>
      <c r="K34" s="937"/>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31" t="s">
        <v>253</v>
      </c>
      <c r="D39" s="187"/>
      <c r="E39" s="187"/>
      <c r="F39" s="599">
        <f>+'4. Tipo Recurso'!D19</f>
        <v>4496.0842162125018</v>
      </c>
      <c r="G39" s="331" t="s">
        <v>252</v>
      </c>
      <c r="H39" s="159"/>
      <c r="I39" s="159"/>
      <c r="J39" s="159"/>
      <c r="K39" s="159"/>
      <c r="L39" s="29"/>
      <c r="M39" s="332">
        <f>+F39-F40</f>
        <v>4124.5542162125021</v>
      </c>
      <c r="P39" s="506"/>
    </row>
    <row r="40" spans="1:16" ht="11.25" customHeight="1">
      <c r="A40" s="157"/>
      <c r="B40" s="159"/>
      <c r="C40" s="331" t="s">
        <v>254</v>
      </c>
      <c r="D40" s="187"/>
      <c r="E40" s="187"/>
      <c r="F40" s="599">
        <f>ROUND(D11,2)</f>
        <v>371.53</v>
      </c>
      <c r="G40" s="331" t="s">
        <v>252</v>
      </c>
      <c r="H40" s="159"/>
      <c r="I40" s="159"/>
      <c r="J40" s="159"/>
      <c r="K40" s="159"/>
      <c r="L40" s="29"/>
      <c r="M40" s="506"/>
      <c r="P40" s="506"/>
    </row>
    <row r="41" spans="1:16" ht="11.25" customHeight="1">
      <c r="A41" s="157"/>
      <c r="B41" s="159"/>
      <c r="C41" s="159"/>
      <c r="D41" s="159"/>
      <c r="E41" s="159"/>
      <c r="F41" s="159"/>
      <c r="G41" s="159"/>
      <c r="H41" s="159"/>
      <c r="I41" s="159"/>
      <c r="J41" s="159"/>
      <c r="K41" s="159"/>
      <c r="L41" s="29"/>
      <c r="P41" s="506"/>
    </row>
    <row r="42" spans="1:16" ht="11.25" customHeight="1">
      <c r="A42" s="157"/>
      <c r="B42" s="159"/>
      <c r="C42" s="159"/>
      <c r="D42" s="159"/>
      <c r="E42" s="159"/>
      <c r="F42" s="159"/>
      <c r="G42" s="159"/>
      <c r="H42" s="159"/>
      <c r="I42" s="159"/>
      <c r="J42" s="159"/>
      <c r="K42" s="159"/>
      <c r="L42" s="29"/>
      <c r="P42" s="506"/>
    </row>
    <row r="43" spans="1:16" ht="11.25" customHeight="1">
      <c r="A43" s="157"/>
      <c r="B43" s="159"/>
      <c r="C43" s="159"/>
      <c r="D43" s="159"/>
      <c r="E43" s="159"/>
      <c r="F43" s="159"/>
      <c r="G43" s="159"/>
      <c r="H43" s="159"/>
      <c r="I43" s="159"/>
      <c r="J43" s="159"/>
      <c r="K43" s="159"/>
      <c r="L43" s="29"/>
      <c r="P43" s="506"/>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290" t="str">
        <f>"Gráfico N° 7: Participación de las RER en la Matriz de Generación del SEIN en "&amp;'1. Resumen'!Q4&amp;" "&amp;'1. Resumen'!Q5&amp;"."</f>
        <v>Gráfico N° 7: Participación de las RER en la Matriz de Generación del SEIN en diciembre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Diciembre 2018
INFSGI-MES-12-2018
15/01/2019
Versión: 01</oddHeader>
    <oddFooter>&amp;L&amp;7COES, 2018&amp;C5&amp;R&amp;7Dirección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Y64"/>
  <sheetViews>
    <sheetView showGridLines="0" view="pageBreakPreview" zoomScale="160" zoomScaleNormal="100" zoomScaleSheetLayoutView="160" zoomScalePageLayoutView="160" workbookViewId="0">
      <selection activeCell="D4" sqref="D4"/>
    </sheetView>
  </sheetViews>
  <sheetFormatPr defaultColWidth="9.33203125" defaultRowHeight="11.25"/>
  <cols>
    <col min="1" max="11" width="10.33203125" style="3" customWidth="1"/>
    <col min="12" max="12" width="21.1640625" style="608" bestFit="1" customWidth="1"/>
    <col min="13" max="14" width="9.33203125" style="608"/>
    <col min="15" max="15" width="11.83203125" style="608" customWidth="1"/>
    <col min="16" max="17" width="9.33203125" style="608"/>
    <col min="18" max="19" width="9.33203125" style="609"/>
    <col min="20" max="20" width="15" style="609" customWidth="1"/>
    <col min="21" max="22" width="9.33203125" style="609"/>
    <col min="23" max="16384" width="9.33203125" style="3"/>
  </cols>
  <sheetData>
    <row r="2" spans="1:25" ht="11.25" customHeight="1">
      <c r="A2" s="940" t="s">
        <v>260</v>
      </c>
      <c r="B2" s="940"/>
      <c r="C2" s="940"/>
      <c r="D2" s="940"/>
      <c r="E2" s="940"/>
      <c r="F2" s="940"/>
      <c r="G2" s="940"/>
      <c r="H2" s="940"/>
      <c r="I2" s="940"/>
      <c r="J2" s="940"/>
      <c r="K2" s="940"/>
    </row>
    <row r="3" spans="1:25" ht="11.25" customHeight="1"/>
    <row r="4" spans="1:25" ht="11.25" customHeight="1">
      <c r="L4" s="610" t="s">
        <v>56</v>
      </c>
      <c r="M4" s="611" t="s">
        <v>31</v>
      </c>
      <c r="N4" s="610"/>
      <c r="O4" s="612"/>
      <c r="P4" s="613"/>
      <c r="Q4" s="613"/>
    </row>
    <row r="5" spans="1:25" ht="11.25" customHeight="1">
      <c r="A5" s="171"/>
      <c r="B5" s="159"/>
      <c r="C5" s="159"/>
      <c r="D5" s="159"/>
      <c r="E5" s="159"/>
      <c r="F5" s="159"/>
      <c r="G5" s="159"/>
      <c r="H5" s="159"/>
      <c r="I5" s="159"/>
      <c r="J5" s="159"/>
      <c r="K5" s="159"/>
      <c r="L5" s="610"/>
      <c r="M5" s="611"/>
      <c r="N5" s="610"/>
      <c r="O5" s="610" t="s">
        <v>57</v>
      </c>
      <c r="P5" s="610" t="s">
        <v>58</v>
      </c>
      <c r="Q5" s="610"/>
      <c r="U5" s="609">
        <v>2018</v>
      </c>
      <c r="V5" s="609">
        <v>2017</v>
      </c>
    </row>
    <row r="6" spans="1:25" ht="11.25" customHeight="1">
      <c r="A6" s="132"/>
      <c r="B6" s="159"/>
      <c r="C6" s="159"/>
      <c r="D6" s="159"/>
      <c r="E6" s="159"/>
      <c r="F6" s="159"/>
      <c r="G6" s="159"/>
      <c r="H6" s="159"/>
      <c r="I6" s="159"/>
      <c r="J6" s="159"/>
      <c r="K6" s="159"/>
      <c r="L6" s="614" t="s">
        <v>510</v>
      </c>
      <c r="M6" s="614" t="s">
        <v>60</v>
      </c>
      <c r="N6" s="616">
        <v>20</v>
      </c>
      <c r="O6" s="615">
        <v>14.796658617499999</v>
      </c>
      <c r="P6" s="615">
        <v>0.99439910063844084</v>
      </c>
      <c r="Q6" s="615"/>
      <c r="S6" s="609" t="s">
        <v>60</v>
      </c>
      <c r="T6" s="609" t="s">
        <v>61</v>
      </c>
      <c r="U6" s="617">
        <v>1</v>
      </c>
      <c r="V6" s="617">
        <v>1.0309999999999999</v>
      </c>
      <c r="X6" s="609"/>
      <c r="Y6" s="609"/>
    </row>
    <row r="7" spans="1:25" ht="11.25" customHeight="1">
      <c r="A7" s="157"/>
      <c r="B7" s="159"/>
      <c r="C7" s="159"/>
      <c r="D7" s="159"/>
      <c r="E7" s="159"/>
      <c r="F7" s="159"/>
      <c r="G7" s="159"/>
      <c r="H7" s="159"/>
      <c r="I7" s="159"/>
      <c r="J7" s="159"/>
      <c r="K7" s="159"/>
      <c r="L7" s="614" t="s">
        <v>59</v>
      </c>
      <c r="M7" s="614" t="s">
        <v>60</v>
      </c>
      <c r="N7" s="616">
        <v>19.966000000000001</v>
      </c>
      <c r="O7" s="615">
        <v>12.804283142500001</v>
      </c>
      <c r="P7" s="615">
        <v>0.86196824537870287</v>
      </c>
      <c r="Q7" s="615"/>
      <c r="T7" s="609" t="s">
        <v>510</v>
      </c>
      <c r="U7" s="617">
        <v>0.93748709423998255</v>
      </c>
      <c r="V7" s="617"/>
      <c r="X7" s="609"/>
      <c r="Y7" s="609"/>
    </row>
    <row r="8" spans="1:25" ht="11.25" customHeight="1">
      <c r="A8" s="157"/>
      <c r="B8" s="159"/>
      <c r="C8" s="159"/>
      <c r="D8" s="159"/>
      <c r="E8" s="159"/>
      <c r="F8" s="159"/>
      <c r="G8" s="159"/>
      <c r="H8" s="159"/>
      <c r="I8" s="159"/>
      <c r="J8" s="159"/>
      <c r="K8" s="159"/>
      <c r="L8" s="614" t="s">
        <v>61</v>
      </c>
      <c r="M8" s="614" t="s">
        <v>60</v>
      </c>
      <c r="N8" s="616">
        <v>15</v>
      </c>
      <c r="O8" s="615">
        <v>12.416066305000001</v>
      </c>
      <c r="P8" s="615">
        <v>1.1125507441756273</v>
      </c>
      <c r="Q8" s="615"/>
      <c r="T8" s="609" t="s">
        <v>64</v>
      </c>
      <c r="U8" s="617">
        <v>0.8126698725733289</v>
      </c>
      <c r="V8" s="617">
        <v>0.93700000000000006</v>
      </c>
      <c r="X8" s="609"/>
      <c r="Y8" s="609"/>
    </row>
    <row r="9" spans="1:25" ht="11.25" customHeight="1">
      <c r="A9" s="157"/>
      <c r="B9" s="159"/>
      <c r="C9" s="159"/>
      <c r="D9" s="159"/>
      <c r="E9" s="159"/>
      <c r="F9" s="159"/>
      <c r="G9" s="159"/>
      <c r="H9" s="159"/>
      <c r="I9" s="159"/>
      <c r="J9" s="159"/>
      <c r="K9" s="159"/>
      <c r="L9" s="614" t="s">
        <v>65</v>
      </c>
      <c r="M9" s="795" t="s">
        <v>60</v>
      </c>
      <c r="N9" s="616">
        <v>19.899999999999999</v>
      </c>
      <c r="O9" s="615">
        <v>11.337685907499999</v>
      </c>
      <c r="P9" s="615">
        <v>0.76577010776327881</v>
      </c>
      <c r="Q9" s="615"/>
      <c r="T9" s="609" t="s">
        <v>68</v>
      </c>
      <c r="U9" s="617">
        <v>0.80333934229183057</v>
      </c>
      <c r="V9" s="617">
        <v>0.76800000000000002</v>
      </c>
      <c r="X9" s="609"/>
      <c r="Y9" s="609"/>
    </row>
    <row r="10" spans="1:25" ht="11.25" customHeight="1">
      <c r="A10" s="157"/>
      <c r="B10" s="159"/>
      <c r="C10" s="159"/>
      <c r="D10" s="159"/>
      <c r="E10" s="159"/>
      <c r="F10" s="159"/>
      <c r="G10" s="159"/>
      <c r="H10" s="159"/>
      <c r="I10" s="159"/>
      <c r="J10" s="159"/>
      <c r="K10" s="159"/>
      <c r="L10" s="614" t="s">
        <v>62</v>
      </c>
      <c r="M10" s="795" t="s">
        <v>60</v>
      </c>
      <c r="N10" s="616">
        <v>19.966999999999999</v>
      </c>
      <c r="O10" s="615">
        <v>10.41713996</v>
      </c>
      <c r="P10" s="615">
        <v>0.70123364573050917</v>
      </c>
      <c r="Q10" s="615"/>
      <c r="T10" s="609" t="s">
        <v>59</v>
      </c>
      <c r="U10" s="617">
        <v>0.76503767340551998</v>
      </c>
      <c r="V10" s="617">
        <v>0.71599999999999997</v>
      </c>
      <c r="X10" s="609"/>
      <c r="Y10" s="609"/>
    </row>
    <row r="11" spans="1:25" ht="11.25" customHeight="1">
      <c r="A11" s="157"/>
      <c r="B11" s="159"/>
      <c r="C11" s="159"/>
      <c r="D11" s="159"/>
      <c r="E11" s="159"/>
      <c r="F11" s="159"/>
      <c r="G11" s="159"/>
      <c r="H11" s="159"/>
      <c r="I11" s="159"/>
      <c r="J11" s="159"/>
      <c r="K11" s="159"/>
      <c r="L11" s="614" t="s">
        <v>63</v>
      </c>
      <c r="M11" s="795" t="s">
        <v>60</v>
      </c>
      <c r="N11" s="616">
        <v>19.1995</v>
      </c>
      <c r="O11" s="615">
        <v>9.8516598250000005</v>
      </c>
      <c r="P11" s="615">
        <v>0.68967828638290596</v>
      </c>
      <c r="Q11" s="615"/>
      <c r="T11" s="609" t="s">
        <v>75</v>
      </c>
      <c r="U11" s="617">
        <v>0.73256459352666703</v>
      </c>
      <c r="V11" s="617">
        <v>0.67200000000000004</v>
      </c>
      <c r="X11" s="609"/>
      <c r="Y11" s="609"/>
    </row>
    <row r="12" spans="1:25" ht="11.25" customHeight="1">
      <c r="A12" s="157"/>
      <c r="B12" s="159"/>
      <c r="C12" s="159"/>
      <c r="D12" s="159"/>
      <c r="E12" s="159"/>
      <c r="F12" s="159"/>
      <c r="G12" s="159"/>
      <c r="H12" s="159"/>
      <c r="I12" s="159"/>
      <c r="J12" s="159"/>
      <c r="K12" s="159"/>
      <c r="L12" s="614" t="s">
        <v>621</v>
      </c>
      <c r="M12" s="614" t="s">
        <v>60</v>
      </c>
      <c r="N12" s="616">
        <v>20</v>
      </c>
      <c r="O12" s="615">
        <v>7.9597405324999997</v>
      </c>
      <c r="P12" s="615">
        <v>0.53492879922715053</v>
      </c>
      <c r="Q12" s="615"/>
      <c r="T12" s="609" t="s">
        <v>76</v>
      </c>
      <c r="U12" s="617">
        <v>0.72492616194149162</v>
      </c>
      <c r="V12" s="617">
        <v>0.73199999999999998</v>
      </c>
      <c r="X12" s="609"/>
      <c r="Y12" s="609"/>
    </row>
    <row r="13" spans="1:25" ht="11.25" customHeight="1">
      <c r="A13" s="157"/>
      <c r="B13" s="159"/>
      <c r="C13" s="159"/>
      <c r="D13" s="159"/>
      <c r="E13" s="159"/>
      <c r="F13" s="159"/>
      <c r="G13" s="159"/>
      <c r="H13" s="159"/>
      <c r="I13" s="159"/>
      <c r="J13" s="159"/>
      <c r="K13" s="159"/>
      <c r="L13" s="614" t="s">
        <v>567</v>
      </c>
      <c r="M13" s="614" t="s">
        <v>60</v>
      </c>
      <c r="N13" s="616">
        <v>20.16</v>
      </c>
      <c r="O13" s="615">
        <v>6.9298720950000003</v>
      </c>
      <c r="P13" s="615">
        <v>0.46202104234671021</v>
      </c>
      <c r="Q13" s="615"/>
      <c r="T13" s="609" t="s">
        <v>74</v>
      </c>
      <c r="U13" s="617">
        <v>0.72215045145449508</v>
      </c>
      <c r="V13" s="617">
        <v>0.79100000000000004</v>
      </c>
      <c r="X13" s="609"/>
      <c r="Y13" s="609"/>
    </row>
    <row r="14" spans="1:25" ht="11.25" customHeight="1">
      <c r="A14" s="157"/>
      <c r="B14" s="159"/>
      <c r="C14" s="159"/>
      <c r="D14" s="159"/>
      <c r="E14" s="159"/>
      <c r="F14" s="159"/>
      <c r="G14" s="159"/>
      <c r="H14" s="159"/>
      <c r="I14" s="159"/>
      <c r="J14" s="159"/>
      <c r="K14" s="159"/>
      <c r="L14" s="614" t="s">
        <v>568</v>
      </c>
      <c r="M14" s="614" t="s">
        <v>60</v>
      </c>
      <c r="N14" s="616">
        <v>20.16</v>
      </c>
      <c r="O14" s="615">
        <v>6.5698407225000004</v>
      </c>
      <c r="P14" s="615">
        <v>0.43801741461453531</v>
      </c>
      <c r="Q14" s="615"/>
      <c r="T14" s="609" t="s">
        <v>72</v>
      </c>
      <c r="U14" s="617">
        <v>0.716037180479694</v>
      </c>
      <c r="V14" s="617">
        <v>0.62</v>
      </c>
      <c r="X14" s="609"/>
      <c r="Y14" s="609"/>
    </row>
    <row r="15" spans="1:25" ht="11.25" customHeight="1">
      <c r="A15" s="157"/>
      <c r="B15" s="159"/>
      <c r="C15" s="159"/>
      <c r="D15" s="159"/>
      <c r="E15" s="159"/>
      <c r="F15" s="159"/>
      <c r="G15" s="159"/>
      <c r="H15" s="159"/>
      <c r="I15" s="159"/>
      <c r="J15" s="159"/>
      <c r="K15" s="159"/>
      <c r="L15" s="614" t="s">
        <v>64</v>
      </c>
      <c r="M15" s="614" t="s">
        <v>60</v>
      </c>
      <c r="N15" s="616">
        <v>9.9830000000000005</v>
      </c>
      <c r="O15" s="615">
        <v>6.16399878</v>
      </c>
      <c r="P15" s="615">
        <v>0.82990529868518403</v>
      </c>
      <c r="Q15" s="615"/>
      <c r="T15" s="609" t="s">
        <v>66</v>
      </c>
      <c r="U15" s="617">
        <v>0.63167170353539559</v>
      </c>
      <c r="V15" s="617">
        <v>0.50600000000000001</v>
      </c>
      <c r="X15" s="609"/>
      <c r="Y15" s="609"/>
    </row>
    <row r="16" spans="1:25" ht="11.25" customHeight="1">
      <c r="A16" s="157"/>
      <c r="B16" s="159"/>
      <c r="C16" s="159"/>
      <c r="D16" s="159"/>
      <c r="E16" s="159"/>
      <c r="F16" s="159"/>
      <c r="G16" s="159"/>
      <c r="H16" s="159"/>
      <c r="I16" s="159"/>
      <c r="J16" s="159"/>
      <c r="K16" s="159"/>
      <c r="L16" s="614" t="s">
        <v>569</v>
      </c>
      <c r="M16" s="614" t="s">
        <v>60</v>
      </c>
      <c r="N16" s="616">
        <v>20.16</v>
      </c>
      <c r="O16" s="615">
        <v>5.861338505</v>
      </c>
      <c r="P16" s="615">
        <v>0.39078091031159323</v>
      </c>
      <c r="Q16" s="615"/>
      <c r="T16" s="609" t="s">
        <v>67</v>
      </c>
      <c r="U16" s="617">
        <v>0.62073401244118409</v>
      </c>
      <c r="V16" s="617">
        <v>0.496</v>
      </c>
      <c r="X16" s="609"/>
      <c r="Y16" s="609"/>
    </row>
    <row r="17" spans="1:25" ht="11.25" customHeight="1">
      <c r="A17" s="157"/>
      <c r="B17" s="159"/>
      <c r="C17" s="159"/>
      <c r="D17" s="159"/>
      <c r="E17" s="159"/>
      <c r="F17" s="159"/>
      <c r="G17" s="159"/>
      <c r="H17" s="159"/>
      <c r="I17" s="159"/>
      <c r="J17" s="159"/>
      <c r="K17" s="159"/>
      <c r="L17" s="614" t="s">
        <v>68</v>
      </c>
      <c r="M17" s="614" t="s">
        <v>60</v>
      </c>
      <c r="N17" s="616">
        <v>7.7450000000000001</v>
      </c>
      <c r="O17" s="615">
        <v>4.7784045950000005</v>
      </c>
      <c r="P17" s="615">
        <v>0.82925588395565664</v>
      </c>
      <c r="Q17" s="615"/>
      <c r="T17" s="609" t="s">
        <v>63</v>
      </c>
      <c r="U17" s="617">
        <v>0.61622619236183984</v>
      </c>
      <c r="V17" s="617">
        <v>0.64400000000000002</v>
      </c>
      <c r="X17" s="609"/>
      <c r="Y17" s="609"/>
    </row>
    <row r="18" spans="1:25">
      <c r="A18" s="157"/>
      <c r="B18" s="159"/>
      <c r="C18" s="159"/>
      <c r="D18" s="159"/>
      <c r="E18" s="159"/>
      <c r="F18" s="159"/>
      <c r="G18" s="159"/>
      <c r="H18" s="159"/>
      <c r="I18" s="159"/>
      <c r="J18" s="159"/>
      <c r="K18" s="159"/>
      <c r="L18" s="614" t="s">
        <v>69</v>
      </c>
      <c r="M18" s="614" t="s">
        <v>60</v>
      </c>
      <c r="N18" s="616">
        <v>7.4240000000000004</v>
      </c>
      <c r="O18" s="615">
        <v>3.9229125049999998</v>
      </c>
      <c r="P18" s="615">
        <v>0.71022789083501336</v>
      </c>
      <c r="Q18" s="615"/>
      <c r="T18" s="609" t="s">
        <v>62</v>
      </c>
      <c r="U18" s="617">
        <v>0.60644141446400257</v>
      </c>
      <c r="V18" s="617">
        <v>0.57699999999999996</v>
      </c>
      <c r="X18" s="609"/>
      <c r="Y18" s="609"/>
    </row>
    <row r="19" spans="1:25">
      <c r="A19" s="157"/>
      <c r="B19" s="159"/>
      <c r="C19" s="159"/>
      <c r="D19" s="159"/>
      <c r="E19" s="159"/>
      <c r="F19" s="159"/>
      <c r="G19" s="159"/>
      <c r="H19" s="159"/>
      <c r="I19" s="159"/>
      <c r="J19" s="159"/>
      <c r="K19" s="159"/>
      <c r="L19" s="614" t="s">
        <v>66</v>
      </c>
      <c r="M19" s="614" t="s">
        <v>60</v>
      </c>
      <c r="N19" s="616">
        <v>10.222</v>
      </c>
      <c r="O19" s="615">
        <v>3.7259606874999998</v>
      </c>
      <c r="P19" s="615">
        <v>0.48992483630867856</v>
      </c>
      <c r="Q19" s="615"/>
      <c r="T19" s="609" t="s">
        <v>73</v>
      </c>
      <c r="U19" s="617">
        <v>0.60151705599244609</v>
      </c>
      <c r="V19" s="617">
        <v>0.70499999999999996</v>
      </c>
      <c r="X19" s="609"/>
      <c r="Y19" s="609"/>
    </row>
    <row r="20" spans="1:25">
      <c r="A20" s="157"/>
      <c r="B20" s="159"/>
      <c r="C20" s="159"/>
      <c r="D20" s="159"/>
      <c r="E20" s="159"/>
      <c r="F20" s="159"/>
      <c r="G20" s="159"/>
      <c r="H20" s="159"/>
      <c r="I20" s="159"/>
      <c r="J20" s="159"/>
      <c r="K20" s="159"/>
      <c r="L20" s="614" t="s">
        <v>67</v>
      </c>
      <c r="M20" s="614" t="s">
        <v>60</v>
      </c>
      <c r="N20" s="616">
        <v>9.85</v>
      </c>
      <c r="O20" s="615">
        <v>3.5022474674999997</v>
      </c>
      <c r="P20" s="615">
        <v>0.47790069694612741</v>
      </c>
      <c r="Q20" s="615"/>
      <c r="T20" s="609" t="s">
        <v>65</v>
      </c>
      <c r="U20" s="617">
        <v>0.56264461360742068</v>
      </c>
      <c r="V20" s="617">
        <v>0.28599999999999998</v>
      </c>
      <c r="X20" s="609"/>
      <c r="Y20" s="609"/>
    </row>
    <row r="21" spans="1:25">
      <c r="A21" s="157"/>
      <c r="B21" s="159"/>
      <c r="C21" s="159"/>
      <c r="D21" s="159"/>
      <c r="E21" s="159"/>
      <c r="F21" s="159"/>
      <c r="G21" s="159"/>
      <c r="H21" s="159"/>
      <c r="I21" s="159"/>
      <c r="J21" s="159"/>
      <c r="K21" s="159"/>
      <c r="L21" s="614" t="s">
        <v>70</v>
      </c>
      <c r="M21" s="614" t="s">
        <v>60</v>
      </c>
      <c r="N21" s="616">
        <v>6.9580000000000002</v>
      </c>
      <c r="O21" s="615">
        <v>3.472346055</v>
      </c>
      <c r="P21" s="615">
        <v>0.67075765943587784</v>
      </c>
      <c r="Q21" s="615"/>
      <c r="T21" s="609" t="s">
        <v>71</v>
      </c>
      <c r="U21" s="617">
        <v>0.55299914052408794</v>
      </c>
      <c r="V21" s="617">
        <v>0.51300000000000001</v>
      </c>
      <c r="X21" s="609"/>
      <c r="Y21" s="609"/>
    </row>
    <row r="22" spans="1:25">
      <c r="A22" s="157"/>
      <c r="B22" s="159"/>
      <c r="C22" s="159"/>
      <c r="D22" s="159"/>
      <c r="E22" s="159"/>
      <c r="F22" s="159"/>
      <c r="G22" s="159"/>
      <c r="H22" s="159"/>
      <c r="I22" s="159"/>
      <c r="J22" s="159"/>
      <c r="K22" s="159"/>
      <c r="L22" s="614" t="s">
        <v>72</v>
      </c>
      <c r="M22" s="614" t="s">
        <v>60</v>
      </c>
      <c r="N22" s="616">
        <v>5.1890000000000001</v>
      </c>
      <c r="O22" s="615">
        <v>3.170116315</v>
      </c>
      <c r="P22" s="615">
        <v>0.82114261428746094</v>
      </c>
      <c r="Q22" s="615"/>
      <c r="T22" s="609" t="s">
        <v>69</v>
      </c>
      <c r="U22" s="617">
        <v>0.54185108713502295</v>
      </c>
      <c r="V22" s="617">
        <v>0.54800000000000004</v>
      </c>
      <c r="X22" s="609"/>
      <c r="Y22" s="609"/>
    </row>
    <row r="23" spans="1:25">
      <c r="A23" s="157"/>
      <c r="B23" s="159"/>
      <c r="C23" s="159"/>
      <c r="D23" s="159"/>
      <c r="E23" s="159"/>
      <c r="F23" s="159"/>
      <c r="G23" s="159"/>
      <c r="H23" s="159"/>
      <c r="I23" s="159"/>
      <c r="J23" s="159"/>
      <c r="K23" s="159"/>
      <c r="L23" s="614" t="s">
        <v>73</v>
      </c>
      <c r="M23" s="614" t="s">
        <v>60</v>
      </c>
      <c r="N23" s="616">
        <v>5.67</v>
      </c>
      <c r="O23" s="615">
        <v>3.1556602800000002</v>
      </c>
      <c r="P23" s="615">
        <v>0.74805623826591583</v>
      </c>
      <c r="Q23" s="615"/>
      <c r="T23" s="609" t="s">
        <v>70</v>
      </c>
      <c r="U23" s="617">
        <v>0.517279203515286</v>
      </c>
      <c r="V23" s="617">
        <v>0.55800000000000005</v>
      </c>
      <c r="X23" s="609"/>
      <c r="Y23" s="609"/>
    </row>
    <row r="24" spans="1:25">
      <c r="A24" s="157"/>
      <c r="B24" s="159"/>
      <c r="C24" s="159"/>
      <c r="D24" s="159"/>
      <c r="E24" s="159"/>
      <c r="F24" s="159"/>
      <c r="G24" s="159"/>
      <c r="H24" s="159"/>
      <c r="I24" s="159"/>
      <c r="J24" s="159"/>
      <c r="K24" s="159"/>
      <c r="L24" s="614" t="s">
        <v>76</v>
      </c>
      <c r="M24" s="614" t="s">
        <v>60</v>
      </c>
      <c r="N24" s="616">
        <v>3.964</v>
      </c>
      <c r="O24" s="615">
        <v>2.2429000000000001</v>
      </c>
      <c r="P24" s="615">
        <v>0.76050719920141496</v>
      </c>
      <c r="Q24" s="615"/>
      <c r="T24" s="609" t="s">
        <v>621</v>
      </c>
      <c r="U24" s="617">
        <v>0.49558954053030296</v>
      </c>
      <c r="V24" s="617"/>
      <c r="X24" s="609"/>
      <c r="Y24" s="609"/>
    </row>
    <row r="25" spans="1:25">
      <c r="A25" s="157"/>
      <c r="B25" s="159"/>
      <c r="C25" s="159"/>
      <c r="D25" s="159"/>
      <c r="E25" s="159"/>
      <c r="F25" s="159"/>
      <c r="G25" s="159"/>
      <c r="H25" s="159"/>
      <c r="I25" s="159"/>
      <c r="J25" s="159"/>
      <c r="K25" s="159"/>
      <c r="L25" s="614" t="s">
        <v>75</v>
      </c>
      <c r="M25" s="614" t="s">
        <v>60</v>
      </c>
      <c r="N25" s="616">
        <v>3.91621</v>
      </c>
      <c r="O25" s="615">
        <v>2.1105086425000001</v>
      </c>
      <c r="P25" s="615">
        <v>0.72434960450296015</v>
      </c>
      <c r="Q25" s="615"/>
      <c r="T25" s="609" t="s">
        <v>567</v>
      </c>
      <c r="U25" s="617">
        <v>0.26330854082994642</v>
      </c>
      <c r="V25" s="617"/>
      <c r="X25" s="609"/>
      <c r="Y25" s="609"/>
    </row>
    <row r="26" spans="1:25">
      <c r="A26" s="157"/>
      <c r="B26" s="159"/>
      <c r="C26" s="159"/>
      <c r="D26" s="159"/>
      <c r="E26" s="159"/>
      <c r="F26" s="159"/>
      <c r="G26" s="159"/>
      <c r="H26" s="159"/>
      <c r="I26" s="159"/>
      <c r="J26" s="159"/>
      <c r="K26" s="159"/>
      <c r="L26" s="614" t="s">
        <v>71</v>
      </c>
      <c r="M26" s="614" t="s">
        <v>60</v>
      </c>
      <c r="N26" s="616">
        <v>9.5660000000000007</v>
      </c>
      <c r="O26" s="615">
        <v>1.8235989300000002</v>
      </c>
      <c r="P26" s="615">
        <v>0.25622766366769406</v>
      </c>
      <c r="Q26" s="615"/>
      <c r="T26" s="609" t="s">
        <v>570</v>
      </c>
      <c r="U26" s="617">
        <v>0.22208608630952381</v>
      </c>
      <c r="V26" s="617"/>
      <c r="X26" s="609"/>
      <c r="Y26" s="609"/>
    </row>
    <row r="27" spans="1:25">
      <c r="A27" s="157"/>
      <c r="B27" s="159"/>
      <c r="C27" s="159"/>
      <c r="D27" s="159"/>
      <c r="E27" s="159"/>
      <c r="F27" s="159"/>
      <c r="G27" s="159"/>
      <c r="H27" s="159"/>
      <c r="I27" s="159"/>
      <c r="J27" s="159"/>
      <c r="K27" s="159"/>
      <c r="L27" s="614" t="s">
        <v>74</v>
      </c>
      <c r="M27" s="614" t="s">
        <v>60</v>
      </c>
      <c r="N27" s="616">
        <v>3.48</v>
      </c>
      <c r="O27" s="615">
        <v>1.1143244999999999</v>
      </c>
      <c r="P27" s="615">
        <v>0.43038735168705972</v>
      </c>
      <c r="Q27" s="615"/>
      <c r="T27" s="609" t="s">
        <v>569</v>
      </c>
      <c r="U27" s="617">
        <v>0.20862393734865697</v>
      </c>
      <c r="V27" s="617"/>
      <c r="X27" s="609"/>
      <c r="Y27" s="609"/>
    </row>
    <row r="28" spans="1:25">
      <c r="A28" s="157"/>
      <c r="B28" s="159"/>
      <c r="C28" s="159"/>
      <c r="D28" s="159"/>
      <c r="E28" s="159"/>
      <c r="F28" s="159"/>
      <c r="G28" s="159"/>
      <c r="H28" s="159"/>
      <c r="I28" s="159"/>
      <c r="J28" s="159"/>
      <c r="K28" s="159"/>
      <c r="L28" s="614" t="s">
        <v>77</v>
      </c>
      <c r="M28" s="614" t="s">
        <v>60</v>
      </c>
      <c r="N28" s="616">
        <v>1.714</v>
      </c>
      <c r="O28" s="615">
        <v>0.21018762000000002</v>
      </c>
      <c r="P28" s="615">
        <v>0.16482511198102912</v>
      </c>
      <c r="Q28" s="615"/>
      <c r="T28" s="609" t="s">
        <v>568</v>
      </c>
      <c r="U28" s="617">
        <v>0.18760959514742273</v>
      </c>
      <c r="V28" s="617"/>
      <c r="X28" s="609"/>
      <c r="Y28" s="609"/>
    </row>
    <row r="29" spans="1:25">
      <c r="A29" s="157"/>
      <c r="B29" s="159"/>
      <c r="C29" s="159"/>
      <c r="D29" s="159"/>
      <c r="E29" s="159"/>
      <c r="F29" s="159"/>
      <c r="G29" s="159"/>
      <c r="H29" s="159"/>
      <c r="I29" s="159"/>
      <c r="J29" s="159"/>
      <c r="K29" s="159"/>
      <c r="L29" s="614" t="s">
        <v>570</v>
      </c>
      <c r="M29" s="614" t="s">
        <v>60</v>
      </c>
      <c r="N29" s="616">
        <v>0.7</v>
      </c>
      <c r="O29" s="615">
        <v>7.7484752500000004E-2</v>
      </c>
      <c r="P29" s="615">
        <v>0.1487802467357911</v>
      </c>
      <c r="Q29" s="615"/>
      <c r="T29" s="609" t="s">
        <v>77</v>
      </c>
      <c r="U29" s="617">
        <v>0.16123056746615308</v>
      </c>
      <c r="V29" s="617">
        <v>0.156</v>
      </c>
      <c r="X29" s="609"/>
      <c r="Y29" s="609"/>
    </row>
    <row r="30" spans="1:25">
      <c r="A30" s="157"/>
      <c r="B30" s="159"/>
      <c r="C30" s="159"/>
      <c r="D30" s="159"/>
      <c r="E30" s="159"/>
      <c r="F30" s="159"/>
      <c r="G30" s="159"/>
      <c r="H30" s="159"/>
      <c r="I30" s="159"/>
      <c r="J30" s="159"/>
      <c r="K30" s="159"/>
      <c r="L30" s="614" t="s">
        <v>531</v>
      </c>
      <c r="M30" s="614" t="s">
        <v>235</v>
      </c>
      <c r="N30" s="616">
        <v>132.30000000000001</v>
      </c>
      <c r="O30" s="615">
        <v>47.959606782499996</v>
      </c>
      <c r="P30" s="615">
        <v>0.48723988717500133</v>
      </c>
      <c r="Q30" s="615"/>
      <c r="S30" s="609" t="s">
        <v>79</v>
      </c>
      <c r="T30" s="609" t="s">
        <v>531</v>
      </c>
      <c r="U30" s="617">
        <v>0.58239238063535903</v>
      </c>
      <c r="V30" s="617"/>
      <c r="X30" s="609"/>
      <c r="Y30" s="609"/>
    </row>
    <row r="31" spans="1:25">
      <c r="A31" s="157"/>
      <c r="B31" s="159"/>
      <c r="C31" s="159"/>
      <c r="D31" s="159"/>
      <c r="E31" s="159"/>
      <c r="F31" s="159"/>
      <c r="G31" s="159"/>
      <c r="H31" s="159"/>
      <c r="I31" s="159"/>
      <c r="J31" s="159"/>
      <c r="K31" s="159"/>
      <c r="L31" s="614" t="s">
        <v>78</v>
      </c>
      <c r="M31" s="614" t="s">
        <v>235</v>
      </c>
      <c r="N31" s="616">
        <v>97.15</v>
      </c>
      <c r="O31" s="615">
        <v>41.461794512499999</v>
      </c>
      <c r="P31" s="615">
        <v>0.57363065806257907</v>
      </c>
      <c r="Q31" s="615"/>
      <c r="T31" s="609" t="s">
        <v>78</v>
      </c>
      <c r="U31" s="617">
        <v>0.54720675729171797</v>
      </c>
      <c r="V31" s="617">
        <v>0.58699999999999997</v>
      </c>
      <c r="X31" s="609"/>
      <c r="Y31" s="609"/>
    </row>
    <row r="32" spans="1:25">
      <c r="A32" s="157"/>
      <c r="B32" s="159"/>
      <c r="C32" s="159"/>
      <c r="D32" s="159"/>
      <c r="E32" s="159"/>
      <c r="F32" s="159"/>
      <c r="G32" s="159"/>
      <c r="H32" s="159"/>
      <c r="I32" s="159"/>
      <c r="J32" s="159"/>
      <c r="K32" s="159"/>
      <c r="L32" s="614" t="s">
        <v>80</v>
      </c>
      <c r="M32" s="614" t="s">
        <v>235</v>
      </c>
      <c r="N32" s="616">
        <v>83.15</v>
      </c>
      <c r="O32" s="615">
        <v>26.311786622500001</v>
      </c>
      <c r="P32" s="615">
        <v>0.42531935778874813</v>
      </c>
      <c r="Q32" s="615"/>
      <c r="T32" s="609" t="s">
        <v>81</v>
      </c>
      <c r="U32" s="617">
        <v>0.52933399228560218</v>
      </c>
      <c r="V32" s="617">
        <v>0.60099999999999998</v>
      </c>
      <c r="X32" s="609"/>
      <c r="Y32" s="609"/>
    </row>
    <row r="33" spans="1:25">
      <c r="A33" s="157"/>
      <c r="B33" s="159"/>
      <c r="C33" s="159"/>
      <c r="D33" s="159"/>
      <c r="E33" s="159"/>
      <c r="F33" s="159"/>
      <c r="G33" s="159"/>
      <c r="H33" s="159"/>
      <c r="I33" s="159"/>
      <c r="J33" s="159"/>
      <c r="K33" s="159"/>
      <c r="L33" s="614" t="s">
        <v>81</v>
      </c>
      <c r="M33" s="614" t="s">
        <v>235</v>
      </c>
      <c r="N33" s="616">
        <v>32</v>
      </c>
      <c r="O33" s="615">
        <v>12.915685219999999</v>
      </c>
      <c r="P33" s="615">
        <v>0.54249349882392472</v>
      </c>
      <c r="Q33" s="615"/>
      <c r="T33" s="609" t="s">
        <v>82</v>
      </c>
      <c r="U33" s="617">
        <v>0.45540836066992796</v>
      </c>
      <c r="V33" s="617">
        <v>0.45300000000000001</v>
      </c>
      <c r="X33" s="609"/>
      <c r="Y33" s="609"/>
    </row>
    <row r="34" spans="1:25">
      <c r="B34" s="159"/>
      <c r="C34" s="159"/>
      <c r="D34" s="159"/>
      <c r="E34" s="159"/>
      <c r="F34" s="159"/>
      <c r="G34" s="159"/>
      <c r="H34" s="159"/>
      <c r="I34" s="159"/>
      <c r="J34" s="159"/>
      <c r="K34" s="159"/>
      <c r="L34" s="614" t="s">
        <v>82</v>
      </c>
      <c r="M34" s="614" t="s">
        <v>235</v>
      </c>
      <c r="N34" s="616">
        <v>30.86</v>
      </c>
      <c r="O34" s="615">
        <v>11.211140322499999</v>
      </c>
      <c r="P34" s="615">
        <v>0.48829348647464438</v>
      </c>
      <c r="Q34" s="615"/>
      <c r="T34" s="609" t="s">
        <v>80</v>
      </c>
      <c r="U34" s="617">
        <v>0.39055398275521225</v>
      </c>
      <c r="V34" s="617">
        <v>0.376</v>
      </c>
      <c r="X34" s="609"/>
      <c r="Y34" s="609"/>
    </row>
    <row r="35" spans="1:25">
      <c r="A35" s="157"/>
      <c r="B35" s="159"/>
      <c r="C35" s="159"/>
      <c r="D35" s="159"/>
      <c r="E35" s="159"/>
      <c r="F35" s="159"/>
      <c r="G35" s="159"/>
      <c r="H35" s="159"/>
      <c r="I35" s="159"/>
      <c r="J35" s="159"/>
      <c r="K35" s="159"/>
      <c r="L35" s="614" t="s">
        <v>85</v>
      </c>
      <c r="M35" s="614" t="s">
        <v>83</v>
      </c>
      <c r="N35" s="616">
        <v>144.47999999999999</v>
      </c>
      <c r="O35" s="615">
        <v>43.4079994075</v>
      </c>
      <c r="P35" s="615">
        <v>0.40382118788160587</v>
      </c>
      <c r="Q35" s="615"/>
      <c r="S35" s="609" t="s">
        <v>83</v>
      </c>
      <c r="T35" s="609" t="s">
        <v>84</v>
      </c>
      <c r="U35" s="617">
        <v>0.34049667292736874</v>
      </c>
      <c r="V35" s="617">
        <v>0.33200000000000002</v>
      </c>
      <c r="X35" s="609"/>
      <c r="Y35" s="609"/>
    </row>
    <row r="36" spans="1:25">
      <c r="A36" s="157"/>
      <c r="B36" s="159"/>
      <c r="C36" s="159"/>
      <c r="D36" s="159"/>
      <c r="E36" s="159"/>
      <c r="F36" s="159"/>
      <c r="G36" s="159"/>
      <c r="H36" s="159"/>
      <c r="I36" s="159"/>
      <c r="J36" s="159"/>
      <c r="K36" s="159"/>
      <c r="L36" s="614" t="s">
        <v>511</v>
      </c>
      <c r="M36" s="614" t="s">
        <v>83</v>
      </c>
      <c r="N36" s="616">
        <v>44.54</v>
      </c>
      <c r="O36" s="615">
        <v>10.914461537499999</v>
      </c>
      <c r="P36" s="615">
        <v>0.32936630410444157</v>
      </c>
      <c r="Q36" s="615"/>
      <c r="T36" s="609" t="s">
        <v>85</v>
      </c>
      <c r="U36" s="617">
        <v>0.30819540921014227</v>
      </c>
      <c r="V36" s="617"/>
      <c r="X36" s="609"/>
      <c r="Y36" s="609"/>
    </row>
    <row r="37" spans="1:25">
      <c r="A37" s="157"/>
      <c r="B37" s="159"/>
      <c r="C37" s="159"/>
      <c r="D37" s="159"/>
      <c r="E37" s="159"/>
      <c r="F37" s="159"/>
      <c r="G37" s="159"/>
      <c r="H37" s="159"/>
      <c r="I37" s="159"/>
      <c r="J37" s="159"/>
      <c r="K37" s="159"/>
      <c r="L37" s="614" t="s">
        <v>257</v>
      </c>
      <c r="M37" s="614" t="s">
        <v>83</v>
      </c>
      <c r="N37" s="616">
        <v>20</v>
      </c>
      <c r="O37" s="615">
        <v>4.9303045824999998</v>
      </c>
      <c r="P37" s="615">
        <v>0.33133767355510751</v>
      </c>
      <c r="Q37" s="615"/>
      <c r="T37" s="609" t="s">
        <v>257</v>
      </c>
      <c r="U37" s="617">
        <v>0.29663191695205482</v>
      </c>
      <c r="V37" s="617">
        <v>0.28599999999999998</v>
      </c>
    </row>
    <row r="38" spans="1:25" ht="11.25" customHeight="1">
      <c r="A38" s="157"/>
      <c r="B38" s="159"/>
      <c r="C38" s="159"/>
      <c r="D38" s="159"/>
      <c r="E38" s="159"/>
      <c r="F38" s="159"/>
      <c r="G38" s="159"/>
      <c r="H38" s="159"/>
      <c r="I38" s="159"/>
      <c r="J38" s="159"/>
      <c r="K38" s="159"/>
      <c r="L38" s="618" t="s">
        <v>256</v>
      </c>
      <c r="M38" s="796" t="s">
        <v>83</v>
      </c>
      <c r="N38" s="616">
        <v>20</v>
      </c>
      <c r="O38" s="615">
        <v>4.8622343775000001</v>
      </c>
      <c r="P38" s="615">
        <v>0.32676306300403224</v>
      </c>
      <c r="Q38" s="618"/>
      <c r="T38" s="609" t="s">
        <v>256</v>
      </c>
      <c r="U38" s="617">
        <v>0.27537398849885847</v>
      </c>
      <c r="V38" s="617">
        <v>0.26200000000000001</v>
      </c>
    </row>
    <row r="39" spans="1:25">
      <c r="A39" s="157"/>
      <c r="B39" s="159"/>
      <c r="C39" s="159"/>
      <c r="D39" s="159"/>
      <c r="E39" s="159"/>
      <c r="F39" s="159"/>
      <c r="G39" s="159"/>
      <c r="H39" s="159"/>
      <c r="I39" s="159"/>
      <c r="J39" s="159"/>
      <c r="K39" s="159"/>
      <c r="L39" s="608" t="s">
        <v>84</v>
      </c>
      <c r="M39" s="797" t="s">
        <v>83</v>
      </c>
      <c r="N39" s="616">
        <v>16</v>
      </c>
      <c r="O39" s="615">
        <v>4.4765246249999997</v>
      </c>
      <c r="P39" s="615">
        <v>0.37605213583669356</v>
      </c>
      <c r="T39" s="609" t="s">
        <v>511</v>
      </c>
      <c r="U39" s="617">
        <v>0.27536111039932626</v>
      </c>
      <c r="V39" s="617"/>
    </row>
    <row r="40" spans="1:25">
      <c r="A40" s="157"/>
      <c r="B40" s="159"/>
      <c r="C40" s="159"/>
      <c r="D40" s="159"/>
      <c r="E40" s="159"/>
      <c r="F40" s="159"/>
      <c r="G40" s="159"/>
      <c r="H40" s="159"/>
      <c r="I40" s="159"/>
      <c r="J40" s="159"/>
      <c r="K40" s="159"/>
      <c r="L40" s="608" t="s">
        <v>258</v>
      </c>
      <c r="M40" s="797" t="s">
        <v>83</v>
      </c>
      <c r="N40" s="616">
        <v>20</v>
      </c>
      <c r="O40" s="615">
        <v>4.1222224999999995</v>
      </c>
      <c r="P40" s="615">
        <v>0.27703108198924731</v>
      </c>
      <c r="T40" s="609" t="s">
        <v>258</v>
      </c>
      <c r="U40" s="617">
        <v>0.25388001660958903</v>
      </c>
      <c r="V40" s="617">
        <v>0.251</v>
      </c>
    </row>
    <row r="41" spans="1:25">
      <c r="A41" s="157"/>
      <c r="B41" s="159"/>
      <c r="C41" s="159"/>
      <c r="D41" s="159"/>
      <c r="E41" s="159"/>
      <c r="F41" s="159"/>
      <c r="G41" s="159"/>
      <c r="H41" s="159"/>
      <c r="I41" s="159"/>
      <c r="J41" s="159"/>
      <c r="K41" s="159"/>
      <c r="L41" s="608" t="s">
        <v>86</v>
      </c>
      <c r="M41" s="797" t="s">
        <v>83</v>
      </c>
      <c r="N41" s="616">
        <v>20</v>
      </c>
      <c r="O41" s="615">
        <v>3.9236064750000001</v>
      </c>
      <c r="P41" s="615">
        <v>0.2636832308467742</v>
      </c>
      <c r="T41" s="609" t="s">
        <v>86</v>
      </c>
      <c r="U41" s="617">
        <v>0.23569123025114158</v>
      </c>
      <c r="V41" s="617">
        <v>0.23</v>
      </c>
    </row>
    <row r="42" spans="1:25">
      <c r="A42" s="157"/>
      <c r="B42" s="159"/>
      <c r="C42" s="159"/>
      <c r="D42" s="159"/>
      <c r="E42" s="159"/>
      <c r="F42" s="159"/>
      <c r="G42" s="159"/>
      <c r="H42" s="159"/>
      <c r="I42" s="159"/>
      <c r="J42" s="159"/>
      <c r="K42" s="159"/>
      <c r="L42" s="608" t="s">
        <v>87</v>
      </c>
      <c r="M42" s="608" t="s">
        <v>498</v>
      </c>
      <c r="N42" s="616">
        <v>12.74105</v>
      </c>
      <c r="O42" s="615">
        <v>6.6600184075</v>
      </c>
      <c r="P42" s="615">
        <v>0.70258241231996166</v>
      </c>
      <c r="S42" s="609" t="s">
        <v>259</v>
      </c>
      <c r="T42" s="609" t="s">
        <v>88</v>
      </c>
      <c r="U42" s="617">
        <v>0.81013708057151257</v>
      </c>
      <c r="V42" s="617">
        <v>0.79400000000000004</v>
      </c>
    </row>
    <row r="43" spans="1:25" ht="26.25" customHeight="1">
      <c r="A43" s="937"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diciembre 2018.</v>
      </c>
      <c r="B43" s="937"/>
      <c r="C43" s="937"/>
      <c r="D43" s="937"/>
      <c r="E43" s="937"/>
      <c r="F43" s="937"/>
      <c r="G43" s="937"/>
      <c r="H43" s="937"/>
      <c r="I43" s="937"/>
      <c r="J43" s="937"/>
      <c r="K43" s="937"/>
      <c r="L43" s="608" t="s">
        <v>88</v>
      </c>
      <c r="M43" s="608" t="s">
        <v>498</v>
      </c>
      <c r="N43" s="616">
        <v>4.2625000000000002</v>
      </c>
      <c r="O43" s="615">
        <v>2.4216934999999995</v>
      </c>
      <c r="P43" s="615">
        <v>0.76362800744174286</v>
      </c>
      <c r="T43" s="609" t="s">
        <v>87</v>
      </c>
      <c r="U43" s="617">
        <v>0.8025814673175814</v>
      </c>
      <c r="V43" s="617">
        <v>0.73499999999999999</v>
      </c>
    </row>
    <row r="44" spans="1:25">
      <c r="A44" s="157"/>
      <c r="B44" s="159"/>
      <c r="C44" s="159"/>
      <c r="D44" s="159"/>
      <c r="E44" s="159"/>
      <c r="F44" s="159"/>
      <c r="G44" s="159"/>
      <c r="H44" s="159"/>
      <c r="I44" s="159"/>
      <c r="J44" s="159"/>
      <c r="K44" s="159"/>
      <c r="L44" s="608" t="s">
        <v>89</v>
      </c>
      <c r="M44" s="608" t="s">
        <v>498</v>
      </c>
      <c r="N44" s="616">
        <v>2.9537</v>
      </c>
      <c r="O44" s="615">
        <v>1.8771787249999998</v>
      </c>
      <c r="P44" s="615">
        <v>0.85421325257804948</v>
      </c>
      <c r="T44" s="609" t="s">
        <v>89</v>
      </c>
      <c r="U44" s="617">
        <v>0.544182319389519</v>
      </c>
      <c r="V44" s="617">
        <v>0.46899999999999997</v>
      </c>
    </row>
    <row r="45" spans="1:25" ht="12">
      <c r="A45" s="157"/>
      <c r="B45" s="159"/>
      <c r="C45" s="941" t="str">
        <f>"Factor de planta de las centrales RER  Acumulado al "&amp;'1. Resumen'!Q7&amp;" de "&amp;'1. Resumen'!Q4</f>
        <v>Factor de planta de las centrales RER  Acumulado al 31 de diciembre</v>
      </c>
      <c r="D45" s="941"/>
      <c r="E45" s="941"/>
      <c r="F45" s="941"/>
      <c r="G45" s="941"/>
      <c r="H45" s="941"/>
      <c r="I45" s="941"/>
      <c r="J45" s="159"/>
      <c r="K45" s="159"/>
      <c r="L45" s="608" t="s">
        <v>571</v>
      </c>
      <c r="M45" s="608" t="s">
        <v>498</v>
      </c>
      <c r="N45" s="608">
        <v>2.4</v>
      </c>
      <c r="O45" s="608">
        <v>1.4152301999999999</v>
      </c>
      <c r="P45" s="608">
        <v>0.79257963709677426</v>
      </c>
      <c r="T45" s="609" t="s">
        <v>571</v>
      </c>
      <c r="U45" s="617">
        <v>0.29804004304604265</v>
      </c>
      <c r="V45" s="617"/>
    </row>
    <row r="46" spans="1:25">
      <c r="A46" s="157"/>
      <c r="B46" s="159"/>
      <c r="C46" s="159"/>
      <c r="D46" s="159"/>
      <c r="E46" s="159"/>
      <c r="F46" s="159"/>
      <c r="G46" s="159"/>
      <c r="H46" s="159"/>
      <c r="I46" s="159"/>
      <c r="J46" s="159"/>
      <c r="K46" s="159"/>
    </row>
    <row r="47" spans="1:25">
      <c r="A47" s="157"/>
      <c r="B47" s="159"/>
      <c r="C47" s="159"/>
      <c r="D47" s="159"/>
      <c r="E47" s="159"/>
      <c r="F47" s="159"/>
      <c r="G47" s="159"/>
      <c r="H47" s="159"/>
      <c r="I47" s="159"/>
      <c r="J47" s="159"/>
      <c r="K47" s="159"/>
    </row>
    <row r="48" spans="1:25">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290" t="str">
        <f>"Gráfico N° 9: factor de planta de las centrales con recursos energético renovables en el SEIN en "&amp;'1. Resumen'!Q4&amp;"."</f>
        <v>Gráfico N° 9: factor de planta de las centrales con recursos energético renovables en el SEIN en diciembre.</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Noviembre 2018
INFSGI-MES-11-2018
10/12/2018
Versión: 01</oddHeader>
    <oddFooter>&amp;L&amp;7COES, 2018&amp;C6&amp;R&amp;7Dirección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topLeftCell="A4" zoomScale="145" zoomScaleNormal="100" zoomScaleSheetLayoutView="145" zoomScalePageLayoutView="145" workbookViewId="0">
      <selection activeCell="D4" sqref="D4"/>
    </sheetView>
  </sheetViews>
  <sheetFormatPr defaultColWidth="9.33203125"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38" t="s">
        <v>261</v>
      </c>
      <c r="B2" s="938"/>
      <c r="C2" s="938"/>
      <c r="D2" s="938"/>
      <c r="E2" s="938"/>
      <c r="F2" s="938"/>
      <c r="G2" s="938"/>
      <c r="H2" s="938"/>
      <c r="I2" s="938"/>
      <c r="J2" s="84"/>
    </row>
    <row r="3" spans="1:14" ht="6" customHeight="1">
      <c r="A3" s="84"/>
      <c r="B3" s="84"/>
      <c r="C3" s="84"/>
      <c r="D3" s="84"/>
      <c r="E3" s="84"/>
      <c r="F3" s="84"/>
      <c r="G3" s="84"/>
      <c r="H3" s="84"/>
      <c r="I3" s="84"/>
      <c r="J3" s="84"/>
      <c r="K3" s="467"/>
      <c r="L3" s="467"/>
    </row>
    <row r="4" spans="1:14" ht="11.25" customHeight="1">
      <c r="A4" s="944" t="s">
        <v>273</v>
      </c>
      <c r="B4" s="945" t="str">
        <f>+'1. Resumen'!Q4</f>
        <v>diciembre</v>
      </c>
      <c r="C4" s="946"/>
      <c r="D4" s="946"/>
      <c r="E4" s="159"/>
      <c r="F4" s="159"/>
      <c r="G4" s="947" t="s">
        <v>274</v>
      </c>
      <c r="H4" s="947"/>
      <c r="I4" s="947"/>
      <c r="J4" s="159"/>
      <c r="K4" s="160"/>
      <c r="L4" s="468"/>
      <c r="M4" s="469">
        <v>2018</v>
      </c>
      <c r="N4" s="469">
        <v>2017</v>
      </c>
    </row>
    <row r="5" spans="1:14" ht="11.25" customHeight="1">
      <c r="A5" s="944"/>
      <c r="B5" s="729">
        <f>+'1. Resumen'!Q5</f>
        <v>2018</v>
      </c>
      <c r="C5" s="730">
        <f>+B5-1</f>
        <v>2017</v>
      </c>
      <c r="D5" s="730" t="s">
        <v>35</v>
      </c>
      <c r="E5" s="159"/>
      <c r="F5" s="159"/>
      <c r="G5" s="159"/>
      <c r="H5" s="159"/>
      <c r="I5" s="159"/>
      <c r="J5" s="159"/>
      <c r="K5" s="470"/>
      <c r="L5" s="475" t="s">
        <v>127</v>
      </c>
      <c r="M5" s="472"/>
      <c r="N5" s="472">
        <v>0</v>
      </c>
    </row>
    <row r="6" spans="1:14" ht="10.5" customHeight="1">
      <c r="A6" s="548" t="s">
        <v>91</v>
      </c>
      <c r="B6" s="588">
        <v>621.24845739999989</v>
      </c>
      <c r="C6" s="589">
        <v>630.57512287499992</v>
      </c>
      <c r="D6" s="549">
        <f>IF(C6=0,"",B6/C6-1)</f>
        <v>-1.4790728553446097E-2</v>
      </c>
      <c r="E6" s="159"/>
      <c r="F6" s="159"/>
      <c r="G6" s="159"/>
      <c r="H6" s="159"/>
      <c r="I6" s="159"/>
      <c r="J6" s="159"/>
      <c r="K6" s="473"/>
      <c r="L6" s="475" t="s">
        <v>549</v>
      </c>
      <c r="M6" s="472"/>
      <c r="N6" s="472">
        <v>0.62758437499999997</v>
      </c>
    </row>
    <row r="7" spans="1:14" ht="10.5" customHeight="1">
      <c r="A7" s="550" t="s">
        <v>92</v>
      </c>
      <c r="B7" s="590">
        <v>558.68106450499999</v>
      </c>
      <c r="C7" s="590">
        <v>595.31835009250005</v>
      </c>
      <c r="D7" s="551">
        <f t="shared" ref="D7:D63" si="0">IF(C7=0,"",B7/C7-1)</f>
        <v>-6.1542342146529427E-2</v>
      </c>
      <c r="E7" s="579"/>
      <c r="F7" s="159"/>
      <c r="G7" s="159"/>
      <c r="H7" s="159"/>
      <c r="I7" s="159"/>
      <c r="J7" s="159"/>
      <c r="K7" s="160"/>
      <c r="L7" s="472" t="s">
        <v>271</v>
      </c>
      <c r="M7" s="472">
        <v>0</v>
      </c>
      <c r="N7" s="472">
        <v>0</v>
      </c>
    </row>
    <row r="8" spans="1:14" ht="10.5" customHeight="1">
      <c r="A8" s="548" t="s">
        <v>93</v>
      </c>
      <c r="B8" s="589">
        <v>556.38976895999997</v>
      </c>
      <c r="C8" s="589">
        <v>551.99472093750001</v>
      </c>
      <c r="D8" s="549">
        <f t="shared" si="0"/>
        <v>7.9621196649044546E-3</v>
      </c>
      <c r="E8" s="159"/>
      <c r="F8" s="159"/>
      <c r="G8" s="159"/>
      <c r="H8" s="159"/>
      <c r="I8" s="159"/>
      <c r="J8" s="159"/>
      <c r="K8" s="160"/>
      <c r="L8" s="475" t="s">
        <v>262</v>
      </c>
      <c r="M8" s="472">
        <v>0</v>
      </c>
      <c r="N8" s="472">
        <v>0</v>
      </c>
    </row>
    <row r="9" spans="1:14" ht="10.5" customHeight="1">
      <c r="A9" s="550" t="s">
        <v>760</v>
      </c>
      <c r="B9" s="590">
        <v>432.10283817750002</v>
      </c>
      <c r="C9" s="590">
        <v>285.16548796749998</v>
      </c>
      <c r="D9" s="551">
        <f t="shared" si="0"/>
        <v>0.51527045315787423</v>
      </c>
      <c r="E9" s="159"/>
      <c r="F9" s="159"/>
      <c r="G9" s="159"/>
      <c r="H9" s="159"/>
      <c r="I9" s="159"/>
      <c r="J9" s="159"/>
      <c r="K9" s="160"/>
      <c r="L9" s="475" t="s">
        <v>714</v>
      </c>
      <c r="M9" s="472">
        <v>6.5083375000000001E-3</v>
      </c>
      <c r="N9" s="472"/>
    </row>
    <row r="10" spans="1:14" ht="10.5" customHeight="1">
      <c r="A10" s="548" t="s">
        <v>266</v>
      </c>
      <c r="B10" s="589">
        <v>402.90432225500001</v>
      </c>
      <c r="C10" s="589">
        <v>402.6164141475</v>
      </c>
      <c r="D10" s="549">
        <f t="shared" si="0"/>
        <v>7.1509282131398955E-4</v>
      </c>
      <c r="E10" s="159"/>
      <c r="F10" s="159"/>
      <c r="G10" s="159"/>
      <c r="H10" s="159"/>
      <c r="I10" s="159"/>
      <c r="J10" s="159"/>
      <c r="K10" s="470"/>
      <c r="L10" s="472" t="s">
        <v>270</v>
      </c>
      <c r="M10" s="472">
        <v>1.7262139999999999E-2</v>
      </c>
      <c r="N10" s="472">
        <v>1.8615331874999999</v>
      </c>
    </row>
    <row r="11" spans="1:14" ht="10.5" customHeight="1">
      <c r="A11" s="550" t="s">
        <v>263</v>
      </c>
      <c r="B11" s="590">
        <v>244.79406206250002</v>
      </c>
      <c r="C11" s="590">
        <v>264.87519700249999</v>
      </c>
      <c r="D11" s="551">
        <f t="shared" si="0"/>
        <v>-7.5813572456957634E-2</v>
      </c>
      <c r="E11" s="159"/>
      <c r="F11" s="159"/>
      <c r="G11" s="159"/>
      <c r="H11" s="159"/>
      <c r="I11" s="159"/>
      <c r="J11" s="159"/>
      <c r="K11" s="473"/>
      <c r="L11" s="472" t="s">
        <v>122</v>
      </c>
      <c r="M11" s="472">
        <v>0.16697896499999998</v>
      </c>
      <c r="N11" s="472">
        <v>0.60593085000000002</v>
      </c>
    </row>
    <row r="12" spans="1:14" ht="10.5" customHeight="1">
      <c r="A12" s="548" t="s">
        <v>268</v>
      </c>
      <c r="B12" s="589">
        <v>218.02151943000001</v>
      </c>
      <c r="C12" s="589">
        <v>230.99144163999998</v>
      </c>
      <c r="D12" s="549">
        <f t="shared" si="0"/>
        <v>-5.6148929665600256E-2</v>
      </c>
      <c r="E12" s="159"/>
      <c r="F12" s="159"/>
      <c r="G12" s="159"/>
      <c r="H12" s="159"/>
      <c r="I12" s="159"/>
      <c r="J12" s="159"/>
      <c r="K12" s="473"/>
      <c r="L12" s="472" t="s">
        <v>123</v>
      </c>
      <c r="M12" s="472">
        <v>0.21018762000000002</v>
      </c>
      <c r="N12" s="472">
        <v>0.3701769775</v>
      </c>
    </row>
    <row r="13" spans="1:14" ht="10.5" customHeight="1">
      <c r="A13" s="550" t="s">
        <v>94</v>
      </c>
      <c r="B13" s="590">
        <v>200.31608477999995</v>
      </c>
      <c r="C13" s="590">
        <v>195.48258343000003</v>
      </c>
      <c r="D13" s="552">
        <f t="shared" si="0"/>
        <v>2.4725994844091881E-2</v>
      </c>
      <c r="E13" s="159"/>
      <c r="F13" s="159"/>
      <c r="G13" s="159"/>
      <c r="H13" s="159"/>
      <c r="I13" s="159"/>
      <c r="J13" s="159"/>
      <c r="K13" s="473"/>
      <c r="L13" s="475" t="s">
        <v>566</v>
      </c>
      <c r="M13" s="472">
        <v>0.46184775</v>
      </c>
      <c r="N13" s="472"/>
    </row>
    <row r="14" spans="1:14" ht="10.5" customHeight="1">
      <c r="A14" s="548" t="s">
        <v>104</v>
      </c>
      <c r="B14" s="589">
        <v>192.85535057499999</v>
      </c>
      <c r="C14" s="589">
        <v>33.14900583</v>
      </c>
      <c r="D14" s="549">
        <f t="shared" si="0"/>
        <v>4.8178321112865783</v>
      </c>
      <c r="E14" s="159"/>
      <c r="F14" s="159"/>
      <c r="G14" s="159"/>
      <c r="H14" s="159"/>
      <c r="I14" s="159"/>
      <c r="J14" s="159"/>
      <c r="K14" s="473"/>
      <c r="L14" s="475" t="s">
        <v>121</v>
      </c>
      <c r="M14" s="472">
        <v>1.1143244999999999</v>
      </c>
      <c r="N14" s="472">
        <v>2.2018542500000002</v>
      </c>
    </row>
    <row r="15" spans="1:14" ht="10.5" customHeight="1">
      <c r="A15" s="550" t="s">
        <v>96</v>
      </c>
      <c r="B15" s="590">
        <v>118.45355536</v>
      </c>
      <c r="C15" s="590">
        <v>119.21927296499999</v>
      </c>
      <c r="D15" s="551">
        <f t="shared" si="0"/>
        <v>-6.4227669399123943E-3</v>
      </c>
      <c r="E15" s="159"/>
      <c r="F15" s="159"/>
      <c r="G15" s="159"/>
      <c r="H15" s="159"/>
      <c r="I15" s="159"/>
      <c r="J15" s="159"/>
      <c r="K15" s="473"/>
      <c r="L15" s="478" t="s">
        <v>117</v>
      </c>
      <c r="M15" s="472">
        <v>1.8235989300000002</v>
      </c>
      <c r="N15" s="472">
        <v>3.1982881000000001</v>
      </c>
    </row>
    <row r="16" spans="1:14" ht="10.5" customHeight="1">
      <c r="A16" s="548" t="s">
        <v>97</v>
      </c>
      <c r="B16" s="589">
        <v>107.5844780625</v>
      </c>
      <c r="C16" s="589">
        <v>112.6307849975</v>
      </c>
      <c r="D16" s="549">
        <f t="shared" si="0"/>
        <v>-4.4803975530420148E-2</v>
      </c>
      <c r="E16" s="159"/>
      <c r="F16" s="159"/>
      <c r="G16" s="159"/>
      <c r="H16" s="159"/>
      <c r="I16" s="159"/>
      <c r="J16" s="159" t="s">
        <v>8</v>
      </c>
      <c r="K16" s="473"/>
      <c r="L16" s="472" t="s">
        <v>119</v>
      </c>
      <c r="M16" s="472">
        <v>2.1105086425000001</v>
      </c>
      <c r="N16" s="472">
        <v>2.5699418875000002</v>
      </c>
    </row>
    <row r="17" spans="1:14" ht="10.5" customHeight="1">
      <c r="A17" s="550" t="s">
        <v>102</v>
      </c>
      <c r="B17" s="590">
        <v>91.367606190000004</v>
      </c>
      <c r="C17" s="590">
        <v>40.514315947499995</v>
      </c>
      <c r="D17" s="551">
        <f t="shared" si="0"/>
        <v>1.2551931102180682</v>
      </c>
      <c r="E17" s="159"/>
      <c r="F17" s="159"/>
      <c r="G17" s="159"/>
      <c r="H17" s="159"/>
      <c r="I17" s="159"/>
      <c r="J17" s="159"/>
      <c r="K17" s="473"/>
      <c r="L17" s="472" t="s">
        <v>120</v>
      </c>
      <c r="M17" s="472">
        <v>2.2429000000000001</v>
      </c>
      <c r="N17" s="472">
        <v>2.5219999999999998</v>
      </c>
    </row>
    <row r="18" spans="1:14" ht="10.5" customHeight="1">
      <c r="A18" s="548" t="s">
        <v>95</v>
      </c>
      <c r="B18" s="589">
        <v>91.081007044999993</v>
      </c>
      <c r="C18" s="589">
        <v>127.57981545749999</v>
      </c>
      <c r="D18" s="549">
        <f t="shared" si="0"/>
        <v>-0.28608607311129608</v>
      </c>
      <c r="E18" s="159"/>
      <c r="F18" s="159"/>
      <c r="G18" s="159"/>
      <c r="H18" s="159"/>
      <c r="I18" s="159"/>
      <c r="J18" s="159"/>
      <c r="K18" s="477"/>
      <c r="L18" s="472" t="s">
        <v>118</v>
      </c>
      <c r="M18" s="472">
        <v>3.170116315</v>
      </c>
      <c r="N18" s="472">
        <v>3.1175707500000005</v>
      </c>
    </row>
    <row r="19" spans="1:14" ht="10.5" customHeight="1">
      <c r="A19" s="550" t="s">
        <v>99</v>
      </c>
      <c r="B19" s="590">
        <v>80.178238164999996</v>
      </c>
      <c r="C19" s="590">
        <v>78.708810575000001</v>
      </c>
      <c r="D19" s="551">
        <f t="shared" si="0"/>
        <v>1.8669162693035535E-2</v>
      </c>
      <c r="E19" s="159"/>
      <c r="F19" s="159"/>
      <c r="G19" s="159"/>
      <c r="H19" s="159"/>
      <c r="I19" s="159"/>
      <c r="J19" s="159"/>
      <c r="K19" s="473"/>
      <c r="L19" s="474" t="s">
        <v>116</v>
      </c>
      <c r="M19" s="472">
        <v>3.9236064750000001</v>
      </c>
      <c r="N19" s="472">
        <v>3.6067930000000001</v>
      </c>
    </row>
    <row r="20" spans="1:14" ht="10.5" customHeight="1">
      <c r="A20" s="548" t="s">
        <v>548</v>
      </c>
      <c r="B20" s="589">
        <v>63.283625337499998</v>
      </c>
      <c r="C20" s="589">
        <v>63.751754809999994</v>
      </c>
      <c r="D20" s="549">
        <f t="shared" si="0"/>
        <v>-7.3430052850336214E-3</v>
      </c>
      <c r="E20" s="159"/>
      <c r="F20" s="159"/>
      <c r="G20" s="159"/>
      <c r="H20" s="159"/>
      <c r="I20" s="159"/>
      <c r="J20" s="159"/>
      <c r="K20" s="473"/>
      <c r="L20" s="472" t="s">
        <v>115</v>
      </c>
      <c r="M20" s="472">
        <v>4.1222224999999995</v>
      </c>
      <c r="N20" s="472">
        <v>3.9912231449999998</v>
      </c>
    </row>
    <row r="21" spans="1:14" ht="10.5" customHeight="1">
      <c r="A21" s="550" t="s">
        <v>100</v>
      </c>
      <c r="B21" s="590">
        <v>62.424170189999998</v>
      </c>
      <c r="C21" s="590">
        <v>64.111384064999996</v>
      </c>
      <c r="D21" s="551">
        <f t="shared" si="0"/>
        <v>-2.6316915468388546E-2</v>
      </c>
      <c r="E21" s="159"/>
      <c r="F21" s="159"/>
      <c r="G21" s="159"/>
      <c r="H21" s="159"/>
      <c r="I21" s="159"/>
      <c r="J21" s="159"/>
      <c r="K21" s="473"/>
      <c r="L21" s="474" t="s">
        <v>126</v>
      </c>
      <c r="M21" s="472">
        <v>4.2346610950000008</v>
      </c>
      <c r="N21" s="472">
        <v>0</v>
      </c>
    </row>
    <row r="22" spans="1:14" ht="10.5" customHeight="1">
      <c r="A22" s="548" t="s">
        <v>98</v>
      </c>
      <c r="B22" s="589">
        <v>55.115172632499998</v>
      </c>
      <c r="C22" s="589">
        <v>81.39460115</v>
      </c>
      <c r="D22" s="549">
        <f t="shared" si="0"/>
        <v>-0.32286451614979139</v>
      </c>
      <c r="E22" s="159"/>
      <c r="F22" s="159"/>
      <c r="G22" s="159"/>
      <c r="H22" s="159"/>
      <c r="I22" s="159"/>
      <c r="J22" s="159"/>
      <c r="K22" s="477"/>
      <c r="L22" s="472" t="s">
        <v>114</v>
      </c>
      <c r="M22" s="472">
        <v>4.4765246249999997</v>
      </c>
      <c r="N22" s="472">
        <v>4.5925670700000003</v>
      </c>
    </row>
    <row r="23" spans="1:14" ht="10.5" customHeight="1">
      <c r="A23" s="550" t="s">
        <v>103</v>
      </c>
      <c r="B23" s="590">
        <v>41.461794512499999</v>
      </c>
      <c r="C23" s="590">
        <v>34.697945805000003</v>
      </c>
      <c r="D23" s="551">
        <f t="shared" si="0"/>
        <v>0.19493513378320282</v>
      </c>
      <c r="E23" s="159"/>
      <c r="F23" s="159"/>
      <c r="G23" s="159"/>
      <c r="H23" s="159"/>
      <c r="I23" s="159"/>
      <c r="J23" s="159"/>
      <c r="K23" s="473"/>
      <c r="L23" s="475" t="s">
        <v>113</v>
      </c>
      <c r="M23" s="472">
        <v>4.8622343775000001</v>
      </c>
      <c r="N23" s="472">
        <v>4.8935458900000004</v>
      </c>
    </row>
    <row r="24" spans="1:14" ht="10.5" customHeight="1">
      <c r="A24" s="548" t="s">
        <v>101</v>
      </c>
      <c r="B24" s="589">
        <v>37.522926945000002</v>
      </c>
      <c r="C24" s="589">
        <v>46.070589032499996</v>
      </c>
      <c r="D24" s="549">
        <f t="shared" si="0"/>
        <v>-0.18553403086446618</v>
      </c>
      <c r="E24" s="159"/>
      <c r="F24" s="159"/>
      <c r="G24" s="159"/>
      <c r="H24" s="159"/>
      <c r="I24" s="159"/>
      <c r="J24" s="159"/>
      <c r="K24" s="473"/>
      <c r="L24" s="475" t="s">
        <v>111</v>
      </c>
      <c r="M24" s="472">
        <v>4.9303045824999998</v>
      </c>
      <c r="N24" s="472">
        <v>5.0338097500000005</v>
      </c>
    </row>
    <row r="25" spans="1:14" ht="10.5" customHeight="1">
      <c r="A25" s="550" t="s">
        <v>264</v>
      </c>
      <c r="B25" s="590">
        <v>32.575901772500004</v>
      </c>
      <c r="C25" s="590">
        <v>46.5194274925</v>
      </c>
      <c r="D25" s="551">
        <f t="shared" si="0"/>
        <v>-0.29973554000096014</v>
      </c>
      <c r="E25" s="159"/>
      <c r="F25" s="159"/>
      <c r="G25" s="159"/>
      <c r="H25" s="159"/>
      <c r="I25" s="159"/>
      <c r="J25" s="159"/>
      <c r="K25" s="473"/>
      <c r="L25" s="475" t="s">
        <v>761</v>
      </c>
      <c r="M25" s="472">
        <v>5.7141024250000001</v>
      </c>
      <c r="N25" s="472">
        <v>3.4875260499999996</v>
      </c>
    </row>
    <row r="26" spans="1:14" ht="10.5" customHeight="1">
      <c r="A26" s="548" t="s">
        <v>112</v>
      </c>
      <c r="B26" s="589">
        <v>24.139455917500001</v>
      </c>
      <c r="C26" s="589">
        <v>5.0003024724999996</v>
      </c>
      <c r="D26" s="549">
        <f t="shared" si="0"/>
        <v>3.8275991403038079</v>
      </c>
      <c r="E26" s="159"/>
      <c r="F26" s="159"/>
      <c r="G26" s="159"/>
      <c r="H26" s="159"/>
      <c r="I26" s="159"/>
      <c r="J26" s="159"/>
      <c r="K26" s="473"/>
      <c r="L26" s="472" t="s">
        <v>110</v>
      </c>
      <c r="M26" s="472">
        <v>6.6600184075</v>
      </c>
      <c r="N26" s="472">
        <v>5.4871706974999999</v>
      </c>
    </row>
    <row r="27" spans="1:14" ht="10.5" customHeight="1">
      <c r="A27" s="550" t="s">
        <v>265</v>
      </c>
      <c r="B27" s="590">
        <v>23.221423102500001</v>
      </c>
      <c r="C27" s="590">
        <v>25.595690730000001</v>
      </c>
      <c r="D27" s="551">
        <f t="shared" si="0"/>
        <v>-9.2760443644413382E-2</v>
      </c>
      <c r="E27" s="159"/>
      <c r="F27" s="159"/>
      <c r="G27" s="159"/>
      <c r="H27" s="159"/>
      <c r="I27" s="159"/>
      <c r="J27" s="159"/>
      <c r="K27" s="473"/>
      <c r="L27" s="475" t="s">
        <v>596</v>
      </c>
      <c r="M27" s="472">
        <v>7.9597405324999997</v>
      </c>
      <c r="N27" s="472"/>
    </row>
    <row r="28" spans="1:14" ht="10.5" customHeight="1">
      <c r="A28" s="553" t="s">
        <v>105</v>
      </c>
      <c r="B28" s="589">
        <v>23.048733524999999</v>
      </c>
      <c r="C28" s="589">
        <v>23.942596994999999</v>
      </c>
      <c r="D28" s="549">
        <f t="shared" si="0"/>
        <v>-3.7333605464213715E-2</v>
      </c>
      <c r="E28" s="159"/>
      <c r="F28" s="159"/>
      <c r="G28" s="159"/>
      <c r="H28" s="159"/>
      <c r="I28" s="159"/>
      <c r="J28" s="159"/>
      <c r="K28" s="473"/>
      <c r="L28" s="475" t="s">
        <v>108</v>
      </c>
      <c r="M28" s="472">
        <v>9.8516598250000005</v>
      </c>
      <c r="N28" s="472">
        <v>9.4148222199999996</v>
      </c>
    </row>
    <row r="29" spans="1:14" ht="10.5" customHeight="1">
      <c r="A29" s="554" t="s">
        <v>109</v>
      </c>
      <c r="B29" s="590">
        <v>22.457336932499999</v>
      </c>
      <c r="C29" s="590">
        <v>7.5640972149999994</v>
      </c>
      <c r="D29" s="551">
        <f t="shared" si="0"/>
        <v>1.9689381685848679</v>
      </c>
      <c r="E29" s="159"/>
      <c r="F29" s="159"/>
      <c r="G29" s="159"/>
      <c r="H29" s="159"/>
      <c r="I29" s="159"/>
      <c r="J29" s="159"/>
      <c r="K29" s="473"/>
      <c r="L29" s="475" t="s">
        <v>125</v>
      </c>
      <c r="M29" s="472">
        <v>11.337685907499999</v>
      </c>
      <c r="N29" s="472">
        <v>5.0411700000000002E-3</v>
      </c>
    </row>
    <row r="30" spans="1:14" ht="10.5" customHeight="1">
      <c r="A30" s="555" t="s">
        <v>106</v>
      </c>
      <c r="B30" s="589">
        <v>20.59479254</v>
      </c>
      <c r="C30" s="589">
        <v>20.473513837500001</v>
      </c>
      <c r="D30" s="549">
        <f t="shared" si="0"/>
        <v>5.9236877197827997E-3</v>
      </c>
      <c r="E30" s="159"/>
      <c r="F30" s="159"/>
      <c r="G30" s="159"/>
      <c r="H30" s="159"/>
      <c r="I30" s="159"/>
      <c r="J30" s="159"/>
      <c r="K30" s="473"/>
      <c r="L30" s="472" t="s">
        <v>107</v>
      </c>
      <c r="M30" s="472">
        <v>12.295861</v>
      </c>
      <c r="N30" s="472">
        <v>13.272971</v>
      </c>
    </row>
    <row r="31" spans="1:14" ht="10.5" customHeight="1">
      <c r="A31" s="554" t="s">
        <v>497</v>
      </c>
      <c r="B31" s="590">
        <v>14.796658617499999</v>
      </c>
      <c r="C31" s="590"/>
      <c r="D31" s="551" t="str">
        <f t="shared" si="0"/>
        <v/>
      </c>
      <c r="E31" s="159"/>
      <c r="F31" s="159"/>
      <c r="G31" s="159"/>
      <c r="H31" s="159"/>
      <c r="I31" s="159"/>
      <c r="J31" s="159"/>
      <c r="K31" s="473"/>
      <c r="L31" s="472" t="s">
        <v>267</v>
      </c>
      <c r="M31" s="472">
        <v>12.416066305000001</v>
      </c>
      <c r="N31" s="472">
        <v>12.594816255</v>
      </c>
    </row>
    <row r="32" spans="1:14" ht="10.5" customHeight="1">
      <c r="A32" s="555" t="s">
        <v>272</v>
      </c>
      <c r="B32" s="589">
        <v>14.623466715000001</v>
      </c>
      <c r="C32" s="589">
        <v>15.862747680000002</v>
      </c>
      <c r="D32" s="549">
        <f t="shared" si="0"/>
        <v>-7.8125239712569128E-2</v>
      </c>
      <c r="E32" s="159"/>
      <c r="F32" s="159"/>
      <c r="G32" s="159"/>
      <c r="H32" s="159"/>
      <c r="I32" s="159"/>
      <c r="J32" s="159"/>
      <c r="K32" s="473"/>
      <c r="L32" s="472" t="s">
        <v>269</v>
      </c>
      <c r="M32" s="472">
        <v>12.915685219999999</v>
      </c>
      <c r="N32" s="472">
        <v>11.2620294875</v>
      </c>
    </row>
    <row r="33" spans="1:14" ht="10.5" customHeight="1">
      <c r="A33" s="554" t="s">
        <v>124</v>
      </c>
      <c r="B33" s="590">
        <v>13.912232315000001</v>
      </c>
      <c r="C33" s="590">
        <v>0.17983486749999997</v>
      </c>
      <c r="D33" s="551">
        <f t="shared" si="0"/>
        <v>76.361150862471106</v>
      </c>
      <c r="E33" s="159"/>
      <c r="F33" s="159"/>
      <c r="G33" s="159"/>
      <c r="H33" s="159"/>
      <c r="I33" s="159"/>
      <c r="J33" s="159"/>
      <c r="K33" s="473"/>
      <c r="L33" s="475" t="s">
        <v>764</v>
      </c>
      <c r="M33" s="472">
        <v>13.903565712500001</v>
      </c>
      <c r="N33" s="472">
        <v>12.0024222425</v>
      </c>
    </row>
    <row r="34" spans="1:14" ht="18" customHeight="1">
      <c r="A34" s="847" t="s">
        <v>763</v>
      </c>
      <c r="B34" s="589">
        <v>13.903565712500001</v>
      </c>
      <c r="C34" s="589">
        <v>12.0024222425</v>
      </c>
      <c r="D34" s="549">
        <f t="shared" si="0"/>
        <v>0.15839664957529509</v>
      </c>
      <c r="E34" s="159"/>
      <c r="F34" s="159"/>
      <c r="G34" s="159"/>
      <c r="H34" s="159"/>
      <c r="I34" s="159"/>
      <c r="J34" s="159"/>
      <c r="K34" s="479"/>
      <c r="L34" s="475" t="s">
        <v>124</v>
      </c>
      <c r="M34" s="472">
        <v>13.912232315000001</v>
      </c>
      <c r="N34" s="472">
        <v>0.17983486749999997</v>
      </c>
    </row>
    <row r="35" spans="1:14" ht="10.5" customHeight="1">
      <c r="A35" s="554" t="s">
        <v>269</v>
      </c>
      <c r="B35" s="590">
        <v>12.915685219999999</v>
      </c>
      <c r="C35" s="590">
        <v>11.2620294875</v>
      </c>
      <c r="D35" s="551">
        <f t="shared" si="0"/>
        <v>0.14683461221047511</v>
      </c>
      <c r="E35" s="159"/>
      <c r="F35" s="159"/>
      <c r="G35" s="159"/>
      <c r="H35" s="159"/>
      <c r="I35" s="159"/>
      <c r="J35" s="159"/>
      <c r="K35" s="479"/>
      <c r="L35" s="475" t="s">
        <v>272</v>
      </c>
      <c r="M35" s="472">
        <v>14.623466715000001</v>
      </c>
      <c r="N35" s="472">
        <v>15.862747680000002</v>
      </c>
    </row>
    <row r="36" spans="1:14" ht="10.5" customHeight="1">
      <c r="A36" s="555" t="s">
        <v>267</v>
      </c>
      <c r="B36" s="589">
        <v>12.416066305000001</v>
      </c>
      <c r="C36" s="589">
        <v>12.594816255</v>
      </c>
      <c r="D36" s="549">
        <f t="shared" si="0"/>
        <v>-1.4192342816358061E-2</v>
      </c>
      <c r="E36" s="159"/>
      <c r="F36" s="159"/>
      <c r="G36" s="159"/>
      <c r="H36" s="159"/>
      <c r="I36" s="159"/>
      <c r="J36" s="159"/>
      <c r="K36" s="477"/>
      <c r="L36" s="475" t="s">
        <v>497</v>
      </c>
      <c r="M36" s="472">
        <v>14.796658617499999</v>
      </c>
      <c r="N36" s="472"/>
    </row>
    <row r="37" spans="1:14" ht="10.5" customHeight="1">
      <c r="A37" s="554" t="s">
        <v>107</v>
      </c>
      <c r="B37" s="590">
        <v>12.295861</v>
      </c>
      <c r="C37" s="590">
        <v>13.272971</v>
      </c>
      <c r="D37" s="551">
        <f t="shared" si="0"/>
        <v>-7.3616524891073731E-2</v>
      </c>
      <c r="E37" s="159"/>
      <c r="F37" s="159"/>
      <c r="G37" s="159"/>
      <c r="H37" s="159"/>
      <c r="I37" s="159"/>
      <c r="J37" s="159"/>
      <c r="K37" s="477"/>
      <c r="L37" s="478" t="s">
        <v>106</v>
      </c>
      <c r="M37" s="472">
        <v>20.59479254</v>
      </c>
      <c r="N37" s="472">
        <v>20.473513837500001</v>
      </c>
    </row>
    <row r="38" spans="1:14" ht="10.5" customHeight="1">
      <c r="A38" s="555" t="s">
        <v>125</v>
      </c>
      <c r="B38" s="589">
        <v>11.337685907499999</v>
      </c>
      <c r="C38" s="589">
        <v>5.0411700000000002E-3</v>
      </c>
      <c r="D38" s="549">
        <f t="shared" si="0"/>
        <v>2248.0187610217467</v>
      </c>
      <c r="E38" s="159"/>
      <c r="F38" s="159"/>
      <c r="G38" s="159"/>
      <c r="H38" s="159"/>
      <c r="I38" s="159"/>
      <c r="J38" s="159"/>
      <c r="K38" s="477"/>
      <c r="L38" s="475" t="s">
        <v>109</v>
      </c>
      <c r="M38" s="472">
        <v>22.457336932499999</v>
      </c>
      <c r="N38" s="472">
        <v>7.5640972149999994</v>
      </c>
    </row>
    <row r="39" spans="1:14" ht="10.5" customHeight="1">
      <c r="A39" s="554" t="s">
        <v>108</v>
      </c>
      <c r="B39" s="590">
        <v>9.8516598250000005</v>
      </c>
      <c r="C39" s="590">
        <v>9.4148222199999996</v>
      </c>
      <c r="D39" s="551">
        <f t="shared" si="0"/>
        <v>4.63989223367407E-2</v>
      </c>
      <c r="E39" s="159"/>
      <c r="F39" s="159"/>
      <c r="G39" s="159"/>
      <c r="H39" s="159"/>
      <c r="I39" s="159"/>
      <c r="J39" s="159"/>
      <c r="K39" s="479"/>
      <c r="L39" s="472" t="s">
        <v>105</v>
      </c>
      <c r="M39" s="472">
        <v>23.048733524999999</v>
      </c>
      <c r="N39" s="472">
        <v>23.942596994999999</v>
      </c>
    </row>
    <row r="40" spans="1:14" ht="10.5" customHeight="1">
      <c r="A40" s="555" t="s">
        <v>596</v>
      </c>
      <c r="B40" s="589">
        <v>7.9597405324999997</v>
      </c>
      <c r="C40" s="589"/>
      <c r="D40" s="549" t="str">
        <f t="shared" si="0"/>
        <v/>
      </c>
      <c r="E40" s="159"/>
      <c r="F40" s="159"/>
      <c r="G40" s="159"/>
      <c r="H40" s="159"/>
      <c r="I40" s="159"/>
      <c r="J40" s="159"/>
      <c r="K40" s="479"/>
      <c r="L40" s="475" t="s">
        <v>265</v>
      </c>
      <c r="M40" s="472">
        <v>23.221423102500001</v>
      </c>
      <c r="N40" s="472">
        <v>25.595690730000001</v>
      </c>
    </row>
    <row r="41" spans="1:14" ht="10.5" customHeight="1">
      <c r="A41" s="554" t="s">
        <v>110</v>
      </c>
      <c r="B41" s="590">
        <v>6.6600184075</v>
      </c>
      <c r="C41" s="590">
        <v>5.4871706974999999</v>
      </c>
      <c r="D41" s="551">
        <f t="shared" si="0"/>
        <v>0.21374361663914687</v>
      </c>
      <c r="E41" s="159"/>
      <c r="F41" s="159"/>
      <c r="G41" s="159"/>
      <c r="H41" s="159"/>
      <c r="I41" s="159"/>
      <c r="J41" s="159"/>
      <c r="K41" s="479"/>
      <c r="L41" s="472" t="s">
        <v>112</v>
      </c>
      <c r="M41" s="472">
        <v>24.139455917500001</v>
      </c>
      <c r="N41" s="472">
        <v>5.0003024724999996</v>
      </c>
    </row>
    <row r="42" spans="1:14" ht="10.5" customHeight="1">
      <c r="A42" s="555" t="s">
        <v>761</v>
      </c>
      <c r="B42" s="589">
        <v>5.7141024250000001</v>
      </c>
      <c r="C42" s="589">
        <v>3.4875260499999996</v>
      </c>
      <c r="D42" s="549">
        <f t="shared" si="0"/>
        <v>0.63844006985983692</v>
      </c>
      <c r="E42" s="159"/>
      <c r="F42" s="159"/>
      <c r="G42" s="159"/>
      <c r="H42" s="159"/>
      <c r="I42" s="159"/>
      <c r="J42" s="159"/>
      <c r="K42" s="160"/>
      <c r="L42" s="475" t="s">
        <v>264</v>
      </c>
      <c r="M42" s="472">
        <v>32.575901772500004</v>
      </c>
      <c r="N42" s="472">
        <v>46.5194274925</v>
      </c>
    </row>
    <row r="43" spans="1:14" ht="10.5" customHeight="1">
      <c r="A43" s="554" t="s">
        <v>111</v>
      </c>
      <c r="B43" s="590">
        <v>4.9303045824999998</v>
      </c>
      <c r="C43" s="590">
        <v>5.0338097500000005</v>
      </c>
      <c r="D43" s="551">
        <f t="shared" si="0"/>
        <v>-2.0561994322491173E-2</v>
      </c>
      <c r="E43" s="159"/>
      <c r="F43" s="159"/>
      <c r="G43" s="159"/>
      <c r="H43" s="159"/>
      <c r="I43" s="159"/>
      <c r="J43" s="159"/>
      <c r="L43" s="475" t="s">
        <v>101</v>
      </c>
      <c r="M43" s="472">
        <v>37.522926945000002</v>
      </c>
      <c r="N43" s="472">
        <v>46.070589032499996</v>
      </c>
    </row>
    <row r="44" spans="1:14" ht="10.5" customHeight="1">
      <c r="A44" s="555" t="s">
        <v>113</v>
      </c>
      <c r="B44" s="589">
        <v>4.8622343775000001</v>
      </c>
      <c r="C44" s="589">
        <v>4.8935458900000004</v>
      </c>
      <c r="D44" s="549">
        <f t="shared" si="0"/>
        <v>-6.3985325168781637E-3</v>
      </c>
      <c r="E44" s="159"/>
      <c r="F44" s="159"/>
      <c r="G44" s="159"/>
      <c r="H44" s="159"/>
      <c r="I44" s="159"/>
      <c r="J44" s="159"/>
      <c r="L44" s="476" t="s">
        <v>103</v>
      </c>
      <c r="M44" s="472">
        <v>41.461794512499999</v>
      </c>
      <c r="N44" s="472">
        <v>34.697945805000003</v>
      </c>
    </row>
    <row r="45" spans="1:14" ht="10.5" customHeight="1">
      <c r="A45" s="554" t="s">
        <v>114</v>
      </c>
      <c r="B45" s="590">
        <v>4.4765246249999997</v>
      </c>
      <c r="C45" s="590">
        <v>4.5925670700000003</v>
      </c>
      <c r="D45" s="551">
        <f t="shared" si="0"/>
        <v>-2.5267446992342069E-2</v>
      </c>
      <c r="E45" s="159"/>
      <c r="F45" s="159"/>
      <c r="G45" s="159"/>
      <c r="H45" s="159"/>
      <c r="I45" s="159"/>
      <c r="J45" s="159"/>
      <c r="L45" s="475" t="s">
        <v>98</v>
      </c>
      <c r="M45" s="472">
        <v>55.115172632499998</v>
      </c>
      <c r="N45" s="472">
        <v>81.39460115</v>
      </c>
    </row>
    <row r="46" spans="1:14" ht="10.5" customHeight="1">
      <c r="A46" s="555" t="s">
        <v>126</v>
      </c>
      <c r="B46" s="589">
        <v>4.2346610950000008</v>
      </c>
      <c r="C46" s="589">
        <v>0</v>
      </c>
      <c r="D46" s="549" t="str">
        <f t="shared" si="0"/>
        <v/>
      </c>
      <c r="E46" s="159"/>
      <c r="F46" s="159"/>
      <c r="G46" s="159"/>
      <c r="H46" s="159"/>
      <c r="I46" s="159"/>
      <c r="J46" s="159"/>
      <c r="L46" s="475" t="s">
        <v>100</v>
      </c>
      <c r="M46" s="472">
        <v>62.424170189999998</v>
      </c>
      <c r="N46" s="472">
        <v>64.111384064999996</v>
      </c>
    </row>
    <row r="47" spans="1:14" ht="10.5" customHeight="1">
      <c r="A47" s="554" t="s">
        <v>115</v>
      </c>
      <c r="B47" s="590">
        <v>4.1222224999999995</v>
      </c>
      <c r="C47" s="590">
        <v>3.9912231449999998</v>
      </c>
      <c r="D47" s="551">
        <f t="shared" si="0"/>
        <v>3.2821856919753811E-2</v>
      </c>
      <c r="E47" s="159"/>
      <c r="F47" s="159"/>
      <c r="G47" s="159"/>
      <c r="H47" s="159"/>
      <c r="I47" s="159"/>
      <c r="J47" s="159"/>
      <c r="L47" s="475" t="s">
        <v>548</v>
      </c>
      <c r="M47" s="472">
        <v>63.283625337499998</v>
      </c>
      <c r="N47" s="472">
        <v>63.751754809999994</v>
      </c>
    </row>
    <row r="48" spans="1:14" ht="10.5" customHeight="1">
      <c r="A48" s="555" t="s">
        <v>116</v>
      </c>
      <c r="B48" s="589">
        <v>3.9236064750000001</v>
      </c>
      <c r="C48" s="589">
        <v>3.6067930000000001</v>
      </c>
      <c r="D48" s="549">
        <f t="shared" si="0"/>
        <v>8.7837997633909204E-2</v>
      </c>
      <c r="E48" s="159"/>
      <c r="F48" s="159"/>
      <c r="G48" s="159"/>
      <c r="H48" s="159"/>
      <c r="I48" s="159"/>
      <c r="J48" s="159"/>
      <c r="L48" s="472" t="s">
        <v>99</v>
      </c>
      <c r="M48" s="472">
        <v>80.178238164999996</v>
      </c>
      <c r="N48" s="472">
        <v>78.708810575000001</v>
      </c>
    </row>
    <row r="49" spans="1:14" ht="10.5" customHeight="1">
      <c r="A49" s="554" t="s">
        <v>118</v>
      </c>
      <c r="B49" s="590">
        <v>3.170116315</v>
      </c>
      <c r="C49" s="590">
        <v>3.1175707500000005</v>
      </c>
      <c r="D49" s="551">
        <f t="shared" si="0"/>
        <v>1.6854650371607383E-2</v>
      </c>
      <c r="E49" s="159"/>
      <c r="F49" s="159"/>
      <c r="G49" s="159"/>
      <c r="H49" s="159"/>
      <c r="I49" s="159"/>
      <c r="J49" s="159"/>
      <c r="L49" s="471" t="s">
        <v>95</v>
      </c>
      <c r="M49" s="472">
        <v>91.081007044999993</v>
      </c>
      <c r="N49" s="472">
        <v>127.57981545749999</v>
      </c>
    </row>
    <row r="50" spans="1:14" ht="10.5" customHeight="1">
      <c r="A50" s="555" t="s">
        <v>120</v>
      </c>
      <c r="B50" s="589">
        <v>2.2429000000000001</v>
      </c>
      <c r="C50" s="589">
        <v>2.5219999999999998</v>
      </c>
      <c r="D50" s="549">
        <f t="shared" si="0"/>
        <v>-0.11066613798572544</v>
      </c>
      <c r="E50" s="159"/>
      <c r="F50" s="159"/>
      <c r="G50" s="159"/>
      <c r="H50" s="159"/>
      <c r="I50" s="159"/>
      <c r="J50" s="159"/>
      <c r="L50" s="475" t="s">
        <v>102</v>
      </c>
      <c r="M50" s="472">
        <v>91.367606190000004</v>
      </c>
      <c r="N50" s="472">
        <v>40.514315947499995</v>
      </c>
    </row>
    <row r="51" spans="1:14" ht="10.5" customHeight="1">
      <c r="A51" s="554" t="s">
        <v>119</v>
      </c>
      <c r="B51" s="590">
        <v>2.1105086425000001</v>
      </c>
      <c r="C51" s="590">
        <v>2.5699418875000002</v>
      </c>
      <c r="D51" s="551">
        <f t="shared" si="0"/>
        <v>-0.17877184197613494</v>
      </c>
      <c r="E51" s="159"/>
      <c r="F51" s="159"/>
      <c r="G51" s="159"/>
      <c r="H51" s="159"/>
      <c r="I51" s="159"/>
      <c r="J51" s="159"/>
      <c r="L51" s="475" t="s">
        <v>97</v>
      </c>
      <c r="M51" s="472">
        <v>107.5844780625</v>
      </c>
      <c r="N51" s="472">
        <v>112.6307849975</v>
      </c>
    </row>
    <row r="52" spans="1:14" ht="10.5" customHeight="1">
      <c r="A52" s="555" t="s">
        <v>117</v>
      </c>
      <c r="B52" s="589">
        <v>1.8235989300000002</v>
      </c>
      <c r="C52" s="589">
        <v>3.1982881000000001</v>
      </c>
      <c r="D52" s="549">
        <f t="shared" si="0"/>
        <v>-0.42982030605685584</v>
      </c>
      <c r="E52" s="159"/>
      <c r="F52" s="159"/>
      <c r="G52" s="159"/>
      <c r="H52" s="159"/>
      <c r="I52" s="159"/>
      <c r="J52" s="159"/>
      <c r="L52" s="475" t="s">
        <v>96</v>
      </c>
      <c r="M52" s="472">
        <v>118.45355536</v>
      </c>
      <c r="N52" s="472">
        <v>119.21927296499999</v>
      </c>
    </row>
    <row r="53" spans="1:14" ht="10.5" customHeight="1">
      <c r="A53" s="554" t="s">
        <v>121</v>
      </c>
      <c r="B53" s="590">
        <v>1.1143244999999999</v>
      </c>
      <c r="C53" s="590">
        <v>2.2018542500000002</v>
      </c>
      <c r="D53" s="551">
        <f t="shared" si="0"/>
        <v>-0.49391541243022796</v>
      </c>
      <c r="E53" s="159"/>
      <c r="F53" s="159"/>
      <c r="G53" s="159"/>
      <c r="H53" s="159"/>
      <c r="I53" s="159"/>
      <c r="J53" s="159"/>
      <c r="L53" s="475" t="s">
        <v>104</v>
      </c>
      <c r="M53" s="472">
        <v>192.85535057499999</v>
      </c>
      <c r="N53" s="472">
        <v>33.14900583</v>
      </c>
    </row>
    <row r="54" spans="1:14" ht="10.5" customHeight="1">
      <c r="A54" s="555" t="s">
        <v>566</v>
      </c>
      <c r="B54" s="589">
        <v>0.46184775</v>
      </c>
      <c r="C54" s="589"/>
      <c r="D54" s="549" t="str">
        <f t="shared" si="0"/>
        <v/>
      </c>
      <c r="E54" s="159"/>
      <c r="F54" s="159"/>
      <c r="G54" s="159"/>
      <c r="H54" s="159"/>
      <c r="I54" s="159"/>
      <c r="J54" s="159"/>
      <c r="L54" s="475" t="s">
        <v>94</v>
      </c>
      <c r="M54" s="472">
        <v>200.31608477999995</v>
      </c>
      <c r="N54" s="472">
        <v>195.48258343000003</v>
      </c>
    </row>
    <row r="55" spans="1:14" ht="10.5" customHeight="1">
      <c r="A55" s="554" t="s">
        <v>123</v>
      </c>
      <c r="B55" s="590">
        <v>0.21018762000000002</v>
      </c>
      <c r="C55" s="590">
        <v>0.3701769775</v>
      </c>
      <c r="D55" s="551">
        <f t="shared" si="0"/>
        <v>-0.43219694152913657</v>
      </c>
      <c r="E55" s="159"/>
      <c r="F55" s="159"/>
      <c r="G55" s="159"/>
      <c r="H55" s="159"/>
      <c r="I55" s="159"/>
      <c r="J55" s="159"/>
      <c r="L55" s="475" t="s">
        <v>268</v>
      </c>
      <c r="M55" s="472">
        <v>218.02151943000001</v>
      </c>
      <c r="N55" s="472">
        <v>230.99144163999998</v>
      </c>
    </row>
    <row r="56" spans="1:14" ht="10.5" customHeight="1">
      <c r="A56" s="555" t="s">
        <v>122</v>
      </c>
      <c r="B56" s="589">
        <v>0.16697896499999998</v>
      </c>
      <c r="C56" s="589">
        <v>0.60593085000000002</v>
      </c>
      <c r="D56" s="549">
        <f t="shared" si="0"/>
        <v>-0.72442570798301498</v>
      </c>
      <c r="E56" s="159"/>
      <c r="F56" s="159"/>
      <c r="G56" s="159"/>
      <c r="H56" s="159"/>
      <c r="I56" s="159"/>
      <c r="J56" s="159"/>
      <c r="L56" s="472" t="s">
        <v>263</v>
      </c>
      <c r="M56" s="472">
        <v>244.79406206250002</v>
      </c>
      <c r="N56" s="472">
        <v>264.87519700249999</v>
      </c>
    </row>
    <row r="57" spans="1:14" ht="10.5" customHeight="1">
      <c r="A57" s="554" t="s">
        <v>270</v>
      </c>
      <c r="B57" s="590">
        <v>1.7262139999999999E-2</v>
      </c>
      <c r="C57" s="590">
        <v>1.8615331874999999</v>
      </c>
      <c r="D57" s="551">
        <f t="shared" si="0"/>
        <v>-0.99072692331465617</v>
      </c>
      <c r="E57" s="159"/>
      <c r="F57" s="159"/>
      <c r="G57" s="159"/>
      <c r="H57" s="159"/>
      <c r="I57" s="159"/>
      <c r="J57" s="159"/>
      <c r="L57" s="475" t="s">
        <v>266</v>
      </c>
      <c r="M57" s="472">
        <v>402.90432225500001</v>
      </c>
      <c r="N57" s="472">
        <v>402.6164141475</v>
      </c>
    </row>
    <row r="58" spans="1:14" ht="10.5" customHeight="1">
      <c r="A58" s="555" t="s">
        <v>714</v>
      </c>
      <c r="B58" s="589">
        <v>6.5083375000000001E-3</v>
      </c>
      <c r="C58" s="589"/>
      <c r="D58" s="549" t="str">
        <f t="shared" si="0"/>
        <v/>
      </c>
      <c r="E58" s="159"/>
      <c r="F58" s="159"/>
      <c r="G58" s="159"/>
      <c r="H58" s="159"/>
      <c r="I58" s="159"/>
      <c r="J58" s="159"/>
      <c r="L58" s="475" t="s">
        <v>760</v>
      </c>
      <c r="M58" s="472">
        <v>432.10283817750002</v>
      </c>
      <c r="N58" s="472">
        <v>285.16548796749998</v>
      </c>
    </row>
    <row r="59" spans="1:14" ht="10.5" customHeight="1">
      <c r="A59" s="554" t="s">
        <v>262</v>
      </c>
      <c r="B59" s="590">
        <v>0</v>
      </c>
      <c r="C59" s="590">
        <v>0</v>
      </c>
      <c r="D59" s="551" t="str">
        <f t="shared" si="0"/>
        <v/>
      </c>
      <c r="E59" s="159"/>
      <c r="F59" s="159"/>
      <c r="G59" s="159"/>
      <c r="H59" s="159"/>
      <c r="I59" s="159"/>
      <c r="J59" s="159"/>
      <c r="L59" s="472" t="s">
        <v>93</v>
      </c>
      <c r="M59" s="472">
        <v>556.38976895999997</v>
      </c>
      <c r="N59" s="472">
        <v>551.99472093750001</v>
      </c>
    </row>
    <row r="60" spans="1:14" ht="10.5" customHeight="1">
      <c r="A60" s="555" t="s">
        <v>271</v>
      </c>
      <c r="B60" s="591">
        <v>0</v>
      </c>
      <c r="C60" s="591">
        <v>0</v>
      </c>
      <c r="D60" s="556" t="str">
        <f t="shared" si="0"/>
        <v/>
      </c>
      <c r="E60" s="159"/>
      <c r="F60" s="159"/>
      <c r="G60" s="159"/>
      <c r="H60" s="159"/>
      <c r="I60" s="159"/>
      <c r="J60" s="159"/>
      <c r="L60" s="475" t="s">
        <v>92</v>
      </c>
      <c r="M60" s="472">
        <v>558.68106450499999</v>
      </c>
      <c r="N60" s="472">
        <v>595.31835009250005</v>
      </c>
    </row>
    <row r="61" spans="1:14" ht="10.5" customHeight="1">
      <c r="A61" s="557" t="s">
        <v>549</v>
      </c>
      <c r="B61" s="590"/>
      <c r="C61" s="590">
        <v>0.62758437499999997</v>
      </c>
      <c r="D61" s="551">
        <f t="shared" si="0"/>
        <v>-1</v>
      </c>
      <c r="E61" s="159"/>
      <c r="F61" s="159"/>
      <c r="G61" s="159"/>
      <c r="H61" s="159"/>
      <c r="I61" s="159"/>
      <c r="J61" s="159"/>
      <c r="L61" s="475" t="s">
        <v>91</v>
      </c>
      <c r="M61" s="472">
        <v>621.24845739999989</v>
      </c>
      <c r="N61" s="472">
        <v>630.57512287499992</v>
      </c>
    </row>
    <row r="62" spans="1:14" ht="10.5" customHeight="1">
      <c r="A62" s="555" t="s">
        <v>127</v>
      </c>
      <c r="B62" s="591"/>
      <c r="C62" s="591">
        <v>0</v>
      </c>
      <c r="D62" s="556" t="str">
        <f t="shared" si="0"/>
        <v/>
      </c>
      <c r="E62" s="159"/>
      <c r="F62" s="159"/>
      <c r="G62" s="159"/>
      <c r="H62" s="159"/>
      <c r="I62" s="159"/>
      <c r="J62" s="159"/>
      <c r="L62" s="475"/>
      <c r="M62" s="472"/>
      <c r="N62" s="472"/>
    </row>
    <row r="63" spans="1:14" ht="12" customHeight="1">
      <c r="A63" s="520" t="s">
        <v>44</v>
      </c>
      <c r="B63" s="587">
        <f>SUM(B6:B62)</f>
        <v>4496.0842162124991</v>
      </c>
      <c r="C63" s="587">
        <f>SUM(C6:C62)</f>
        <v>4210.7054283725001</v>
      </c>
      <c r="D63" s="521">
        <f t="shared" si="0"/>
        <v>6.7774579033020199E-2</v>
      </c>
      <c r="E63" s="159"/>
      <c r="F63" s="159"/>
      <c r="G63" s="159"/>
      <c r="H63" s="159"/>
      <c r="I63" s="159"/>
      <c r="J63" s="159"/>
    </row>
    <row r="64" spans="1:14" ht="36" customHeight="1">
      <c r="A64" s="949" t="str">
        <f>"Cuadro N° 6: Participación de las empresas generadoras del COES en la producción de energía eléctrica (GWh) en "&amp;'1. Resumen'!Q4</f>
        <v>Cuadro N° 6: Participación de las empresas generadoras del COES en la producción de energía eléctrica (GWh) en diciembre</v>
      </c>
      <c r="B64" s="949"/>
      <c r="C64" s="949"/>
      <c r="D64" s="173"/>
      <c r="E64" s="948" t="str">
        <f>"Gráfico N° 10: Comparación de producción energética (GWh) de las empresas generadoras del COES en "&amp;'1. Resumen'!Q4</f>
        <v>Gráfico N° 10: Comparación de producción energética (GWh) de las empresas generadoras del COES en diciembre</v>
      </c>
      <c r="F64" s="948"/>
      <c r="G64" s="948"/>
      <c r="H64" s="948"/>
      <c r="I64" s="948"/>
      <c r="J64" s="948"/>
    </row>
    <row r="65" spans="1:10" ht="12.75" customHeight="1">
      <c r="A65" s="950" t="s">
        <v>533</v>
      </c>
      <c r="B65" s="950"/>
      <c r="C65" s="950"/>
      <c r="D65" s="950"/>
      <c r="E65" s="950"/>
      <c r="F65" s="950"/>
      <c r="G65" s="950"/>
      <c r="H65" s="950"/>
      <c r="I65" s="950"/>
      <c r="J65" s="950"/>
    </row>
    <row r="66" spans="1:10" ht="12.75" customHeight="1">
      <c r="A66" s="950" t="s">
        <v>550</v>
      </c>
      <c r="B66" s="950"/>
      <c r="C66" s="950"/>
      <c r="D66" s="950"/>
      <c r="E66" s="950"/>
      <c r="F66" s="950"/>
      <c r="G66" s="950"/>
      <c r="H66" s="950"/>
      <c r="I66" s="950"/>
      <c r="J66" s="950"/>
    </row>
    <row r="67" spans="1:10" ht="12.75" customHeight="1">
      <c r="A67" s="950" t="s">
        <v>546</v>
      </c>
      <c r="B67" s="950"/>
      <c r="C67" s="950"/>
      <c r="D67" s="950"/>
      <c r="E67" s="950"/>
      <c r="F67" s="950"/>
      <c r="G67" s="950"/>
      <c r="H67" s="950"/>
      <c r="I67" s="950"/>
      <c r="J67" s="950"/>
    </row>
    <row r="68" spans="1:10">
      <c r="A68" s="950" t="s">
        <v>547</v>
      </c>
      <c r="B68" s="950"/>
      <c r="C68" s="950"/>
      <c r="D68" s="950"/>
      <c r="E68" s="950"/>
      <c r="F68" s="950"/>
      <c r="G68" s="950"/>
      <c r="H68" s="950"/>
      <c r="I68" s="950"/>
      <c r="J68" s="950"/>
    </row>
    <row r="69" spans="1:10">
      <c r="A69" s="942"/>
      <c r="B69" s="942"/>
      <c r="C69" s="942"/>
      <c r="D69" s="942"/>
      <c r="E69" s="942"/>
      <c r="F69" s="942"/>
      <c r="G69" s="942"/>
      <c r="H69" s="942"/>
      <c r="I69" s="942"/>
      <c r="J69" s="942"/>
    </row>
    <row r="70" spans="1:10">
      <c r="A70" s="943"/>
      <c r="B70" s="943"/>
      <c r="C70" s="943"/>
      <c r="D70" s="943"/>
      <c r="E70" s="943"/>
      <c r="F70" s="943"/>
      <c r="G70" s="943"/>
      <c r="H70" s="943"/>
      <c r="I70" s="943"/>
      <c r="J70" s="943"/>
    </row>
    <row r="71" spans="1:10">
      <c r="A71" s="942"/>
      <c r="B71" s="942"/>
      <c r="C71" s="942"/>
      <c r="D71" s="942"/>
      <c r="E71" s="942"/>
      <c r="F71" s="942"/>
      <c r="G71" s="942"/>
      <c r="H71" s="942"/>
      <c r="I71" s="942"/>
      <c r="J71" s="942"/>
    </row>
    <row r="72" spans="1:10">
      <c r="A72" s="943"/>
      <c r="B72" s="943"/>
      <c r="C72" s="943"/>
      <c r="D72" s="943"/>
      <c r="E72" s="943"/>
      <c r="F72" s="943"/>
      <c r="G72" s="943"/>
      <c r="H72" s="943"/>
      <c r="I72" s="943"/>
      <c r="J72" s="943"/>
    </row>
  </sheetData>
  <mergeCells count="14">
    <mergeCell ref="A69:J69"/>
    <mergeCell ref="A70:J70"/>
    <mergeCell ref="A71:J71"/>
    <mergeCell ref="A72:J72"/>
    <mergeCell ref="A2:I2"/>
    <mergeCell ref="A4:A5"/>
    <mergeCell ref="B4:D4"/>
    <mergeCell ref="G4:I4"/>
    <mergeCell ref="E64:J64"/>
    <mergeCell ref="A64:C64"/>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Diciembre 2018
INFSGI-MES-12-2018
15/01/2019
Versión: 01</oddHeader>
    <oddFooter>&amp;L&amp;7COES, 2018&amp;C7&amp;R&amp;7Dirección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16</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'29.ANEXO III - 5'!Print_Area</vt:lpstr>
      <vt:lpstr>'30.ANEXO III -6'!Print_Area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2019-01-15T20:33:59Z</cp:lastPrinted>
  <dcterms:created xsi:type="dcterms:W3CDTF">2018-02-13T14:18:17Z</dcterms:created>
  <dcterms:modified xsi:type="dcterms:W3CDTF">2019-01-15T20:41:44Z</dcterms:modified>
</cp:coreProperties>
</file>