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S:\1-SGI_IE   Informes - Estadistica\INFORMES\03 Informe Mensual\2018\"/>
    </mc:Choice>
  </mc:AlternateContent>
  <bookViews>
    <workbookView xWindow="0" yWindow="0" windowWidth="25185" windowHeight="10740" tabRatio="868" xr2:uid="{F2B6F377-0267-405F-92D4-AB138E6E385C}"/>
  </bookViews>
  <sheets>
    <sheet name="Portada" sheetId="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r:id="rId32"/>
    <sheet name="31.ANEXOIII - 7" sheetId="53" r:id="rId33"/>
    <sheet name="32.ANEXO III - 8" sheetId="55" r:id="rId34"/>
    <sheet name="Contraportada" sheetId="59" r:id="rId35"/>
  </sheets>
  <definedNames>
    <definedName name="_xlnm._FilterDatabase" localSheetId="8" hidden="1">'7. Generacion empresa'!$L$4:$N$61</definedName>
    <definedName name="_xlnm._FilterDatabase" localSheetId="10" hidden="1">'9. Pot. Empresa'!$L$6:$N$63</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generación'!$A$1:$J$60</definedName>
    <definedName name="_xlnm.Print_Area" localSheetId="6">'5. RER'!$A$1:$K$61</definedName>
    <definedName name="_xlnm.Print_Area" localSheetId="7">'6. FP RER'!$A$1:$K$64</definedName>
    <definedName name="_xlnm.Print_Area" localSheetId="8">'7. Generacion empresa'!$A$1:$J$67</definedName>
    <definedName name="_xlnm.Print_Area" localSheetId="10">'9. Pot. Empresa'!$A$1:$J$68</definedName>
    <definedName name="_xlnm.Print_Area" localSheetId="1">Índice!$A$1:$L$45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 i="45" l="1"/>
  <c r="F46" i="45"/>
  <c r="F45" i="45"/>
  <c r="F16" i="36"/>
  <c r="G47" i="37" l="1"/>
  <c r="G45" i="37"/>
  <c r="F40" i="9" l="1"/>
  <c r="F33" i="6" l="1"/>
  <c r="F35" i="6"/>
  <c r="F36" i="6"/>
  <c r="F11" i="14" l="1"/>
  <c r="F54" i="46" l="1"/>
  <c r="F53" i="46"/>
  <c r="F52"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F67" i="45"/>
  <c r="F66" i="45"/>
  <c r="F65" i="45"/>
  <c r="F64" i="45"/>
  <c r="F63" i="45"/>
  <c r="F62" i="45"/>
  <c r="F61" i="45"/>
  <c r="F60" i="45"/>
  <c r="F59" i="45"/>
  <c r="F58" i="45"/>
  <c r="F57" i="45"/>
  <c r="F56" i="45"/>
  <c r="F55" i="45"/>
  <c r="F54" i="45"/>
  <c r="F53" i="45"/>
  <c r="F52" i="45"/>
  <c r="F51" i="45"/>
  <c r="F50" i="45"/>
  <c r="F49" i="45"/>
  <c r="F48"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F5" i="45"/>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5" i="36"/>
  <c r="F14" i="36"/>
  <c r="F13" i="36"/>
  <c r="F12" i="36"/>
  <c r="F11" i="36"/>
  <c r="F10" i="36"/>
  <c r="F9" i="36"/>
  <c r="F8" i="36"/>
  <c r="F7" i="36"/>
  <c r="F6" i="36"/>
  <c r="F34" i="6" l="1"/>
  <c r="F32" i="6"/>
  <c r="C64" i="13" l="1"/>
  <c r="B64" i="13"/>
  <c r="D59" i="11" l="1"/>
  <c r="D58" i="11"/>
  <c r="C63" i="11" l="1"/>
  <c r="B63" i="11"/>
  <c r="D62" i="11"/>
  <c r="A63" i="8"/>
  <c r="J12" i="7"/>
  <c r="A58" i="7"/>
  <c r="E31" i="6"/>
  <c r="B47" i="4"/>
  <c r="H47" i="4"/>
  <c r="D63" i="11" l="1"/>
  <c r="E64" i="11"/>
  <c r="A64" i="11"/>
  <c r="C45" i="10"/>
  <c r="A34" i="9"/>
  <c r="D3" i="36" l="1"/>
  <c r="D2" i="45" s="1"/>
  <c r="D2" i="46" s="1"/>
  <c r="C3" i="36"/>
  <c r="C2" i="45" s="1"/>
  <c r="C2" i="46" s="1"/>
  <c r="F2" i="38"/>
  <c r="F2" i="37"/>
  <c r="F3" i="23"/>
  <c r="C2" i="23"/>
  <c r="C1" i="37" s="1"/>
  <c r="C1" i="38" s="1"/>
  <c r="A38" i="22"/>
  <c r="E17" i="22"/>
  <c r="A17" i="22"/>
  <c r="A53" i="22"/>
  <c r="A13" i="22"/>
  <c r="A55" i="21"/>
  <c r="A13" i="21"/>
  <c r="F6" i="21"/>
  <c r="E6" i="21"/>
  <c r="D6" i="21"/>
  <c r="B58" i="18"/>
  <c r="B47" i="18"/>
  <c r="B40" i="18"/>
  <c r="B28" i="18"/>
  <c r="B21" i="18"/>
  <c r="B10" i="18"/>
  <c r="C31" i="16"/>
  <c r="E6" i="16"/>
  <c r="D6" i="16"/>
  <c r="C29" i="14"/>
  <c r="F65" i="13"/>
  <c r="A65" i="13"/>
  <c r="B3" i="13"/>
  <c r="A58" i="12"/>
  <c r="B5" i="11"/>
  <c r="C5" i="11" s="1"/>
  <c r="B4" i="11"/>
  <c r="A64" i="10"/>
  <c r="A43" i="10"/>
  <c r="A61" i="9"/>
  <c r="D5" i="8"/>
  <c r="B5" i="8"/>
  <c r="G6" i="7"/>
  <c r="G4" i="8" s="1"/>
  <c r="G4" i="9" s="1"/>
  <c r="E7" i="7"/>
  <c r="B7" i="7"/>
  <c r="C7" i="7"/>
  <c r="D7" i="7"/>
  <c r="A57" i="6"/>
  <c r="B37" i="6"/>
  <c r="B25" i="6"/>
  <c r="A9" i="6"/>
  <c r="E4" i="46" l="1"/>
  <c r="D4" i="46"/>
  <c r="C4" i="46"/>
  <c r="E3" i="46"/>
  <c r="D3" i="46"/>
  <c r="C3" i="46"/>
  <c r="E4" i="45"/>
  <c r="D4" i="45"/>
  <c r="C4" i="45"/>
  <c r="E3" i="45"/>
  <c r="D3" i="45"/>
  <c r="C3" i="45"/>
  <c r="E5" i="36"/>
  <c r="E4" i="36"/>
  <c r="D4" i="36"/>
  <c r="D5" i="36"/>
  <c r="C5" i="36"/>
  <c r="C4" i="36"/>
  <c r="E12" i="21" l="1"/>
  <c r="F12" i="21"/>
  <c r="D12" i="21"/>
  <c r="G8" i="21"/>
  <c r="H8" i="21"/>
  <c r="G9" i="21"/>
  <c r="G10" i="21"/>
  <c r="H7" i="21"/>
  <c r="G7" i="21"/>
  <c r="D8" i="13" l="1"/>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4" i="13"/>
  <c r="C6" i="13"/>
  <c r="B6" i="13"/>
  <c r="C5" i="13"/>
  <c r="B5" i="13"/>
  <c r="J18" i="12"/>
  <c r="C5" i="8" l="1"/>
  <c r="C5" i="9" s="1"/>
  <c r="C7" i="12" s="1"/>
  <c r="D5" i="9"/>
  <c r="D7" i="12" s="1"/>
  <c r="B5" i="9"/>
  <c r="B7" i="12" s="1"/>
  <c r="B11" i="9"/>
  <c r="E19" i="8"/>
  <c r="D19" i="8"/>
  <c r="F39" i="9" s="1"/>
  <c r="C19" i="8"/>
  <c r="B19" i="8"/>
  <c r="J23" i="8"/>
  <c r="E23" i="8"/>
  <c r="D23" i="8"/>
  <c r="C23" i="8"/>
  <c r="B23" i="8"/>
  <c r="K22" i="8"/>
  <c r="F22" i="8"/>
  <c r="K21" i="8"/>
  <c r="I21" i="8"/>
  <c r="F21" i="8"/>
  <c r="F9" i="8"/>
  <c r="F8" i="8"/>
  <c r="A2" i="8"/>
  <c r="A4" i="7"/>
  <c r="J16" i="7"/>
  <c r="H16" i="7"/>
  <c r="G16" i="7"/>
  <c r="C16" i="7"/>
  <c r="D16" i="7"/>
  <c r="E16" i="7"/>
  <c r="B16" i="7"/>
  <c r="B49" i="4"/>
  <c r="D31" i="6"/>
  <c r="E36" i="6"/>
  <c r="D36" i="6"/>
  <c r="B12" i="9" l="1"/>
  <c r="G23" i="8"/>
  <c r="H23" i="8"/>
  <c r="I22" i="8"/>
  <c r="A9" i="4" l="1"/>
  <c r="I8" i="6"/>
  <c r="H8" i="6"/>
  <c r="I20" i="4" l="1"/>
  <c r="C20" i="4"/>
  <c r="C3" i="4"/>
  <c r="J12" i="22"/>
  <c r="H12" i="22"/>
  <c r="G12" i="22"/>
  <c r="F12" i="22"/>
  <c r="E12" i="22"/>
  <c r="D12" i="22"/>
  <c r="C12" i="22"/>
  <c r="B12" i="22"/>
  <c r="I11" i="22"/>
  <c r="I10" i="22"/>
  <c r="I9" i="22"/>
  <c r="I8" i="22"/>
  <c r="I7" i="22"/>
  <c r="H12" i="21"/>
  <c r="F30" i="16"/>
  <c r="F29" i="16"/>
  <c r="F28" i="16"/>
  <c r="F27" i="16"/>
  <c r="F26" i="16"/>
  <c r="F25" i="16"/>
  <c r="F24" i="16"/>
  <c r="F23" i="16"/>
  <c r="F22" i="16"/>
  <c r="F21" i="16"/>
  <c r="F20" i="16"/>
  <c r="F19" i="16"/>
  <c r="F18" i="16"/>
  <c r="F17" i="16"/>
  <c r="F16" i="16"/>
  <c r="F15" i="16"/>
  <c r="F14" i="16"/>
  <c r="F13" i="16"/>
  <c r="F12" i="16"/>
  <c r="F11" i="16"/>
  <c r="F10" i="16"/>
  <c r="F9" i="16"/>
  <c r="F8" i="16"/>
  <c r="F7" i="16"/>
  <c r="F28" i="14"/>
  <c r="F27" i="14"/>
  <c r="F26" i="14"/>
  <c r="F25" i="14"/>
  <c r="F24" i="14"/>
  <c r="F23" i="14"/>
  <c r="F22" i="14"/>
  <c r="F20" i="14"/>
  <c r="F19" i="14"/>
  <c r="F18" i="14"/>
  <c r="F17" i="14"/>
  <c r="F16" i="14"/>
  <c r="F15" i="14"/>
  <c r="F14" i="14"/>
  <c r="F13" i="14"/>
  <c r="F12" i="14"/>
  <c r="F10" i="14"/>
  <c r="F9" i="14"/>
  <c r="F8" i="14"/>
  <c r="F7" i="14"/>
  <c r="D7" i="13"/>
  <c r="K16" i="12"/>
  <c r="I16" i="12"/>
  <c r="K13" i="12"/>
  <c r="I13" i="12"/>
  <c r="F13" i="12"/>
  <c r="K12" i="12"/>
  <c r="I12" i="12"/>
  <c r="F12" i="12"/>
  <c r="K11" i="12"/>
  <c r="I11" i="12"/>
  <c r="F11" i="12"/>
  <c r="K10" i="12"/>
  <c r="I10" i="12"/>
  <c r="D14" i="12"/>
  <c r="C14" i="12"/>
  <c r="B14" i="12"/>
  <c r="D61" i="11"/>
  <c r="D60" i="11"/>
  <c r="D57" i="11"/>
  <c r="D56" i="11"/>
  <c r="D55" i="11"/>
  <c r="D54" i="11"/>
  <c r="D53" i="11"/>
  <c r="D52" i="11"/>
  <c r="D51" i="11"/>
  <c r="D50" i="11"/>
  <c r="D49" i="11"/>
  <c r="D48" i="11"/>
  <c r="D47" i="11"/>
  <c r="D46" i="11"/>
  <c r="D44" i="11"/>
  <c r="D43" i="11"/>
  <c r="D42" i="11"/>
  <c r="D41" i="11"/>
  <c r="D40" i="11"/>
  <c r="D39" i="11"/>
  <c r="D38" i="11"/>
  <c r="D37" i="11"/>
  <c r="D36"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I15" i="7"/>
  <c r="F15" i="7"/>
  <c r="K13" i="7"/>
  <c r="K11" i="7"/>
  <c r="I11" i="7"/>
  <c r="F11" i="7"/>
  <c r="K10" i="7"/>
  <c r="I10" i="7"/>
  <c r="F10" i="7"/>
  <c r="K9" i="7"/>
  <c r="I9" i="7"/>
  <c r="F9" i="7"/>
  <c r="K8" i="7"/>
  <c r="I8" i="7"/>
  <c r="F8" i="7"/>
  <c r="G12" i="21" l="1"/>
  <c r="I12" i="22"/>
  <c r="B18" i="12"/>
  <c r="D18" i="12"/>
  <c r="G18" i="12"/>
  <c r="F17" i="12"/>
  <c r="E18" i="12"/>
  <c r="I17" i="12"/>
  <c r="H18" i="12"/>
  <c r="K18" i="12" s="1"/>
  <c r="C18" i="12"/>
  <c r="C20" i="12" s="1"/>
  <c r="D20" i="12"/>
  <c r="E14" i="12"/>
  <c r="F14" i="12" s="1"/>
  <c r="G14" i="12"/>
  <c r="B20" i="12"/>
  <c r="H14" i="12"/>
  <c r="F16" i="12"/>
  <c r="J14" i="12"/>
  <c r="F10" i="12"/>
  <c r="K17" i="12"/>
  <c r="H11" i="9"/>
  <c r="D11" i="9"/>
  <c r="E11" i="9"/>
  <c r="E12" i="9" s="1"/>
  <c r="G11" i="9"/>
  <c r="C11" i="9"/>
  <c r="C12" i="9" s="1"/>
  <c r="J11" i="9"/>
  <c r="J12" i="9" s="1"/>
  <c r="K7" i="9"/>
  <c r="I6" i="9"/>
  <c r="F19" i="8"/>
  <c r="G19" i="8"/>
  <c r="F7" i="8"/>
  <c r="H19" i="8"/>
  <c r="J19" i="8"/>
  <c r="K19" i="8" s="1"/>
  <c r="G12" i="7"/>
  <c r="C12" i="7"/>
  <c r="B12" i="7"/>
  <c r="D12" i="7"/>
  <c r="I14" i="7"/>
  <c r="H12" i="7"/>
  <c r="E5" i="8"/>
  <c r="E5" i="9" s="1"/>
  <c r="E7" i="12" s="1"/>
  <c r="F14" i="7"/>
  <c r="E12" i="7"/>
  <c r="K14" i="7"/>
  <c r="G12" i="9" l="1"/>
  <c r="E20" i="12"/>
  <c r="F20" i="12"/>
  <c r="K12" i="7"/>
  <c r="I11" i="9"/>
  <c r="H12" i="9"/>
  <c r="D12" i="9"/>
  <c r="M39" i="9"/>
  <c r="I18" i="12"/>
  <c r="G20" i="12"/>
  <c r="I19" i="8"/>
  <c r="I12" i="7"/>
  <c r="F12" i="7"/>
  <c r="K14" i="12"/>
  <c r="J20" i="12"/>
  <c r="H20" i="12"/>
  <c r="I14" i="12"/>
  <c r="F11" i="9"/>
  <c r="K11" i="9"/>
  <c r="I20" i="12" l="1"/>
  <c r="K20" i="12"/>
</calcChain>
</file>

<file path=xl/sharedStrings.xml><?xml version="1.0" encoding="utf-8"?>
<sst xmlns="http://schemas.openxmlformats.org/spreadsheetml/2006/main" count="1485" uniqueCount="712">
  <si>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</si>
  <si>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</si>
  <si>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</si>
  <si>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</si>
  <si>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</si>
  <si>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</si>
  <si>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</si>
  <si>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</si>
  <si>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</si>
  <si>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</si>
  <si>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</si>
  <si>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</si>
  <si>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</si>
  <si>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</si>
  <si>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</si>
  <si>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</si>
  <si>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</si>
  <si>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</si>
  <si>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</si>
  <si>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</si>
  <si>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</si>
  <si>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</si>
  <si>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</si>
  <si>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</si>
  <si>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</si>
  <si>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</si>
  <si>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</si>
  <si>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</si>
  <si>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</si>
  <si>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</si>
  <si>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</si>
  <si>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</si>
  <si>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</si>
  <si>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</si>
  <si>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</si>
  <si>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</si>
  <si>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</si>
  <si>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</si>
  <si>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</si>
  <si>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</si>
  <si>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</si>
  <si>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</si>
  <si>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</si>
  <si>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</si>
  <si>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</si>
  <si>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</si>
  <si>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</si>
  <si>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</si>
  <si>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</si>
  <si>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</si>
  <si>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</si>
  <si>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</si>
  <si>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</si>
  <si>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</si>
  <si>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</si>
  <si>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</si>
  <si>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 Se denomina RER a los Recursos Energéticos Renovables (biomasa, eólica, solar, geotérmica, mareomotriz), e hidroléctricas cuya capacidad instalada no sobrepase los 20 MW, según D.L. N° 1002</t>
  </si>
  <si>
    <t>CENTRAL</t>
  </si>
  <si>
    <t>Potencia efectiva al 31/12/2017 (MW)</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</si>
  <si>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</si>
  <si>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</si>
  <si>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</si>
  <si>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</si>
  <si>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</si>
  <si>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</si>
  <si>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</si>
  <si>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</si>
  <si>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</si>
  <si>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</si>
  <si>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</si>
  <si>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</si>
  <si>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</si>
  <si>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</si>
  <si>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</si>
  <si>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</si>
  <si>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</si>
  <si>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</si>
  <si>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</si>
  <si>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</si>
  <si>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</si>
  <si>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</si>
  <si>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</si>
  <si>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</si>
  <si>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</si>
  <si>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</si>
  <si>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C.S. TACNA</t>
  </si>
  <si>
    <t>SOLAR</t>
  </si>
  <si>
    <t>C.S. PANAMERICANA</t>
  </si>
  <si>
    <t>C.S. MOQUEGUA FV</t>
  </si>
  <si>
    <t>C.S. MAJES</t>
  </si>
  <si>
    <t>C.S. RUBI</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</si>
  <si>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</si>
  <si>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</si>
  <si>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</si>
  <si>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</si>
  <si>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</si>
  <si>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</si>
  <si>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</si>
  <si>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</si>
  <si>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</si>
  <si>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</si>
  <si>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</si>
  <si>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</si>
  <si>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</si>
  <si>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</si>
  <si>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</si>
  <si>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</si>
  <si>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</si>
  <si>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</si>
  <si>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</si>
  <si>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</si>
  <si>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</si>
  <si>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</si>
  <si>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HIDROMARAÑON</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</si>
  <si>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</si>
  <si>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</si>
  <si>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</si>
  <si>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</si>
  <si>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</si>
  <si>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</si>
  <si>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</si>
  <si>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</si>
  <si>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</si>
  <si>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</si>
  <si>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</si>
  <si>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</si>
  <si>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</si>
  <si>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</si>
  <si>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ECELIM</t>
  </si>
  <si>
    <t>IYEPSA</t>
  </si>
  <si>
    <t>ELECTRICA SANTA ROSA</t>
  </si>
  <si>
    <t>SHOUGESA</t>
  </si>
  <si>
    <t>AGUA AZUL</t>
  </si>
  <si>
    <t>AGROAURORA</t>
  </si>
  <si>
    <t>RIO BAÑOS</t>
  </si>
  <si>
    <t>AYEPSA</t>
  </si>
  <si>
    <t>CERRO DEL AGUILA</t>
  </si>
  <si>
    <t>SDE PIURA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</si>
  <si>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</si>
  <si>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</si>
  <si>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</si>
  <si>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</si>
  <si>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</si>
  <si>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</si>
  <si>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</si>
  <si>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</si>
  <si>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</si>
  <si>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</si>
  <si>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</si>
  <si>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</si>
  <si>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</si>
  <si>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</si>
  <si>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</si>
  <si>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</si>
  <si>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</si>
  <si>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</si>
  <si>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(ORAZUL)</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</si>
  <si>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</si>
  <si>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</si>
  <si>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</si>
  <si>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</si>
  <si>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</si>
  <si>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</si>
  <si>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</si>
  <si>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</si>
  <si>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</si>
  <si>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</si>
  <si>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</si>
  <si>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</si>
  <si>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</si>
  <si>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</si>
  <si>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</si>
  <si>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</si>
  <si>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</si>
  <si>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</si>
  <si>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</si>
  <si>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</si>
  <si>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</si>
  <si>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</si>
  <si>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</si>
  <si>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</si>
  <si>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</si>
  <si>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</si>
  <si>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</si>
  <si>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</si>
  <si>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</si>
  <si>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</si>
  <si>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</si>
  <si>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</si>
  <si>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</si>
  <si>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</si>
  <si>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</si>
  <si>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</si>
  <si>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</si>
  <si>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</si>
  <si>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</si>
  <si>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</si>
  <si>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</si>
  <si>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</si>
  <si>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</si>
  <si>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</si>
  <si>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</si>
  <si>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</si>
  <si>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</si>
  <si>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</si>
  <si>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</si>
  <si>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</si>
  <si>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</si>
  <si>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</si>
  <si>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L-2051 L-2052
 L-5036</t>
  </si>
  <si>
    <t>CENTRO</t>
  </si>
  <si>
    <t>L-2018</t>
  </si>
  <si>
    <t>TOTAL HORAS DE CONGESTIÓN EN EL SEIN</t>
  </si>
  <si>
    <t>7. EVENTOS Y FALLAS QUE OCASIONARON INTERRUPCIÓN Y DISMINUCIÓN DE SUMINISTRO ELÉCTRICO</t>
  </si>
  <si>
    <t>7.1. FALLAS POR TIPO DE EQUIPO Y CAUSA SEGÚN CLASIFICACION CIER</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</si>
  <si>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</si>
  <si>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</si>
  <si>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</si>
  <si>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</si>
  <si>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</si>
  <si>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</si>
  <si>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</si>
  <si>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</si>
  <si>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</si>
  <si>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</si>
  <si>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</si>
  <si>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</si>
  <si>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</si>
  <si>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</si>
  <si>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</si>
  <si>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</si>
  <si>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</si>
  <si>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</si>
  <si>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SUBESTACION</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</si>
  <si>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</si>
  <si>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</si>
  <si>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</si>
  <si>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</si>
  <si>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</si>
  <si>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</si>
  <si>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</si>
  <si>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</si>
  <si>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</si>
  <si>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</si>
  <si>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</si>
  <si>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r>
      <t>Potencia Efectiva</t>
    </r>
    <r>
      <rPr>
        <b/>
        <vertAlign val="superscript"/>
        <sz val="8"/>
        <color theme="0"/>
        <rFont val="Arial"/>
        <family val="2"/>
      </rPr>
      <t>(1)</t>
    </r>
    <r>
      <rPr>
        <b/>
        <sz val="8"/>
        <color theme="0"/>
        <rFont val="Arial"/>
        <family val="2"/>
      </rPr>
      <t xml:space="preserve">  (MW) </t>
    </r>
  </si>
  <si>
    <t>2.1.  INGRESO EN OPERACIÓN COMERCIAL AL SEIN</t>
  </si>
  <si>
    <t>ENEL GREEN PERU</t>
  </si>
  <si>
    <t>solar</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</si>
  <si>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</si>
  <si>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</si>
  <si>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</si>
  <si>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</si>
  <si>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</si>
  <si>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</si>
  <si>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</si>
  <si>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</si>
  <si>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</si>
  <si>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</si>
  <si>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</si>
  <si>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</si>
  <si>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</si>
  <si>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</si>
  <si>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</si>
  <si>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</si>
  <si>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</si>
  <si>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</si>
  <si>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</si>
  <si>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</si>
  <si>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</si>
  <si>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</si>
  <si>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</si>
  <si>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</si>
  <si>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</si>
  <si>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</si>
  <si>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</si>
  <si>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</si>
  <si>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</si>
  <si>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</si>
  <si>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</si>
  <si>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</si>
  <si>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</si>
  <si>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</si>
  <si>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</si>
  <si>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</si>
  <si>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</si>
  <si>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KALLPA</t>
  </si>
  <si>
    <t>ORAZUL ENERGY PERÚ</t>
  </si>
  <si>
    <t>P.E. MARCONA</t>
  </si>
  <si>
    <t>PETRAMAS</t>
  </si>
  <si>
    <t>PLANTA  ETEN</t>
  </si>
  <si>
    <t>SAMAY I</t>
  </si>
  <si>
    <t>SANTA CRUZ</t>
  </si>
  <si>
    <t>Empresa Integrante  (GWh)</t>
  </si>
  <si>
    <t>Variación 2018/2017 (GWh)</t>
  </si>
  <si>
    <t>4. MÁXIMA POTENCIA COINCIDENTE A NIVEL DE GENERACIÓN EN EL SEIN (MW)</t>
  </si>
  <si>
    <t>Total Máxima Potencia</t>
  </si>
  <si>
    <t>Máxima Potencia Anual</t>
  </si>
  <si>
    <t>Últimos 3 meses</t>
  </si>
  <si>
    <t>EMPRESA</t>
  </si>
  <si>
    <t>Variación 2018/2017 (MW)</t>
  </si>
  <si>
    <t>4.2. PARTICIPACIÓN DE LAS EMPRESAS INTEGRANTES EN LA MÁXIMA POTENCIA COINCIDENTE (MW)</t>
  </si>
  <si>
    <t>5. HIDROLOGÍA PARA LA OPERACIÓN DEL SEIN</t>
  </si>
  <si>
    <t>5.1. VOLÚMEN UTIL DE LOS EMBALSES Y LAGUNAS (Millones de m3)</t>
  </si>
  <si>
    <t>Gráfico N°15: Evolución del promedio semanal de caudales de los ríos SANTA, CHANCAY y PATIVILCA en los años 2015 - 2018.</t>
  </si>
  <si>
    <t>Gráfico N°16: Evolución del promedio semanal de caudales de los ríos RÍMAC y SANTA EULALIA en los años 2015 - 2018.</t>
  </si>
  <si>
    <t>Gráfico N°17: Evolución del promedio semanal de caudales de los ríos MANTARO, TULUMAYO y TARMA  en los años 2015 - 2018.</t>
  </si>
  <si>
    <t>Gráfico N°18: Evolución del promedio semanal de caudales de las cuencas CHILI, ARICOTA, VILCANOTA Y SAN GABÁN en los años 2015 - 2018.</t>
  </si>
  <si>
    <t>Lagunas Rahucolta (ORAZUL)</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</si>
  <si>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</si>
  <si>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</si>
  <si>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</si>
  <si>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</si>
  <si>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</si>
  <si>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</si>
  <si>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</si>
  <si>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</si>
  <si>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</si>
  <si>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Gráfico N°13: Evolución semanal del volumen del lago JUNÍN durante los años 2016 - 2018</t>
  </si>
  <si>
    <t>Gráfico N°14: Evolución semanal del volumen de los embalses de EGASA durante los años 2016 - 2018.</t>
  </si>
  <si>
    <t>Gráfico N°12: Evolución semanal del volumen de las lagunas de ENEL durante los años 2016 - 2018</t>
  </si>
  <si>
    <t>SEMANA</t>
  </si>
  <si>
    <t>PATIVILCA</t>
  </si>
  <si>
    <t>SANTA</t>
  </si>
  <si>
    <t>CHANCAY</t>
  </si>
  <si>
    <t>RÍMAC</t>
  </si>
  <si>
    <t>SANTA EULALIA</t>
  </si>
  <si>
    <t>MANTARO</t>
  </si>
  <si>
    <t>TULUMAYO</t>
  </si>
  <si>
    <t>TARMA</t>
  </si>
  <si>
    <t>TURBINADO CHARCANI V</t>
  </si>
  <si>
    <t>INGRESO ARICOTA</t>
  </si>
  <si>
    <t>VILCANOTA</t>
  </si>
  <si>
    <t>SAN GABÁN</t>
  </si>
  <si>
    <t>Gráfico N°23: Porcentaje de participación por tipo de causa en el número de fallas.</t>
  </si>
  <si>
    <t>Gráfico N°24: Comparación en el número de fallas por tipo de equipo.</t>
  </si>
  <si>
    <t>(*)</t>
  </si>
  <si>
    <t>(*) Valor no reportado por Orazul</t>
  </si>
  <si>
    <t>Enlace Centro - Sur</t>
  </si>
  <si>
    <t>S.E. San Juan  - S.E. Los Industriales 220kV</t>
  </si>
  <si>
    <t>S.E. Pomacocha - S.E. San Suan</t>
  </si>
  <si>
    <t>S.E. Independencia</t>
  </si>
  <si>
    <t>L-2205 L-2206</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</si>
  <si>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</si>
  <si>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</si>
  <si>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</si>
  <si>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</si>
  <si>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</si>
  <si>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</si>
  <si>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</si>
  <si>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</si>
  <si>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</si>
  <si>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</si>
  <si>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</si>
  <si>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</si>
  <si>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</si>
  <si>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</si>
  <si>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</si>
  <si>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</si>
  <si>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</si>
  <si>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</si>
  <si>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</si>
  <si>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</si>
  <si>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</si>
  <si>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</si>
  <si>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</si>
  <si>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</si>
  <si>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</si>
  <si>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</si>
  <si>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</si>
  <si>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</si>
  <si>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</si>
  <si>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</si>
  <si>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</si>
  <si>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</si>
  <si>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</si>
  <si>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</si>
  <si>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</si>
  <si>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</si>
  <si>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</si>
  <si>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</si>
  <si>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</si>
  <si>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</si>
  <si>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</si>
  <si>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</si>
  <si>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</si>
  <si>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</si>
  <si>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</si>
  <si>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</si>
  <si>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</si>
  <si>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</si>
  <si>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</si>
  <si>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</si>
  <si>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</si>
  <si>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</si>
  <si>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</si>
  <si>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</si>
  <si>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</si>
  <si>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</si>
  <si>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</si>
  <si>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</si>
  <si>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</si>
  <si>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</si>
  <si>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</si>
  <si>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</si>
  <si>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</si>
  <si>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</si>
  <si>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</si>
  <si>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</si>
  <si>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</si>
  <si>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</si>
  <si>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</si>
  <si>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</si>
  <si>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</si>
  <si>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</si>
  <si>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</si>
  <si>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</si>
  <si>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</si>
  <si>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</si>
  <si>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HIDROMARAÑON Total</t>
  </si>
  <si>
    <t>HUAURA POWER Total</t>
  </si>
  <si>
    <t>C.T. R.F. PTO MALDONADO</t>
  </si>
  <si>
    <t>C.T. R.F. PUCALLPA</t>
  </si>
  <si>
    <t>IYEPSA Total</t>
  </si>
  <si>
    <t>C.H. CERRO DEL AGUILA</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</si>
  <si>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</si>
  <si>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</si>
  <si>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</si>
  <si>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</si>
  <si>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</si>
  <si>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</si>
  <si>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</si>
  <si>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</si>
  <si>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</si>
  <si>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</si>
  <si>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</si>
  <si>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</si>
  <si>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</si>
  <si>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</si>
  <si>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</si>
  <si>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</si>
  <si>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</si>
  <si>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</si>
  <si>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</si>
  <si>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</si>
  <si>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</si>
  <si>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</si>
  <si>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</si>
  <si>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</si>
  <si>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</si>
  <si>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</si>
  <si>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</si>
  <si>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</si>
  <si>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</si>
  <si>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</si>
  <si>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</si>
  <si>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</si>
  <si>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</si>
  <si>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</si>
  <si>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</si>
  <si>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</si>
  <si>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</si>
  <si>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</si>
  <si>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</si>
  <si>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</si>
  <si>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</si>
  <si>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</si>
  <si>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</si>
  <si>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 xml:space="preserve">TOTAL GENERACIÓN </t>
  </si>
  <si>
    <t>IMPORTACIÓN</t>
  </si>
  <si>
    <t>EXPORTACIÓN</t>
  </si>
  <si>
    <t>(*) Se denomina RER a los Recursos Energéticos Renovables tales como biomasa, eólica, solar, geotérmica, mareomotriz e hidráulicas cuya capacidad instalada no sobrepasa de los 20 MW, según D.L. N° 1002</t>
  </si>
  <si>
    <t>(1)  Ingreso a operación comercial de la C.S. RUBI propiedad de ENEL GREEN POWER PERU S.A. a partir del 30.01.2018</t>
  </si>
  <si>
    <t>Variación</t>
  </si>
  <si>
    <t>%</t>
  </si>
  <si>
    <t>C.H.  PÍAS 1</t>
  </si>
  <si>
    <t>AYEPSA Total</t>
  </si>
  <si>
    <t>CERRO DEL AGUILA Total</t>
  </si>
  <si>
    <t>ECELIM Total</t>
  </si>
  <si>
    <t>C.H. CALLAHUANCA</t>
  </si>
  <si>
    <t>C.T. ILO 1</t>
  </si>
  <si>
    <t>C.H. RUCUY</t>
  </si>
  <si>
    <t>RIO BAÑOS Total</t>
  </si>
  <si>
    <t>C.T. TAPARACHI</t>
  </si>
  <si>
    <t>C.T. TABLAZO</t>
  </si>
  <si>
    <t>SDE PIURA Total</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</si>
  <si>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</si>
  <si>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</si>
  <si>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</si>
  <si>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</si>
  <si>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</si>
  <si>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</si>
  <si>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</si>
  <si>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</si>
  <si>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</si>
  <si>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</si>
  <si>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</si>
  <si>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</si>
  <si>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</si>
  <si>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</si>
  <si>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Máxima Demanda</t>
  </si>
  <si>
    <t>ANEXO III: LISTADO DE EVENTOS Y FALLAS QUE OCASIONARON INTERRUPCIÓN Y DISMINUCIÓN DE SUMINISTRO ELÉCTRICO</t>
  </si>
  <si>
    <t>EQUIPO</t>
  </si>
  <si>
    <t>DESCRIPCIÓN DEL EVENTO</t>
  </si>
  <si>
    <t>INTERRUPCIÓN
(MW)</t>
  </si>
  <si>
    <t>DISMINUCIÓN 
(MW)</t>
  </si>
  <si>
    <t>ETENORTE</t>
  </si>
  <si>
    <t>ELECTRO PUNO</t>
  </si>
  <si>
    <t>L. AZÁNGARO - PUTINA - LINEA L-6024</t>
  </si>
  <si>
    <t>ELECTRO SUR ESTE</t>
  </si>
  <si>
    <t>L. COMBAPATA - SICUANI - LINEA L-6001</t>
  </si>
  <si>
    <t>MINERA ARES</t>
  </si>
  <si>
    <t>L. ARES - ARCATA - LINEA L-6018</t>
  </si>
  <si>
    <t>TRANSMANTARO</t>
  </si>
  <si>
    <t>MINERA ARUNTANI</t>
  </si>
  <si>
    <t>L. PUNO - TUCARI - LINEA L-6007</t>
  </si>
  <si>
    <t>HIDRANDINA</t>
  </si>
  <si>
    <t>L. HUARAZ - TICAPAMPA - LINEA L-6681</t>
  </si>
  <si>
    <t>CONENHUA</t>
  </si>
  <si>
    <t>L. AZÁNGARO - ANTAUTA - LINEA L-6021</t>
  </si>
  <si>
    <t xml:space="preserve">SEAL                                              </t>
  </si>
  <si>
    <t>ISA PERU</t>
  </si>
  <si>
    <t>L. VIZCARRA - PARAGSHA 2 - LINEA L-2254</t>
  </si>
  <si>
    <t>CONCESIONARIA LINEA DE TRANSMISION CCNCM S.A.C.</t>
  </si>
  <si>
    <t>L. CACLIC - BELAUNDE TERRY - LINEA L-2194</t>
  </si>
  <si>
    <t>L. MOROCOCHA - CARLOS FRANCISCO - LINEA L-6533</t>
  </si>
  <si>
    <t>ELECTRO NOR OESTE</t>
  </si>
  <si>
    <t>L. MOROCOCHA - CARLOS FRANCISCO - LINEA L-6532</t>
  </si>
  <si>
    <t>L. SAN GABÁN II - MAZUCO - LINEA L-1014</t>
  </si>
  <si>
    <t>RED DE ENERGIA DEL PERU</t>
  </si>
  <si>
    <t>L. CAJAMARCA NORTE - CACLIC - LINEA L-2192</t>
  </si>
  <si>
    <t>2. MODIFICACION DE LA OFERTA DE GENERACIÓN ELÉCTRICA DEL SEIN EN EL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</si>
  <si>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</si>
  <si>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</si>
  <si>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</si>
  <si>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</si>
  <si>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</si>
  <si>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</si>
  <si>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</si>
  <si>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</si>
  <si>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</si>
  <si>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</si>
  <si>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</si>
  <si>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</si>
  <si>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</si>
  <si>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</si>
  <si>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</si>
  <si>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</si>
  <si>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</si>
  <si>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</si>
  <si>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</si>
  <si>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</si>
  <si>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</si>
  <si>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</si>
  <si>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</si>
  <si>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</si>
  <si>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</si>
  <si>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</si>
  <si>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</si>
  <si>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</si>
  <si>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</si>
  <si>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</si>
  <si>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</si>
  <si>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</si>
  <si>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</si>
  <si>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</si>
  <si>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</si>
  <si>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</si>
  <si>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</si>
  <si>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febrero</t>
  </si>
  <si>
    <t>Var. (2018/2017)</t>
  </si>
  <si>
    <t>1.1. Producción de energía eléctrica en febrero 2018 en comparación al mismo mes del año anterior</t>
  </si>
  <si>
    <t>Desconectó la línea L-1014 (San Gabán II - Mazuco) de 138 kV, por falla monofasica a tierra en la fase “R”. De acuerdo con lo informado por ELECTRO SUR ESTE, titular de la línea la falla se produjo por descargas atmosféricas en la zona. El sistema de protección señalizo la activación de la función de distancia (21). El sistema de protección ubicó la falla a una distancia de 12,40 km de la S.E. Mazuco. Como consecuencia se interrumpió el suministro de las subestaciones Mazuco y Puerto Maldonado con un total de 8,91 MW. A las 01:31 h, se conectó la línea y se inició la normalización del suministro interrumpido.</t>
  </si>
  <si>
    <t>L. GUADALUPE - CHEPÉN - LINEA L-6645</t>
  </si>
  <si>
    <t>Desconectó la línea L-6645 (Guadalupe - Chepén) de 60 kV, por falla monofásica a tierra en la fase “R”, cuya causa no fue informada por HIDRANDINA, titular de la línea. El sistema de protección señalizó la activación de la función de sobre corriente a tierra (51N). Como consecuencia se interrumpió el suministro de la S.E. Chepén con un total de 8,01 MW y el usuario libre Cementos Pacasmayo redujo su carga en 1,56 MW. A las 14:55 h, se conectó la línea y se inició la normalización del suministro interrumpido.</t>
  </si>
  <si>
    <t>MINERA CERRO VERDE</t>
  </si>
  <si>
    <t>L. REQUE - RECKA - LINEA L-2167</t>
  </si>
  <si>
    <t>Desconectó la celda de la línea L-2167 (Reque - Recka) de 220 kV en la S.E. Recka, cuya causa no fue informada por MINERA CERRO VERDE, titular del equipo. Como consecuencia el usuario libre Cementos Pacasmayo redujo carga de 16,27 MW a 10,68 MW. A las 15:40 h, el CCO-COES coordinó con el CC-CNP recuperar el total de sus suministros reducidos. El interruptor de la S.E. Recka quedó fuera de servicio para su inspección.</t>
  </si>
  <si>
    <t>Desconectó la línea L-6681 (Huaraz - Ticapampa) de 66 kV, por falla bifásica a tierra en las fases “R” y “S”. De acuerdo con lo informado por HIDRANDINA, titular de la línea, la falla se produjo por descargas atmosféricas. El sistema de protección señalizó la activación de la función de sobre corriente a tierra (51N). Como consecuencia se interrumpió el suministro de la S.E. Ticapampa con un total de 3,89 MW, asimismo desconectó la C.H. Pariac cuando generaba 2,52 MW. A las 16:05 h, se conectó la línea y se inició la normalización del suministro interrumpido. A las 18:05 h, sincronizo la C.H. Pariac con el SEIN.</t>
  </si>
  <si>
    <t>L. TALARA - ZORRITOS - LINEA L-2249</t>
  </si>
  <si>
    <t>Se produjo el recierre no exitoso de la línea L-2249 (Talara – Zorritos) de 220 kV en la fase “R”, por falla. De acuerdo con lo informado por REP, titular de la línea, la falla se produjo por quemadura del poste de la estructura P332 a una distancia de 2,00 km de la S.E. Zorritos. El sistema de protección señalizó la activación de la función de distancia (21). Como consecuencia se interrumpió el suministro de la S.E. Zorritos con un total de 40,37 MW. A las 20:28 h, se energizo la barra de 220 kV de la S.E. Zorritos desde el sistema eléctrico ecuatoriano y se recupera parcialmente la carga. A las 21:25 h, se arrancó la unidad MAK 1 de la C.T. Tumbes y se recupero la carga total de la S.E. Zorritos. A las 17:45 h del 03.02.2018, se conectó la línea L-2249 y se transfirió la carga de la S.E. Zorritos al SEIN.</t>
  </si>
  <si>
    <t>Desconectó la línea L-6024 (Azángaro – Putina) de 60 kV, por falla. De acuerdo con lo informado con ELECTROPUNO, titular de la línea, la falla se produjo por fuertes vientos en la zona de Putina. El sistema de protección señalizó la activación de la función de sobre corriente de fases (51). Como consecuencia se interrumpió el suministro de las subestaciones Ananea y Huancané con un total de 9,50 MW. A las 09:46 h, se conectó la línea y se inició la normalización del suministro interrumpido.</t>
  </si>
  <si>
    <t>Desconectó la línea L-6021 (Azángaro - Antauta) de 60 kV, por falla. De acuerdo con lo informado por ELETROPUNO, titular de la línea, la falla se produjo por descargas atmosféricas. El sistema de protección señalizó la activación de la función de sobre corriente de fase a tierra (51N). Como consecuencia se interrumpió el suministro de la S.E. Antauta con un total de 0,84 MW. A las 13:45 h, se conectó la línea y se inició la normalización del suministro interrumpido.</t>
  </si>
  <si>
    <t>Desconectó la línea L-2192 (Cajamarca Norte - Caclic) de 220 kV, por falla bifásica entre las fases “R” y “S”. De acuerdo a lo informado por CONCESIONARIA LÍNEA DE TRANSMISIÓN CCNCM, titular de la línea, la falla se produjo por acercamiento de arboles a la línea entre las estructuras E49 a E50. El sistema de protección señalizó la activación de la función diferencial de línea (87). También, desconectó el reactor RB-3201 y RB-4201 de la S.E. Caclic y Belaunde Terry, respectivamente, por su protección de mínima tensión (21). Asimismo, desconectó las líneas L-1016 (Tocache – Juanjui) de 138 kV, por su protección de mínima tensión. Como consecuencia se interrumpió el suministro de las subestaciones Juanjui, Bellavista, Tarapoto, Pongo del Caynarachi, Yurimaguas, Moyobamba, Rioja, Cementos Selva, Nueva Cajamarca y Gera con un total de 54,48 MW. Los usuarios libres Minera Yanacocha y Minera Gold Fields redujeron su carga en 17,96 MW y 13,30 MW, respectivamente. A las 14:35 h, el CCO-COES coordinó con el CC-YAN y CC-MGF recuperar su carga reducida. A las 14:46 h, se conectó la línea L-1016 y se inicio la normalización del suministro interrumpido. A las 14:48 h, se conectó la línea L-2192 y el reactor RB-3201. A las 15:18 h, se conectó la línea L-2194 y el reactor RB-4201. A las 15:19 h, se cerro el anillo Belaunde Terry – Moyobamba – Tarapoto.</t>
  </si>
  <si>
    <t>Desconectó la línea L-6024 (Azángaro – Putina) de 60 kV, por falla. De acuerdo con lo informado con ELECTROPUNO, titular de la línea, la falla se produjo por descargas atmosféricas. El sistema de protección señalizó la activación de la función de sobre corriente de fase a tierra (51N). Como consecuencia se interrumpió el suministro de las subestaciones Ananea y Huancané con un total de 8,38 MW. A las 16:43 h, se conectó la línea y se inició la normalización del suministro interrumpido.</t>
  </si>
  <si>
    <t>L. TINTAYA - AYAVIRI - LINEA L-1006</t>
  </si>
  <si>
    <t>Desconectó la línea L-1006 (Tintaya - Ayaviri) de 138 kV, por falla monofásica a tierra en la fase “S”. De acuerdo a lo informado por REP, titular de la línea, la falla se produjo por des cargas atmosféricas. El sistema de protección señalizo la activación de la función de sobre corriente direccional a tierra por comparación direccional (67N-CD). Asimismo, desconectó la línea L-1042 (Azángaro – Ayaviri) de 138 kV, en el lado de la S.E. Azángaro, por actuación de su protección de distancia (21). Como consecuencia se interrumpió el suministro de la S.E. Ayaviri con un total de 3,70 MW. A las 05:32 h, se conectó la línea L-1006 y se inició la normalización del suministro interrumpido. A las 06:16 h, se conectó la línea L-1042.</t>
  </si>
  <si>
    <t>L. ARES - HUANCARAMA - LINEA L-6017</t>
  </si>
  <si>
    <t>Desconectó la línea L-6017 (Ares – Huancarama) de 66 kV, por falla monofásica a tierra en la fase “S”. De acuerdo con lo informado por CONENHUA, titular de la línea, la falla se produjo por descargas atmosféricas. El sistema de protección señalizó la activación de la función de distancia (21). El sistema de protección detecto la falla a una distancia de 11,68 km de la S.E. Ares. Como consecuencia se interrumpió el suministro de las subestaciones Huancarama y Chipmo con un total de 17,74 MW y desconectó la C.H. Huancarama con 2,06 MW. A las 13:56 h, se conectó la línea y se inició la normalización del suministro interrumpido.</t>
  </si>
  <si>
    <t>Desconectó la línea L-6001 (Combapata – Sicuani) de 60 kV, por falla. De acuerdo con lo informado por ELECTRO SUR ESTE, titular de la línea, la falla se produjo por descargas atmosféricas. El sistema de protección señalizó la activación de la función de sobre corriente a tierra (51N). Producto de la desconexión de la línea, las CC.HH. Hercca y Langui quedaron operando en sistema aislado con la carga de Sicuani. A las 15:05 h, colapsó el sistema aislado interrumpiendo un total de 1,76 MW. A las 15:06 h, se conectó la línea y se inició la normalización del suministro interrumpido.</t>
  </si>
  <si>
    <t>Desconectó la línea L-6018 (Ares – Arcata) de 66 kV, por falla. De acuerdo con lo informado por MINERA ARES, titular de la línea, la falla se produjo por descargas atmosféricas. El sistema de protección señalizó la activación de la función de sobre corriente de fase a tierra (50N/51N). Como consecuencia se interrumpió el suministro del usuario libre Minera Ares con un total de 5,48 MW. Asimismo, desconectó la C.H. Misapuquio cuando generaba 3,80 MW. A las 15:09 h, se conectó la línea y se inició la normalización del suministro interrumpido. A las 15:45 h, sincronizo la C.H. Misapuquio con el SEIN.</t>
  </si>
  <si>
    <t>Desconectó la línea L-6017 (Ares – Huancarama) de 66 kV, por falla monofásica a tierra en la fase “T”. De acuerdo con lo informado por CONENHUA, titular de la línea, la falla se produjo por descargas atmosféricas. El sistema de protección señalizó la activación de la función de distancia (21). El sistema de protección detecto la falla a una distancia de 8,54 km de la S.E. Ares. Como consecuencia se interrumpió el suministro de las subestaciones Huancarama y Chipmo con un total de 16,57 MW y desconectó la C.H. Huancarama con 1,80 MW. A las 15:13 h, se conectó la línea y se inició la normalización del suministro interrumpido.</t>
  </si>
  <si>
    <t>Desconectó la línea L-6017 (Ares – Huancarama) de 66 kV, por falla monofásica a tierra en la fase “T”. De acuerdo con lo informado por CONENHUA, titular de la línea, la falla se produjo por descargas atmosféricas. El sistema de protección señalizó la activación de la función de distancia (21). El sistema de protección detecto la falla a una distancia de 11,68 km de la S.E. Ares. Como consecuencia se interrumpió el suministro de las subestaciones Huancarama y Chipmo con un total de 11,00 MW y desconectó la C.H. Huancarama con 1,77 MW. A las 19:05 h, se conectó la línea y se inició la normalización del suministro interrumpido.</t>
  </si>
  <si>
    <t>Desconectó la línea L-6007 (Puno - Tucari) de 60 kV, por falla monofásica a tierra en la fase “T”. De acuerdo con lo informado por MINERA ARUNTANI, titular de la línea, la falla se produjo por descargas atmosféricas. El sistema de protección señalizó la activación de la función de distancia (21) y ubicó la falla a una distancia de 59,60 km de la S.E. Puno. Como consecuencia se interrumpió el suministro del usuario libre Minera Aruntani con un total de 4,46 MW. A las 16:11 h, se conectó la línea y se inició la normalización del suministro interrumpido.</t>
  </si>
  <si>
    <t>S.E. POMACOCHA - CELDA CL2201</t>
  </si>
  <si>
    <t>Desconectaron simultáneamente las celdas de las líneas L-2201 y L-2202 (Campo Armiño – Pomacocha) de 220 kV en la S.E. Pomacocha, cuya causa no fue informada por REP, titular de los equipos. El sistema de protección señalizó la activación de la función de distancia (21). Como consecuencia los usuarios libres Minera las Bambas y Minera Chinalco redujeron su carga en 98,28 MW y 20,00 MW. A las 19:18 h, el CCO-COES coordinó con el CC-BAM y CC-CHN recuperar el total de sus suministros reducidos. A las 19:24 h y 19:26 h, se conectaron las líneas L-2201 y L-2202, respectivamente.</t>
  </si>
  <si>
    <t>Desconectó la línea L-6024 (Azángaro – Putina) de 60 kV, por falla. De acuerdo con lo informado con ELECTROPUNO, titular de la línea, la falla se produjo por descargas atmosféricas. El sistema de protección señalizó la activación de la función de sobre corriente de fase a tierra (51N). Como consecuencia se interrumpió el suministro de las subestaciones Ananea y Huancané con un total de 10,23 MW. A las 20:19 h, se conectó la línea y se inició la normalización del suministro interrumpido.</t>
  </si>
  <si>
    <t>Desconectó la línea L-6024 (Azángaro – Putina) de 60 kV, por falla. De acuerdo con lo informado con ELECTROPUNO, titular de la línea, la falla se produjo por descargas atmosféricas. El sistema de protección señalizó la activación de la función de sobre corriente de fases (51). Como consecuencia se interrumpió el suministro de las subestaciones Ananea y Huancané con un total de 7,37 MW. A las 21:55 h, se conectó la línea y se inició la normalización del suministro interrumpido.</t>
  </si>
  <si>
    <t>Desconectaron las líneas L-6532 y 6533 (Morococha – Carlos Francisco) de 50 kV, por falla bifásica a tierra en las fases “R” y “T”. De acuerdo con lo informado por STATKRAFT, titular de las líneas, la falla se produjo por descargas atmosféricas. El sistema de protección señalizó la activación de función de distancia (21). Como consecuencia se interrumpió el suministro de las subestaciones Casapalca Norte, Carlos Francisco, Ticlio, Antuquito, Rosaura, Bellavista y San Mateo con un total de 24,27 MW. Asimismo, desconectó la C.H. Huanchor cuando generaba 19,37 MW. A las 13:11 h, se conectaron las líneas y se inició la normalización del suministro interrumpido. A las 13:35 h, sincronizó la C.H. Huanchor con el SEIN.</t>
  </si>
  <si>
    <t>ELECTRO CENTRO</t>
  </si>
  <si>
    <t>L. PARQUE INDUSTRIAL - CONCEPCIÓN - LINEA L-6078</t>
  </si>
  <si>
    <t>Desconectó la línea L-6078 (Parque Industrial – Concepción) de 60 kV, por falla bifásica a tierra entre las fases “R” y “S”. De acuerdo con lo informado por ELECTROCENTRO, titular de la línea, la falla se produjo por descargas atmosféricas. El sistema de protección señalizó la activación de la función de distancia (21) y ubicó la falla a una distancia de 8,80 km de la S.E. Parque Industrial. Como consecuencia se interrumpió el suministro de las subestaciones Concepción, Xauxa e Ingenio con un total de 3,79 MW. Asimismo, desconectaron las CC.HH. Runatullo II y III cuando generaban 17,05 MW y 20,23 MW.  A las 15:38 h, se conectó la línea y se inició la normalización del suministro interrumpido. A las 16:16 h y 16:59 h, sincronizaron las centrales Runatullo II y Runatullo III, respectivamente.</t>
  </si>
  <si>
    <t>L. PUNO - BELLAVISTA - LINEA L-6028</t>
  </si>
  <si>
    <t>Desconectó la línea L-6028 (Puno - Bellavista) de 60 kV, por falla. De acuerdo a lo informado por ELECTRO PUNO, titular de la línea, la falla se produjo en un circuito de 10 kV. El sistema de protección señalizo la activación de la función de sobre corriente (51). Como consecuencia se interrumpió el suministro de la S.E. Bellavista con una carga de 3,52 MW. A las 05:10 h, se conectó la línea y se inicio la normalización del suministro interrumpido.</t>
  </si>
  <si>
    <t>L. COLCABAMBA - POROMA - LINEA L-5031</t>
  </si>
  <si>
    <t>Se produjo el recierre no exitoso de la línea L-5031 (Colcabamba - Poroma) de 500 kV en la S.E. Colcabamba, por falla en la fase “T”. De acuerdo a lo informado por Transmantaro, titular de la línea, la falla se produjo por descargas atmosféricas, cabe relsatar que el recierre no fue exitoso debido a que en el lado de la S.E. Colcabamba no se produjo el ciclo de recierre, cuya causa no ha sido informado por Transmantaro, la línea quedo energizada desde la S.E. Poroma. El sistema de protección señalizo la activación de la función diferencial (87). No se produjo interrupción de suministros en el SEIN. El usuario libre Minera Cerro Verde redujo su carga en 28 MW, aproximadamente. A las 15:24 h, el CCO-COES coordinó con el CC-MCV recuperar su carga reducida. A las 15:57 h, se conectó la línea.</t>
  </si>
  <si>
    <t>Se produjo el recierre exitoso en la línea L-2254 (Vizcarra - Paragsha 2) de 220 kV en la fase “T”, por falla. De acuerdo a lo informado por ISA, titular de la línea, la falla se produjo por descargas atmosféricas. El sistema de protección señalizo la activación de la función de distancia (21). No se produjo interrupción de suministros en el SEIN. El usuario libre Minera Antamina redujo su en 50,24 MW. A las 17:48 h, el CCO-COES coordinó con el CC-CMA recuperar su carga reducida.</t>
  </si>
  <si>
    <t>Desconectó la línea L-6024 (Azángaro – Putina) de 60 kV, por falla. De acuerdo con lo informado con ELECTROPUNO, titular de la línea, la falla se produjo por descargas atmosféricas. El sistema de protección señalizó la activación de la función de sobre corriente de fases (51). Como consecuencia se interrumpió el suministro de las subestaciones Ananea y Huancané con un total de 6,44 MW. A las 21:14 h, se conectó la línea y se inició la normalización del suministro interrumpido.</t>
  </si>
  <si>
    <t>Desconectó la línea L-6024 (Azángaro – Putina) de 60 kV, por falla. De acuerdo con lo informado con ELECTROPUNO, titular de la línea, la falla se produjo por descargas atmosféricas. El sistema de protección señalizó la activación de la función de sobre corriente de fases (51). Como consecuencia se interrumpió el suministro de las subestaciones Ananea y Huancané con un total de 3,47 MW. A las 12:32 h, se conectó la línea y se inició la normalización del suministro interrumpido.</t>
  </si>
  <si>
    <t>Desconectó la línea L-6017 (Ares – Huancarama) de 66 kV, por falla trifásica. De acuerdo con lo informado por CONENHUA, titular de la línea, la falla se produjo por descargas atmosféricas. El sistema de protección señalizó la activación de la función de distancia (21) y ubicó la falla a una distancia de 4,58 km de la S.E. Ares. Como consecuencia se interrumpió el suministro de las subestaciones Huancarama y Chipmo con un total de 16,16 MW, asimismo, desconectó la C.H. Huancarama con 2,00 MW. A las 16:11 h, se conectó la línea y se inició la normalización del suministro interrumpido.</t>
  </si>
  <si>
    <t>Desconectó la línea L-6018 (Ares – Arcata) de 66 kV. De acuerdo con lo informado por MINERA ARES, la falla se produjo por sobretensión debido a la desconexión de la línea L-6017 (Ares – Huancarama) de 66 kV. El sistema de protección señalizó la activación de la función de sobretensión (59). Como consecuencia desconectó la C.H. Misapuquio cuando generaba 3,80 MW y se interrumpió el suministro de la S.E. Arcata con un total de 4,49 MW. A las 16:12 h, se conectó la línea y se inició la normalización del suministro interrumpido. A las 16:49 h y 17:08 h, se conectaron los grupos G2 y G1, respectivamente.</t>
  </si>
  <si>
    <t>L. HUANCAVELICA - INGENIO - LINEA L-6643</t>
  </si>
  <si>
    <t>Desconectó la línea L-6643 (Huancavelica – Ingenio) de 60 kV, cuya causa no fue informada por CONENHUA, titular de la línea. El sistema de protección señalizó la activación de la función de distancia (21) y ubicó la falla a una distancia de 4,30 km de la S.E. Huancavelica. Como consecuencia se interrumpió el suministro de la S.E. Ingenio con un total de 7,22 MW aproximadamente. A las 19:00 h, se conectó la línea y se inició la normalización del suministro interrumpido.</t>
  </si>
  <si>
    <t>Desconectó la línea L-6017 (Ares – Huancarama) de 66 kV, por falla bifásica en las fases “R” y “T”. De acuerdo con lo informado por CONENHUA, titular de la línea, la falla se produjo por descargas atmosféricas. El sistema de protección señalizo la activación de la función de distancia (21). El sistema de protección detecto la falla a una distancia de 12,90 km de la S.E. Ares. Como consecuencia se interrumpió el suministro de las subestaciones Huancarama y Chipmo con un total de 14,75 MW, asimismo, desconectó la C.H. Huancarama con 2.11 MW. A las 15:47 h, se conectó la línea y se inició a normalizar el suministro interrumpido.</t>
  </si>
  <si>
    <t>YURA</t>
  </si>
  <si>
    <t>L. SANTUARIO - YURA - LINEA L-1041</t>
  </si>
  <si>
    <t>Desconectó la línea L-1041 (Santuario – Yura) de 138 kV, por actuación inadecuada de su protección, al presentarse falla en la línea L-1021 (Santuario – Socabaya) de 138 kV. El sistema de protección señalizo la activación de la función de fuente débil. Como consecuencia se interrumpió el suministro del usuario libre YURA con 29,50 MW. A las 15:24 h, se conecto la línea y se inicio la normalización del suministro interrumpido.</t>
  </si>
  <si>
    <t>L. SANTUARIO - SOCABAYA - LINEA L-1021</t>
  </si>
  <si>
    <t>Desconectó la línea L-1022 (Santuario – Jesús) de 138 kV, por falla bifásica en las fases “R” y “T”. De acuerdo a lo informado por REP, titular de la línea, la falla se produjo por descargas atmosféricas. El sistema de protección señalizo la activación de la función de diferencial (87). El sistema de protección detecto la falla a una distancia de 18,00 km de la S.E. Jesus. Simultáneamente, se produjo el recierre exitoso de la línea L-1021 (Santuario – Socabaya) de 138 kV, en el lado de la S.E. Santuario, por falla en la fase “T”, en el lado de la S.E. Socabaya se produjo el disparo trifásico. También, se produjo la desconexión de la línea L-1041 (Santuario – Yura) de 138 kV, cuya causa no ha sido informada por la empresa YURA, titular de la línea. El usuario libre Minera Cerro Verde redujo su carga en 18,60 MW. A las 15:10 h, el CCO-COES coordinó con el CC-MCV recuperar su suministro reducido. A las 15:10 h y 18:01 h, se conectó la línea L-1021 y L-1022, respectivamente.</t>
  </si>
  <si>
    <t>EMPRESA  DE  GENERACION  ELECTRICA  SANTA  ANA</t>
  </si>
  <si>
    <t>L. Derv. PUNTAYACU - LA VIRGEN - LINEA L-6089</t>
  </si>
  <si>
    <t>Desconectó la línea L-6087/6089 (La Virgen - Derv. Puntayacu - Chanchamayo) de 60 kV, por falla monofásica a tierra en la fase “T”, cuya causa no fue informada por EMPRESA DE GENERACIÓN ELÉCTRICA SANTA ANA, titular de la línea. El sistema de protección señalizo la activación de la función diferencial (87). Como consecuencia se interrumpió el suministro de la S.E. Chanchamayo con un total de 4,29 MW y desconectó la C.H. Chanchamayo con 0.22 MW. A las 16:19 h, se conectó la línea y se inició la normalización del suministro interrumpido.</t>
  </si>
  <si>
    <t>Desconectó la línea L-6087/6089 (La Virgen - Derv. Puntayacu - Chanchamayo) de 60 kV, por falla monofásica a tierra en la fase “T”, cuya causa no fue informada por EMPRESA DE GENERACIÓN ELÉCTRICA SANTA ANA, titular de la línea. El sistema de protección señalizo la activación de la función diferencial (87). Como consecuencia se interrumpió el suministro de la S.E. Chanchamayo con un total de 4,05 MW, aproximadamente. A las 23:30 h, se conectó la línea y se inició la normalización del suministro interrumpido.</t>
  </si>
  <si>
    <t>Desconectó la línea L-6087/6089 (La Virgen - Derv. Puntayacu - Chanchamayo) de 60 kV, por falla monofásica a tierra en la fase “T”, cuya causa no fue informada por EMPRESA DE GENERACIÓN ELÉCTRICA SANTA ANA, titular de la línea. El sistema de protección señalizo la activación de la función diferencial (87). Como consecuencia se interrumpió el suministro de la S.E. Chanchamayo con un total de 4,05 MW, aproximadamente. A las 23:41 h, se conectó la línea y se inició la normalización del suministro interrumpido.</t>
  </si>
  <si>
    <t>Desconectó la línea L-6087/6089 (La Virgen - Derv. Puntayacu - Chanchamayo) de 60 kV, por falla monofásica a tierra en la fase “S”, cuya causa no fue informada por EMPRESA DE GENERACIÓN ELÉCTRICA SANTA ANA, titular de la línea. El sistema de protección señalizo la activación de la función de distancia (21). Como consecuencia se interrumpió el suministro de la S.E. Chanchamayo con un total de 1,70 MW, aproximadamente. A las 10:17 h, se conectó la línea y se inició la normalización del suministro interrumpido.</t>
  </si>
  <si>
    <t>S.E. JESUS - TRAFO T5-103</t>
  </si>
  <si>
    <t>Desconectó el transformador T5-103 de 138/33 kV de la S.E. Jesús, por falso disparo de sus protecciones mecánicas, de acuerdo a lo informado por SEAL, titular del equipo. Como consecuencia se interrumpió el suministro de la S.E. Jesús con un total de 19,99 MW. A las 17:08 h, se inicio la normalización del suministro interrumpido a través de las líneas L-3090 y L-3091 (Socabaya – Jesus) de 33 kV. A las 19:28 h, se conectó el transformador T5-103.</t>
  </si>
  <si>
    <t>L. PARAMONGA E. - CAHUA - LINEA L-1033</t>
  </si>
  <si>
    <t>Desconectó la línea L-1033 (Paramonga Existente - Cahua) de 138 kV, por falla monofasica a tierra en la fase “R”, cuya causa no fue informada por STATKRAFT, titular de la línea. Como consecuencia se interrumpio el suministro de la S.E. Cahua con 0.04 MW y desconectó la C.H. Cahua cuando generaba 46,10 MW. A las 12:10 h, se conectó la línea y se recupero el suministro interrumpido. A las 12:27 h, sincronizó la C.H. Cahua con el SEIN.</t>
  </si>
  <si>
    <t>Desconectó la línea L-1033 (Paramonga Existente - Cahua) de 138 kV, por falla monofásica a tierra en la fase “R”, cuya causa no fue informada por STATKRAFT, titular de la línea. Como consecuencia se interrumpió el suministro de la S.E. Cahua con 0.04 MW y desconectó la C.H. Cahua cuando generaba 45,62 MW. A las 17:17 h, se conectó la línea. A las 17:29 h, sincronizó la C.H. Cahua con el SEIN.</t>
  </si>
  <si>
    <t>L. CHIMBOTE 1 - CHIMBOTE 2 - LINEA L-1106</t>
  </si>
  <si>
    <t>Desconectó la línea L-1106 (Chimbote 1 – Chimbote 2) de 138 kV, por falla monofásica a tierra en la fase "T". De acuerdo a lo informado por ETENORTE, titular de la línea, la falla se produjo por perdida de aislamiento por contaminación y humedad. El sistema de protección señalizó la activación de la función de distancia (21) y ubicó la falla a una distancia de 0,60 km de la S.E. Chimbote 2. El usuario libre Sider Perú redujo su carga en 35,50 MW. A las 16:54 h, el CCO-COES coordinó con el CC-SID recuperar el total de su carga reducida. A las 17:06 h, se conectó la línea.</t>
  </si>
  <si>
    <t>L. INGENIO - CAUDALOSA - LINEA L-6644</t>
  </si>
  <si>
    <t>Desconectó la línea L-6644 (Ingenio – Caudalosa) de 60 kV por falla bifásica en las fases “R” y “S”, cuya causa no fue informada por CONENHUA, titular de la línea. El sistema de protección señalizó la activación de la función de distancia (21). Como consecuencia se interrumpió el suministro de la S.E. Caudalosa con un total de 0,64 MW, aproximadamente. A las 14:57 h, se conectó la línea y se inició la normalización del suministro interrumpido.</t>
  </si>
  <si>
    <t xml:space="preserve">Se produjo el recierre no exitoso de la línea L-5031 (Colcabamba – Poroma) de 500 kV, por falla monofásica a tierra en la "T”. De acuerdo con lo informado por TRANSMANTARO, titular de la línea, la falla se produjo por descargas atmosféricas, cabe resaltar que el recierre no fue exitoso debido a que en el lado de la S.E. COLCABAMBA no se produjo el ciclo de recierre, actuando la protección de discordancia de polos. El sistema de protección señalizó la activación de la función diferencial de línea (87). Como consecuencia el usuario libre Minera Cerro Verde redujo su carga en 128,00 MW. A las 18:47 h, el CCO-COES coordinó con el CC-MCV recuperar el total de su carga reducida. A las 21:42 h, se conectó la línea L-5031. </t>
  </si>
  <si>
    <t>L. COBRIZA I - PAMPAS - LINEA L-6066</t>
  </si>
  <si>
    <t>Desconectó la línea L-6066 (Cobriza I – Pampas) de 69 kV, por falla monofásica tierra en la fase “R”. De acuerdo con lo informado por ELECTROCENTRO, titular de la línea, la falla se produjo por descargas atmosféricas. El sistema de protección señalizo la activación de la función de sobre corriente direccional a tierra (67N). Como consecuencia se interrumpió el suministro de la S.E. Pampas con un total de 0,83 MW. A las 21:35 h, se conectó la línea y se inició la normalización del suministro interrumpido.</t>
  </si>
  <si>
    <t>L. MACHUPICCHU - QUENCORO - LINEA L-1002</t>
  </si>
  <si>
    <t>Desconectó la línea L-1002 (Machupicchu - Quencoro) de 138 kV, por falla trifásica. De acuerdo con lo informado por EGEMSA, titular de la línea, la falla se produjo por descargas atmosféricas. El sistema de protección señalizó la activación de la función de distancia (21) y ubicó la falla a una distancia de 2,34 km de la S.E. Machupicchu. No se produjo interrupción de suministros en el SEIN. El usuario libre Industrias Cachimayo redujo su carga en 23,15 MW. A las 21:50 h, se conectó la línea. A las 22:02 h el CC-EGM coordinó con el CC-CAC recuperara su carga reducida.</t>
  </si>
  <si>
    <t>L. PIURA OESTE - SULLANA - LINEA L-6698</t>
  </si>
  <si>
    <t>Desconectaron las líneas L-6698 (Piura Oeste – Sullana) y L-6662B (El Arenal – La Huaca) de 60 kV, por falla monofásica a tierra en la fase “S”. De acuerdo a lo informado por ENOSA, titular de la línea, la falla se produjo por contacto de aves con la línea en la estructura N° 14 en el tramo de la C.H. Curumuy con Nodo Curumuy de titularidad de SINERSA. El sistema de protección señalizó la activación de la función de distancia (21). Asimismo, desconectó la línea L-6662B (EL Arenal – La Huaca) de 60 kV, por su protección de sobre corriente de fases (51). Como consecuencia se interrumpió el suministro de las subestaciones Sullana y Poechos con un total de 40,88 MW. Asimismo, desconectaron las CC.HH. Poechos I, Poechos II y Curumuy, cuando generaban 9,61 MW, 15,80 MW y 8,00 MW, respectivamente. A las 12:52 h, se conectó la línea L-6698 y se inició la normalización del suministro interrumpido. A las 13:01 h, se conectó la línea L-6662B. A las 13:07 h, 13:38 h y 13:49 h, sincronizaron las CC.HH. Poechos I, C.H. Poechos II y C.H. Curumuy con el SEIN, respectivamente.</t>
  </si>
  <si>
    <t>Desconectó la línea L-6021 (Azángaro - Antauta) de 60 kV, por falla monofásica a tierra en la fase “T”. De acuerdo con lo informado por ELECTRO PUNO, titular de la línea, la falla se produjo por descargas atmosféricas. El sistema de protección señalizó la activación de la función de sobre corriente de fase a tierra (51N). Como consecuencia se interrumpió el suministro de la S.E. Antauta con un total de 0,85 MW. A las 15:39 h, se conectó la línea y se inició la normalización del suministro interrumpido.</t>
  </si>
  <si>
    <t>L. TRUJILLO NORTE - CHIMBOTE 1 - LINEA L-2233</t>
  </si>
  <si>
    <t>Se produjo el recierre de la línea celda CL-2233 (Trujillo Norte – Chimbote 1) de 220 kV en la S.E. Chimbote 1, por falso contacto de la fase “T” del circuito de tensión, de acuerdo a lo informado por REP, titular de la celda. Cabe resaltar que el recierre se produjo al momento de la conexión de la línea L-2233 luego de su mantenimiento programado. No se produjo interrupción de suministros en el SEIN. El usuario libre Sider Perú redujo su carga en 2,80 MW. A las 18:26 h, se desconectó manualmente la línea L-2233 para su inspección. A las 20:12 h, se conectó la línea.</t>
  </si>
  <si>
    <t>L. AGUAYTÍA - PUCALLPA - LINEA L-1125</t>
  </si>
  <si>
    <t>Desconectó la línea L-1125 (Aguaytía - Pucallpa) de 138 kV, por falla bifásica a tierra en las fases “R” y “S”. De acuerdo con lo informado por REP, titular de la línea, la falla se produjo por descargas atmosféricas. El sistema de protección señalizó la activación de la función de distancia (21) y ubicó la falla a una distancia de 0,90 km de la S.E. Aguaytía. Como consecuencia se interrumpió el suministro de la S.E. Pucallpa con un total de 32,20 MW. A las 23:26 h, se conectó la línea. A las 23:52 h, se energizó la barra de 60 kV de la S.E. Pucallpa y se inició la normalización del suministro interrumpido.</t>
  </si>
  <si>
    <t>GLORIA</t>
  </si>
  <si>
    <t>S.E. GLORIA - SSEE SS.EE.</t>
  </si>
  <si>
    <t>A las 17:34 h, desconectó la barra “A” de 60 kV de la S.E. Gloria, cuya causa no fue informada por GLORIA, titular del equipo. El sistema de protección señalizó la activación de la función diferencial de barra (87). A las 18:47 h, desconectó la barra “B” de la S.E. Gloria, mientras que se realizaban las maniobras de conexión de la línea L-6434 a la barra “B”. Como consecuencia el usuario libre Gloria redujo su carga en 4,04 MW y quedo operando en sistema aislado la unidad G1 de la C.T. Illapu. A las 20:22 h, se conectó la barra “B” y se inició la normalización del suministro interrumpido. A las 20:34 h, se conectó la barra “A”.</t>
  </si>
  <si>
    <t>ETESELVA</t>
  </si>
  <si>
    <t>L. AGUAYTÍA - TINGO MARÍA - LINEA L-2251</t>
  </si>
  <si>
    <t>Se produjo el recierre no exitoso de la línea L-2251 (Aguaytía – Tingo María) de 220 kV, por falla monofásica a tierra en la fase “S”. De acuerdo con lo informado por ETESELVA, titular de la línea, la falla se produjo por descargas atmosféricas. El sistema de protección señalizó la activación de la función de distancia (21). El sistema de protección detecto la falla a una distancia de 36,00 km de la S.E. Tingo María. Como consecuencia se interrumpió el suministro de la S.E. Aguaytía y Pucallpa con un total de 44,67 MW, respectivamente. A las 23:23 h, se conectó la línea L-2251 y se inició la normalización del suministro interrumpido en la S.E. Aguaytía. A las 23:27 h, se conectó la línea L-1125 (Aguaytía – Pucallpa) de 138 kV y se inició la normalización del suministro interrumpido en la S.E. Pucallpa.</t>
  </si>
  <si>
    <t>Se produjo el recierre no exitoso de la línea L-2194 (Caclic – Belaunde Terry) de 220 kV por falla monofásica a tierra en la fase “T”. De acuerdo con lo informado por CONCESIONARIA LÍNEA DE TRANSMISIÓN CCNCM, titular de la línea, la falla se produjo por acercamiento de arboles a la línea. El sistema de protección señalizó la activación de la función diferencial de línea (87) y ubicó la falla a una distancia de 107,50 km de la S.E. Caclic. Asimismo, desconectó el autotransformador AT3201 de la S.E. Caclic por actuación de su protección diferencial (87), cuya causa no ha sido informada por CONCESIONARIA LÍNEA DE TRANSMISIÓN CCNCM, titular del equipo. Por otro lado, desconectó el transformador de 138/60/10 kV de la S.E. Moyobamba por actuación de su protección diferencial (87), cuya causa no ha sido informada por ELECTRO ORIENTE, titular del equipo, también desconectó la línea L-3301 (Pongo – Yurimahuas) de 33 kV, de titularidad de ELECTRO ORIENTE. Como consecuencia se interrumpió el suministro de las subestaciones Moyobamba, Rioja, Nueva Cajamarca, Yurimaguas, Cementos Selva y Pongo de Caynarachi con un total de 24,27 MW. A las 09:55 h, se conectó el transformador de 138/60/10 kV de la S.E. Moyobamba y se incido la recuperación de la carga de la S.E. Moyobamba en configuración radial a través de la línea L-1016 (Tocache – Juanjui) de 138 kV. A las 10:07 h, se conectó la línea L-2194. A las 10:12 h, se conectó el lado de 138 kV del autotransformador AT-4201 cerrando el anillo Belaunde Terry – Tarapoto - Moyobamba. A las 10:21 h, se conectó el autotransformador AT3201 de la S.E. Caclic.</t>
  </si>
  <si>
    <t>Desconectó la línea L-6024 (Azángaro - Putina) de 60 kV, por falla. De acuerdo con lo informado por ELECTRO PUNO, titular de la línea, la falla se produjo por descargas atmosféricas. Como consecuencia se interrumpió el suministro de las subestaciones Ananea y Huancané con un total de 7,49 MW. A las 16:55 h, se conectó la línea y se inició la normalización del suministro interrumpido.</t>
  </si>
  <si>
    <t>ELECTRO ORIENTE</t>
  </si>
  <si>
    <t>S.E. BELLAVISTA - SSEE S.E. BELLAVISTA</t>
  </si>
  <si>
    <t>Se coordinó realizar rechazo manual de carga de 5,00 MW en el área de Electro Oriente – San Martin para conectar la línea L-1122 (Aucayacu - Tingo María) de 138 kV en la S.E. Aucayacu. Esta coordinación se realizó para bajar la diferencia angular en el extremo de la S.E. Aucayacu el cual era 32.89°. Los valores de tensión en las subestaciones Aucayacu y Tocache fueron de 150 kV y 149 KV respectivamente. A las 10:37 h, el CCO-COES coordinó con el CC-EOR rechazar 2,00 MW adicionales. El CC-EOR rechazo un total de 7,90 MW. A las 10:39 h, se conectó la línea L-1122 en la S.E. Aucayacu y se coordinó recuperar toda la carga rechazada.</t>
  </si>
  <si>
    <t>S.E. JULIACA - BARRA BARRA22.9KV</t>
  </si>
  <si>
    <t>Desconectó la barra 22.9 kV de la S.E. Juliaca, por falla en la fase “T” del transformador de tensión, se acuerdo a lo informado por REP titular de la barra. El sistema de protección señalizó la activación de la función diferencial de barras (87). Como consecuencia se interrumpió el suministro de la S.E. Juliaca con 4,00 MW. A las 07:36 h del 26.02.2018, se conectó la barra y se inició la normalización del suministro interrumpido.</t>
  </si>
  <si>
    <t>EDE CAÑETE</t>
  </si>
  <si>
    <t>L. CANTERA - CAÑETE - LINEA L-6610</t>
  </si>
  <si>
    <t>Desconectó la línea L-6610 (Cantera – San Vicente) de 60 kV, por falla. De acuerdo con lo informado por EDE CAÑETE, titular de la línea, la falla se produjo por contacto de ave con el conductor. Como consecuencia desconectó la C.H. Nueva Imperial cuando generaba 3,82 MW y se interrumpió el suministro de la S.E. San Vicente con un total de 23,91 MW. A las 16:01 h, se conectó la línea y se inició la normalización del suministro interrumpido. A las 19:39 h, sincronizó la central Nueva Imperial con el SEIN.</t>
  </si>
  <si>
    <t>L. PARAMONGA N. - 09 DE OCTUBRE - LINEA L-6655</t>
  </si>
  <si>
    <t>Desconectó la línea L-6655 (Paramonga Nueva - 9 de Octubre) de 66 kV, por falla monofásica a tierra en la fase “T”. De acuerdo a lo informado por HIDRANDINA, titular de la línea, la falla se produjo por caída de conductor por deterioro de ferretería en la estructura N° 178. El sistema de protección señalizó la activación de la función de distancia (21) y ubicó la falla a una distancia de 52,40 km de la S.E. Paramonga Nueva. Como consecuencia se interrumpió el suministro de las subestaciones Huarmey y Pto. Anatamina con un total de 5,17 MW. A las 16:45 h, se conectó la línea y se inició la normalización del suministro interrumpido.</t>
  </si>
  <si>
    <t>Desconectó de la línea L-6655 (Paramonga Nueva - 09 de octubre) de 66 kV, por falla monofásica a tierra en la fase “T”. De acuerdo a lo informado por HIDRANDINA, titular de la línea, la falla se produjo por caída de conductor por deterioro de ferretería en la estructura N° 33, ubicado a 9,00 km de la S.E. Paramonga Nueva. El sistema de protección señalizó la activación de la función de sobrecorriente direccional a tierra (67N). Como consecuencia se interrumpió el suministro de la S.E Huarmey y Puerto Antamina con una carga total de 3,97 MW. A las 10:46 h, se conectó la línea L-6655 y se inicio la normalización del suministro interrumpido.</t>
  </si>
  <si>
    <t>LA VIRGEN</t>
  </si>
  <si>
    <t>S.E. LA VIRGEN - SSEE SS.EE.</t>
  </si>
  <si>
    <t>Desconectó el transformador TE-4 de 138/60 kV de la S.E. La Virgen, cuya causa no ha sido informada por RENOVANDES, titular del equipo. Como consecuencia desconectó la línea L-6089 (La Virgen – Chanchamayo) de 60 kV, el grupo G1 de la C.H. Renovandes con una generacion de 20,00 MW y se interrumpió el suministro de Chanchamayo con 2.84 MW. A las 08:12 h, el CCO-COES coordinó con el CC-ELC normalizar la carga de la S.E. Chanchamayo en sistema aislado en coordinación con SIMSA. A las 10:06 h se inició la operación del sistema aislado Chanchamayo.</t>
  </si>
  <si>
    <t>Desconectó la línea L-1033 (Paramonga Existente - Cahua) de 138 kV por falla monofásica a tierra en la fase “R”. De acuerdo a lo informado por STATKRAFT, titular de la línea, la falla se produjo por acercamiento de arboles a la línea. Como consecuencia desconectó la C.H. Cahua con 45,67 MW y se interrumpió el suministro del poblado de Cochas con 0,04 MW. A las 18:11 h, se conectó la línea L-1033.</t>
  </si>
  <si>
    <t>Desconectaron las líneas L-6532 y 6533 (Morococha – Carlos Francisco) de 50 kV, por falla bifásica en las fases “S” y “T”. De acuerdo con lo informado por STATKRAFT, titular de las líneas, la falla se produjo seccionamiento del cable de guarda entre las estructuras N° 57 y 58 de la línea. El sistema de protección señalizó la activación de función de distancia (21). Como consecuencia se interrumpió el suministro de las subestaciones Casapalca Norte, Carlos Francisco, Ticlio, Antuquito, Rosaura, Bellavista y San Mateo con un total de 24,27 MW. A las 15:23 h , se conectó la línea L-6533 y se inicio la normalización del suministro interrumpido. A las 15:50 h, volvió a desconectar la línea L-6533, por descargas atmosféricas, de acuerdo con lo informado por STATKRAFT, interrumpiéndose el suministro de las subestaciones Carlos Francisco, Antuquito, Rosaura, Bellavista y Ticlio con un total de 8,97 MW. A las 15:52 h , se conectó la línea L-6533 y se inicio la normalización del suministro interrumpido. La línea L-6532 quedo fuera de servicio.</t>
  </si>
  <si>
    <t>CELDA</t>
  </si>
  <si>
    <t>TRANSFORMADOR 2D</t>
  </si>
  <si>
    <t>* 1 eventos corresponde a rechazo manual de carga en la S.S.E.E.  Bellavista Juanjui, Nueva Cajamarca y Cementos Selva (0,6 MWh)</t>
  </si>
  <si>
    <t>T-30  T3-261  T4-261</t>
  </si>
  <si>
    <t>L-2259</t>
  </si>
  <si>
    <t>Carhuamayo - Oroya Nueva</t>
  </si>
  <si>
    <t>FEBRERO 2018</t>
  </si>
  <si>
    <t>FEBRERO 2017</t>
  </si>
  <si>
    <t>SANTA ANA</t>
  </si>
  <si>
    <t>BIOCOMBUSTIBLE</t>
  </si>
  <si>
    <t>El total de la producción de energía eléctrica de la empresas generadoras integrantes del COES en el mes de febrero 2018 fue de 3 919,54  GWh, lo que representa un incremento de 67,84 GWh (1,76%) en comparación con el año 2017.</t>
  </si>
  <si>
    <t>La producción de electricidad con centrales hidroeléctricas durante el mes de febrero 2018 fue de 2 764,67 GWh (6,67% mayor al registrado durante febrero del año 2017).</t>
  </si>
  <si>
    <t xml:space="preserve">La producción de electricidad con centrales termoeléctricas durante el mes de febrero 2018 fue de 1 046,22 GWh, 11,75% menor al registrado durante febrero del año 2017. La participación del gas natural de Camisea fue de 22,56%, mientras que las del gas que proviene de los yacimientos de Aguaytía y Malacas fue del 2,24%, la producción con diesel, residual, carbón, biogás y bagazo tuvieron una intervención del 1,04%, 0,07%, 0,52%, 0,10%, 0,17% respectivamente.
</t>
  </si>
  <si>
    <t>La producción de energía eléctrica con centrales eólicas fue de 56,18 GWh y con centrales solares fue de 18,19 GWh, los cuales tuvieron una participación de 1,59% y 1,18% respectivamente.</t>
  </si>
  <si>
    <t>(1) El valor de potencia efectiva de la C.S. Rubí corresponde a la potencia instalada nominal declarado en la fecha de ingreso de operación comercial</t>
  </si>
  <si>
    <t>SANTA ANA Total</t>
  </si>
  <si>
    <t>(4) Se incluye la producción por pruebas de la C.H. Renovandes H1, propiedad de EMPRESA DE GENERACIÓN ELÉCTRICA SANTA ANA S.A.</t>
  </si>
  <si>
    <t>(5) Se incluye la producción por pruebas de la TV de la C.T. Santo Domingo de los Olleros, propiedad de TERMOCHILCA.</t>
  </si>
  <si>
    <t>(2) Se incluye la producción por pruebas de la C.E. Wayra I, propiedad de ENEL GREEN POWER PERU S.A.</t>
  </si>
  <si>
    <t>(3) Se incluye la producción por pruebas de la C.S. Intipampa, propiedad de ENGIE ENERGÍA PERU S.A.</t>
  </si>
  <si>
    <t xml:space="preserve">ENEL GREEN </t>
  </si>
  <si>
    <r>
      <t xml:space="preserve">C.S. RUBI  </t>
    </r>
    <r>
      <rPr>
        <b/>
        <sz val="7"/>
        <color theme="1"/>
        <rFont val="Arial"/>
        <family val="2"/>
      </rPr>
      <t>(1)</t>
    </r>
  </si>
  <si>
    <r>
      <t xml:space="preserve">C.E. WAYRA I </t>
    </r>
    <r>
      <rPr>
        <b/>
        <sz val="7"/>
        <color theme="1"/>
        <rFont val="Arial"/>
        <family val="2"/>
      </rPr>
      <t>(2)</t>
    </r>
  </si>
  <si>
    <r>
      <t xml:space="preserve">C.S. INTIPAMPA  </t>
    </r>
    <r>
      <rPr>
        <b/>
        <sz val="7"/>
        <color theme="1"/>
        <rFont val="Arial"/>
        <family val="2"/>
      </rPr>
      <t>(3)</t>
    </r>
  </si>
  <si>
    <r>
      <t xml:space="preserve">C.T. OLLEROS  </t>
    </r>
    <r>
      <rPr>
        <b/>
        <sz val="7"/>
        <color theme="1"/>
        <rFont val="Arial"/>
        <family val="2"/>
      </rPr>
      <t>(5)</t>
    </r>
  </si>
  <si>
    <r>
      <t xml:space="preserve">C.H. RENOVANDES H1  </t>
    </r>
    <r>
      <rPr>
        <b/>
        <sz val="7"/>
        <color theme="1"/>
        <rFont val="Arial"/>
        <family val="2"/>
      </rPr>
      <t>(4)</t>
    </r>
  </si>
  <si>
    <t>TOTAL MÁXIMA POTENCIA COINCIDENTE</t>
  </si>
  <si>
    <r>
      <t xml:space="preserve">C.E. WAYRA I  </t>
    </r>
    <r>
      <rPr>
        <b/>
        <sz val="7"/>
        <color theme="1"/>
        <rFont val="Arial"/>
        <family val="2"/>
      </rPr>
      <t>(2)</t>
    </r>
  </si>
  <si>
    <r>
      <t xml:space="preserve">C.H. RENOVANDES H1 </t>
    </r>
    <r>
      <rPr>
        <b/>
        <sz val="7"/>
        <color theme="1"/>
        <rFont val="Arial"/>
        <family val="2"/>
      </rPr>
      <t>(4)</t>
    </r>
  </si>
  <si>
    <r>
      <t xml:space="preserve">C.T. OLLEROS </t>
    </r>
    <r>
      <rPr>
        <b/>
        <sz val="7"/>
        <color theme="1"/>
        <rFont val="Arial"/>
        <family val="2"/>
      </rPr>
      <t xml:space="preserve"> (5)</t>
    </r>
  </si>
  <si>
    <t>VOLUMEN  UTIL
28-02-2018</t>
  </si>
  <si>
    <t>VOLUMEN UTIL
28-02-2017</t>
  </si>
  <si>
    <t>Cuadro N°7 : Máxima potencia coincidente (MW) por tipo de generación en el SEIN.</t>
  </si>
  <si>
    <t>(*) La empresa Luz del Sur S.A.A. Transfiere la titularidad de sus instalaciones de generación a la empresa Inland Energy S.A.C.</t>
  </si>
  <si>
    <t>LUZ DEL SUR / INLAND</t>
  </si>
  <si>
    <t>LUZ DEL SUR / INLAND Total</t>
  </si>
  <si>
    <r>
      <t xml:space="preserve">C.H. SANTA TERESA  </t>
    </r>
    <r>
      <rPr>
        <b/>
        <sz val="7"/>
        <color theme="1"/>
        <rFont val="Arial"/>
        <family val="2"/>
      </rPr>
      <t>(6)</t>
    </r>
  </si>
  <si>
    <t>LUZ DEL SUR / / INLAND Total</t>
  </si>
  <si>
    <r>
      <t xml:space="preserve">C.H. SANTA TERESA </t>
    </r>
    <r>
      <rPr>
        <b/>
        <sz val="7"/>
        <color theme="1"/>
        <rFont val="Arial"/>
        <family val="2"/>
      </rPr>
      <t xml:space="preserve"> (6)</t>
    </r>
  </si>
  <si>
    <t>(6) La empresaLUZ DEL SUR S.A.A. Transfiere la titularidad de sus instalaciones de generación a la empresa INLAND ENERGY S.A.C.</t>
  </si>
  <si>
    <t>LUZ DEL SUR / INLAND  (*)</t>
  </si>
  <si>
    <t>LUZ DEL SUR / INLAND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</si>
</sst>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_-* #,##0.0_-;\-* #,##0.0_-;_-* &quot;-&quot;??_-;_-@_-"/>
    <numFmt numFmtId="175" formatCode="0.000%"/>
  </numFmts>
  <fonts count="73">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8"/>
      <color indexed="1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5"/>
      <color theme="1"/>
      <name val="Arial"/>
      <family val="2"/>
    </font>
    <font>
      <b/>
      <sz val="5"/>
      <color theme="1"/>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8"/>
      <color theme="4"/>
      <name val="Arial"/>
      <family val="2"/>
    </font>
    <font>
      <b/>
      <sz val="10"/>
      <color theme="4"/>
      <name val="Tahoma"/>
      <family val="2"/>
    </font>
    <font>
      <b/>
      <sz val="8.5"/>
      <color theme="4"/>
      <name val="Tahoma"/>
      <family val="2"/>
    </font>
    <font>
      <sz val="8.5"/>
      <color theme="4"/>
      <name val="Tahoma"/>
      <family val="2"/>
    </font>
    <font>
      <sz val="8"/>
      <color theme="4"/>
      <name val="Helvetica"/>
      <family val="2"/>
    </font>
    <font>
      <sz val="8"/>
      <color theme="4"/>
      <name val="Arial Narrow"/>
      <family val="2"/>
    </font>
    <font>
      <sz val="5.5"/>
      <color theme="1"/>
      <name val="Arial"/>
      <family val="2"/>
    </font>
    <font>
      <b/>
      <sz val="6"/>
      <name val="Arial"/>
      <family val="2"/>
    </font>
    <font>
      <sz val="6"/>
      <name val="Arial"/>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bgColor theme="4" tint="-0.249977111117893"/>
      </patternFill>
    </fill>
    <fill>
      <patternFill patternType="solid">
        <fgColor theme="4" tint="0.59999389629810485"/>
        <bgColor indexed="64"/>
      </patternFill>
    </fill>
    <fill>
      <patternFill patternType="solid">
        <fgColor indexed="13"/>
        <bgColor indexed="64"/>
      </patternFill>
    </fill>
    <fill>
      <patternFill patternType="solid">
        <fgColor theme="4" tint="-0.249977111117893"/>
        <bgColor indexed="64"/>
      </patternFill>
    </fill>
    <fill>
      <patternFill patternType="solid">
        <fgColor theme="4" tint="-0.249977111117893"/>
        <bgColor theme="4"/>
      </patternFill>
    </fill>
  </fills>
  <borders count="144">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right style="thin">
        <color theme="3" tint="0.39991454817346722"/>
      </right>
      <top/>
      <bottom style="hair">
        <color theme="3" tint="0.39991454817346722"/>
      </bottom>
      <diagonal/>
    </border>
    <border>
      <left style="thin">
        <color theme="3" tint="0.39994506668294322"/>
      </left>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right style="thin">
        <color theme="3" tint="0.39991454817346722"/>
      </right>
      <top style="hair">
        <color theme="3" tint="0.39991454817346722"/>
      </top>
      <bottom style="hair">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style="thin">
        <color theme="4"/>
      </left>
      <right/>
      <top/>
      <bottom style="thin">
        <color theme="4" tint="0.39997558519241921"/>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70" fontId="5" fillId="0" borderId="0"/>
    <xf numFmtId="172" fontId="36" fillId="0" borderId="0"/>
    <xf numFmtId="0" fontId="40" fillId="0" borderId="0"/>
    <xf numFmtId="0" fontId="40" fillId="0" borderId="0"/>
  </cellStyleXfs>
  <cellXfs count="943">
    <xf numFmtId="0" fontId="0" fillId="0" borderId="0" xfId="0"/>
    <xf numFmtId="0" fontId="0" fillId="0" borderId="0" xfId="0" applyBorder="1"/>
    <xf numFmtId="0" fontId="5" fillId="0" borderId="0" xfId="0" quotePrefix="1" applyNumberFormat="1" applyFont="1" applyFill="1" applyBorder="1" applyAlignment="1">
      <alignment horizontal="left" vertical="center"/>
    </xf>
    <xf numFmtId="0" fontId="0" fillId="0" borderId="0" xfId="0" applyFont="1"/>
    <xf numFmtId="1" fontId="7" fillId="0" borderId="0" xfId="0" applyNumberFormat="1" applyFont="1" applyFill="1" applyBorder="1" applyAlignment="1">
      <alignment horizontal="centerContinuous"/>
    </xf>
    <xf numFmtId="0" fontId="7" fillId="0" borderId="0" xfId="0" applyFont="1" applyBorder="1"/>
    <xf numFmtId="1" fontId="7" fillId="0" borderId="0" xfId="0" applyNumberFormat="1" applyFont="1" applyFill="1" applyBorder="1"/>
    <xf numFmtId="1" fontId="7" fillId="0" borderId="0" xfId="0" applyNumberFormat="1" applyFont="1" applyFill="1" applyBorder="1" applyAlignment="1">
      <alignment horizontal="right"/>
    </xf>
    <xf numFmtId="164" fontId="7" fillId="0" borderId="0" xfId="0" applyNumberFormat="1" applyFont="1" applyFill="1" applyBorder="1" applyAlignment="1">
      <alignment horizontal="right"/>
    </xf>
    <xf numFmtId="166" fontId="7" fillId="0" borderId="0" xfId="2" applyNumberFormat="1" applyFont="1" applyFill="1" applyBorder="1" applyAlignment="1">
      <alignment horizontal="right"/>
    </xf>
    <xf numFmtId="49" fontId="7" fillId="0" borderId="0" xfId="0" applyNumberFormat="1" applyFont="1" applyBorder="1" applyAlignment="1">
      <alignment horizontal="right"/>
    </xf>
    <xf numFmtId="0" fontId="7" fillId="0" borderId="0" xfId="0" quotePrefix="1" applyFont="1" applyFill="1" applyBorder="1" applyAlignment="1">
      <alignment horizontal="left" vertical="center"/>
    </xf>
    <xf numFmtId="49" fontId="7"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8" fillId="0" borderId="0" xfId="0" applyFont="1"/>
    <xf numFmtId="0" fontId="8" fillId="0" borderId="0" xfId="0" applyFont="1" applyBorder="1"/>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left"/>
    </xf>
    <xf numFmtId="49" fontId="7" fillId="0" borderId="0" xfId="0" applyNumberFormat="1" applyFont="1" applyFill="1" applyBorder="1" applyAlignment="1">
      <alignment horizontal="left"/>
    </xf>
    <xf numFmtId="49" fontId="7" fillId="0" borderId="0" xfId="0" applyNumberFormat="1" applyFont="1" applyBorder="1" applyAlignment="1">
      <alignment horizontal="left"/>
    </xf>
    <xf numFmtId="49" fontId="7" fillId="0" borderId="0" xfId="0" applyNumberFormat="1" applyFont="1" applyFill="1" applyBorder="1" applyAlignment="1">
      <alignment horizontal="center"/>
    </xf>
    <xf numFmtId="49" fontId="7" fillId="0" borderId="0" xfId="0" applyNumberFormat="1" applyFont="1" applyBorder="1" applyAlignment="1">
      <alignment horizontal="center"/>
    </xf>
    <xf numFmtId="164" fontId="7" fillId="0" borderId="0" xfId="0" applyNumberFormat="1" applyFont="1" applyFill="1" applyBorder="1" applyAlignment="1">
      <alignment horizontal="center"/>
    </xf>
    <xf numFmtId="0" fontId="5" fillId="2" borderId="0" xfId="0" applyFont="1" applyFill="1" applyBorder="1"/>
    <xf numFmtId="0" fontId="4" fillId="2" borderId="0" xfId="0" applyNumberFormat="1" applyFont="1" applyFill="1" applyBorder="1" applyAlignment="1">
      <alignment horizontal="center"/>
    </xf>
    <xf numFmtId="0" fontId="5" fillId="2" borderId="0" xfId="0" applyNumberFormat="1" applyFont="1" applyFill="1" applyBorder="1"/>
    <xf numFmtId="1" fontId="13" fillId="0" borderId="0" xfId="0" applyNumberFormat="1" applyFont="1" applyFill="1" applyBorder="1" applyAlignment="1">
      <alignment horizontal="right"/>
    </xf>
    <xf numFmtId="0" fontId="13" fillId="0" borderId="0" xfId="0" quotePrefix="1" applyFont="1" applyFill="1" applyBorder="1" applyAlignment="1">
      <alignment horizontal="left"/>
    </xf>
    <xf numFmtId="0" fontId="13" fillId="0" borderId="1" xfId="0" applyFont="1" applyBorder="1"/>
    <xf numFmtId="49" fontId="13" fillId="0" borderId="0" xfId="0" applyNumberFormat="1" applyFont="1" applyFill="1" applyBorder="1" applyAlignment="1">
      <alignment horizontal="center"/>
    </xf>
    <xf numFmtId="1" fontId="13" fillId="0" borderId="0" xfId="0" applyNumberFormat="1" applyFont="1" applyFill="1" applyBorder="1"/>
    <xf numFmtId="1" fontId="13" fillId="0" borderId="0" xfId="0" applyNumberFormat="1" applyFont="1" applyFill="1" applyBorder="1" applyAlignment="1">
      <alignment horizontal="center"/>
    </xf>
    <xf numFmtId="0" fontId="13" fillId="0" borderId="0" xfId="0" applyFont="1" applyBorder="1"/>
    <xf numFmtId="164" fontId="13" fillId="0" borderId="0" xfId="0" applyNumberFormat="1" applyFont="1" applyFill="1" applyBorder="1" applyAlignment="1">
      <alignment horizontal="right"/>
    </xf>
    <xf numFmtId="49" fontId="13" fillId="0" borderId="0" xfId="0" applyNumberFormat="1" applyFont="1" applyBorder="1" applyAlignment="1">
      <alignment horizontal="center"/>
    </xf>
    <xf numFmtId="0" fontId="14" fillId="0" borderId="0" xfId="0" quotePrefix="1" applyFont="1" applyFill="1" applyBorder="1" applyAlignment="1">
      <alignment horizontal="right"/>
    </xf>
    <xf numFmtId="164" fontId="13" fillId="0" borderId="1" xfId="0" applyNumberFormat="1" applyFont="1" applyFill="1" applyBorder="1" applyAlignment="1">
      <alignment horizontal="right"/>
    </xf>
    <xf numFmtId="0" fontId="13" fillId="0" borderId="0" xfId="0" applyFont="1" applyBorder="1" applyAlignment="1"/>
    <xf numFmtId="166" fontId="13" fillId="0" borderId="0" xfId="2" applyNumberFormat="1" applyFont="1" applyFill="1" applyBorder="1" applyAlignment="1">
      <alignment horizontal="right"/>
    </xf>
    <xf numFmtId="164" fontId="13" fillId="0" borderId="0" xfId="0" applyNumberFormat="1" applyFont="1" applyFill="1" applyBorder="1" applyAlignment="1">
      <alignment horizontal="center"/>
    </xf>
    <xf numFmtId="0" fontId="13" fillId="0" borderId="0" xfId="0" quotePrefix="1" applyFont="1" applyFill="1" applyBorder="1" applyAlignment="1">
      <alignment horizontal="left" vertical="center"/>
    </xf>
    <xf numFmtId="164" fontId="13" fillId="0" borderId="0" xfId="0" applyNumberFormat="1" applyFont="1" applyFill="1" applyBorder="1" applyAlignment="1">
      <alignment horizontal="left"/>
    </xf>
    <xf numFmtId="1" fontId="13" fillId="0" borderId="1" xfId="0" applyNumberFormat="1" applyFont="1" applyFill="1" applyBorder="1"/>
    <xf numFmtId="165" fontId="13" fillId="0" borderId="0" xfId="0" applyNumberFormat="1" applyFont="1" applyFill="1" applyBorder="1" applyAlignment="1">
      <alignment horizontal="right"/>
    </xf>
    <xf numFmtId="1" fontId="13" fillId="0" borderId="0" xfId="0" applyNumberFormat="1" applyFont="1" applyFill="1" applyBorder="1" applyAlignment="1">
      <alignment horizontal="left"/>
    </xf>
    <xf numFmtId="0" fontId="11" fillId="0" borderId="0" xfId="0" applyFont="1" applyBorder="1" applyAlignment="1">
      <alignment vertical="center"/>
    </xf>
    <xf numFmtId="0" fontId="7" fillId="0" borderId="0" xfId="0" applyFont="1" applyFill="1" applyBorder="1"/>
    <xf numFmtId="0" fontId="7" fillId="0" borderId="0" xfId="0" applyFont="1" applyFill="1" applyBorder="1" applyAlignment="1">
      <alignment horizontal="left"/>
    </xf>
    <xf numFmtId="0" fontId="0" fillId="0" borderId="0" xfId="0" applyFont="1" applyBorder="1" applyAlignment="1">
      <alignment horizontal="center"/>
    </xf>
    <xf numFmtId="0" fontId="9" fillId="2" borderId="0" xfId="0" applyFont="1" applyFill="1" applyBorder="1"/>
    <xf numFmtId="0" fontId="0" fillId="0" borderId="0" xfId="0" applyFont="1" applyFill="1"/>
    <xf numFmtId="0" fontId="15" fillId="0" borderId="0" xfId="0" applyFont="1" applyFill="1" applyBorder="1" applyAlignment="1">
      <alignment vertical="center"/>
    </xf>
    <xf numFmtId="17"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43" fontId="15" fillId="0" borderId="0" xfId="1" applyFont="1" applyFill="1" applyBorder="1" applyAlignment="1">
      <alignment vertical="center"/>
    </xf>
    <xf numFmtId="0" fontId="15" fillId="0" borderId="0" xfId="0" applyFont="1" applyFill="1" applyBorder="1" applyAlignment="1">
      <alignment horizontal="center" vertical="center"/>
    </xf>
    <xf numFmtId="0" fontId="9" fillId="0" borderId="0" xfId="0" applyFont="1" applyFill="1" applyBorder="1" applyAlignment="1">
      <alignment vertical="center"/>
    </xf>
    <xf numFmtId="0" fontId="5" fillId="0" borderId="0" xfId="0" applyFont="1" applyFill="1" applyBorder="1" applyAlignment="1">
      <alignment horizontal="center" vertical="center"/>
    </xf>
    <xf numFmtId="0" fontId="8" fillId="0" borderId="0" xfId="0" applyFont="1" applyFill="1" applyBorder="1"/>
    <xf numFmtId="0" fontId="8" fillId="0" borderId="0" xfId="0" applyFont="1" applyFill="1"/>
    <xf numFmtId="0" fontId="15" fillId="0" borderId="0" xfId="0" applyNumberFormat="1" applyFont="1" applyFill="1" applyBorder="1" applyAlignment="1">
      <alignment horizontal="center" vertical="center"/>
    </xf>
    <xf numFmtId="0" fontId="0" fillId="0" borderId="0" xfId="0" applyFont="1" applyFill="1" applyAlignment="1">
      <alignment vertical="center"/>
    </xf>
    <xf numFmtId="0" fontId="9" fillId="0" borderId="0" xfId="0" applyFont="1" applyFill="1" applyBorder="1" applyAlignment="1">
      <alignment vertical="center" wrapText="1"/>
    </xf>
    <xf numFmtId="43" fontId="9" fillId="0" borderId="0" xfId="1" applyFont="1" applyFill="1" applyBorder="1" applyAlignment="1">
      <alignment vertical="center" wrapText="1"/>
    </xf>
    <xf numFmtId="0" fontId="15" fillId="0" borderId="0" xfId="0" applyFont="1" applyFill="1" applyBorder="1" applyAlignment="1">
      <alignment vertical="center" wrapText="1"/>
    </xf>
    <xf numFmtId="0" fontId="9" fillId="0" borderId="0" xfId="0" applyFont="1" applyFill="1" applyBorder="1" applyAlignment="1">
      <alignment horizontal="justify" vertical="center"/>
    </xf>
    <xf numFmtId="0" fontId="9" fillId="0" borderId="0" xfId="0" quotePrefix="1" applyFont="1" applyFill="1" applyBorder="1" applyAlignment="1">
      <alignment horizontal="left" vertical="center"/>
    </xf>
    <xf numFmtId="0" fontId="9" fillId="0" borderId="0" xfId="0" quotePrefix="1" applyNumberFormat="1" applyFont="1" applyFill="1" applyBorder="1" applyAlignment="1">
      <alignment vertical="center" wrapText="1"/>
    </xf>
    <xf numFmtId="0" fontId="9"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5" fillId="0" borderId="0" xfId="0" applyFont="1" applyFill="1" applyBorder="1" applyAlignment="1">
      <alignment vertical="center"/>
    </xf>
    <xf numFmtId="0" fontId="10" fillId="0" borderId="0" xfId="0" applyFont="1" applyFill="1" applyBorder="1" applyAlignment="1">
      <alignment horizontal="left" vertical="center" wrapText="1"/>
    </xf>
    <xf numFmtId="0" fontId="7" fillId="0" borderId="0" xfId="0" applyFont="1" applyFill="1" applyBorder="1" applyAlignment="1">
      <alignment vertical="center"/>
    </xf>
    <xf numFmtId="165"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7" fillId="0" borderId="0" xfId="0" applyFont="1" applyFill="1" applyBorder="1" applyAlignment="1">
      <alignment vertical="center"/>
    </xf>
    <xf numFmtId="0" fontId="9" fillId="0" borderId="0" xfId="0" quotePrefix="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0" applyFont="1" applyFill="1" applyBorder="1" applyAlignment="1">
      <alignment vertical="top"/>
    </xf>
    <xf numFmtId="0" fontId="8" fillId="0" borderId="0" xfId="0" applyFont="1" applyFill="1" applyBorder="1" applyAlignment="1">
      <alignment horizontal="left" vertical="center" wrapText="1"/>
    </xf>
    <xf numFmtId="0" fontId="18" fillId="0" borderId="0" xfId="0" applyNumberFormat="1" applyFont="1" applyFill="1" applyBorder="1" applyAlignment="1">
      <alignment vertical="center"/>
    </xf>
    <xf numFmtId="0" fontId="5" fillId="2" borderId="0" xfId="0" applyNumberFormat="1" applyFont="1" applyFill="1" applyAlignment="1">
      <alignment horizontal="left"/>
    </xf>
    <xf numFmtId="0" fontId="5" fillId="2" borderId="0" xfId="0" applyNumberFormat="1" applyFont="1" applyFill="1"/>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NumberFormat="1" applyFont="1" applyFill="1" applyAlignment="1">
      <alignment horizontal="centerContinuous"/>
    </xf>
    <xf numFmtId="0" fontId="5" fillId="2" borderId="0" xfId="0" applyNumberFormat="1" applyFont="1" applyFill="1" applyAlignment="1">
      <alignment horizontal="centerContinuous"/>
    </xf>
    <xf numFmtId="0" fontId="10" fillId="2" borderId="0" xfId="0" applyNumberFormat="1" applyFont="1" applyFill="1" applyBorder="1" applyAlignment="1">
      <alignment horizontal="right"/>
    </xf>
    <xf numFmtId="167" fontId="5" fillId="0" borderId="0" xfId="0" applyNumberFormat="1" applyFont="1" applyFill="1" applyBorder="1" applyAlignment="1">
      <alignment horizontal="right" vertical="center"/>
    </xf>
    <xf numFmtId="0" fontId="5" fillId="2" borderId="0" xfId="0" applyNumberFormat="1" applyFont="1" applyFill="1" applyBorder="1" applyAlignment="1">
      <alignment horizontal="right"/>
    </xf>
    <xf numFmtId="0" fontId="5" fillId="2" borderId="0" xfId="0" quotePrefix="1" applyNumberFormat="1" applyFont="1" applyFill="1" applyBorder="1" applyAlignment="1">
      <alignment horizontal="left" vertical="top"/>
    </xf>
    <xf numFmtId="0" fontId="5" fillId="0" borderId="0" xfId="0" applyNumberFormat="1" applyFont="1" applyFill="1" applyAlignment="1">
      <alignment vertical="center"/>
    </xf>
    <xf numFmtId="0" fontId="5" fillId="2" borderId="0" xfId="0" quotePrefix="1" applyNumberFormat="1" applyFont="1" applyFill="1" applyBorder="1" applyAlignment="1">
      <alignment horizontal="left" vertical="center"/>
    </xf>
    <xf numFmtId="0" fontId="0" fillId="0" borderId="0" xfId="0" applyFont="1" applyAlignment="1">
      <alignment vertical="center"/>
    </xf>
    <xf numFmtId="0" fontId="5" fillId="2" borderId="0" xfId="0" applyNumberFormat="1" applyFont="1" applyFill="1" applyAlignment="1">
      <alignment horizontal="left" vertical="center"/>
    </xf>
    <xf numFmtId="0" fontId="5" fillId="2" borderId="0" xfId="0" applyNumberFormat="1" applyFont="1" applyFill="1" applyAlignment="1">
      <alignment vertical="center"/>
    </xf>
    <xf numFmtId="17" fontId="5" fillId="2" borderId="0" xfId="0" applyNumberFormat="1" applyFont="1" applyFill="1" applyAlignment="1">
      <alignment horizontal="centerContinuous" vertical="center"/>
    </xf>
    <xf numFmtId="0" fontId="4" fillId="2" borderId="0" xfId="0" applyNumberFormat="1" applyFont="1" applyFill="1" applyAlignment="1">
      <alignment horizontal="centerContinuous" vertical="center"/>
    </xf>
    <xf numFmtId="0" fontId="5" fillId="2" borderId="0" xfId="0" applyNumberFormat="1" applyFont="1" applyFill="1" applyAlignment="1">
      <alignment horizontal="centerContinuous" vertical="center"/>
    </xf>
    <xf numFmtId="0" fontId="10" fillId="2" borderId="0" xfId="0" applyNumberFormat="1" applyFont="1" applyFill="1" applyBorder="1" applyAlignment="1">
      <alignment horizontal="right" vertical="center"/>
    </xf>
    <xf numFmtId="0" fontId="5" fillId="2" borderId="0" xfId="0" applyNumberFormat="1" applyFont="1" applyFill="1" applyBorder="1" applyAlignment="1">
      <alignment horizontal="right" vertical="center"/>
    </xf>
    <xf numFmtId="0" fontId="5" fillId="0" borderId="0" xfId="0" applyNumberFormat="1" applyFont="1" applyFill="1" applyAlignment="1">
      <alignment horizontal="left" vertical="center"/>
    </xf>
    <xf numFmtId="17" fontId="4" fillId="0" borderId="0" xfId="0" quotePrefix="1" applyNumberFormat="1" applyFont="1" applyFill="1" applyAlignment="1">
      <alignment horizontal="left" vertical="center"/>
    </xf>
    <xf numFmtId="17" fontId="5"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0" fontId="10" fillId="0" borderId="0" xfId="0" applyNumberFormat="1" applyFont="1" applyFill="1" applyBorder="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Fill="1" applyAlignment="1">
      <alignment horizontal="centerContinuous" vertical="center"/>
    </xf>
    <xf numFmtId="0" fontId="4" fillId="0" borderId="0" xfId="0" applyNumberFormat="1" applyFont="1" applyFill="1" applyAlignment="1">
      <alignment horizontal="centerContinuous" vertical="center"/>
    </xf>
    <xf numFmtId="0" fontId="5" fillId="0" borderId="0" xfId="0" applyNumberFormat="1" applyFont="1" applyFill="1" applyAlignment="1">
      <alignment horizontal="centerContinuous" vertical="center"/>
    </xf>
    <xf numFmtId="0" fontId="10" fillId="0" borderId="0" xfId="0" applyNumberFormat="1" applyFont="1" applyFill="1" applyBorder="1" applyAlignment="1">
      <alignment horizontal="right" vertical="center"/>
    </xf>
    <xf numFmtId="17"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5" fillId="0" borderId="0" xfId="0" applyNumberFormat="1" applyFont="1" applyFill="1" applyBorder="1" applyAlignment="1">
      <alignment horizontal="right" vertical="center"/>
    </xf>
    <xf numFmtId="0" fontId="20" fillId="0" borderId="0" xfId="0" quotePrefix="1" applyNumberFormat="1" applyFont="1" applyFill="1" applyBorder="1" applyAlignment="1">
      <alignment horizontal="left" vertical="center"/>
    </xf>
    <xf numFmtId="0" fontId="19" fillId="0" borderId="0" xfId="0" quotePrefix="1" applyNumberFormat="1" applyFont="1" applyFill="1" applyBorder="1" applyAlignment="1">
      <alignment horizontal="left" vertical="center"/>
    </xf>
    <xf numFmtId="17" fontId="19"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wrapText="1"/>
    </xf>
    <xf numFmtId="168"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166" fontId="4" fillId="0" borderId="0" xfId="2" applyNumberFormat="1" applyFont="1" applyFill="1" applyBorder="1" applyAlignment="1">
      <alignment horizontal="right" vertical="center"/>
    </xf>
    <xf numFmtId="166" fontId="4" fillId="0" borderId="0" xfId="0" applyNumberFormat="1" applyFont="1" applyFill="1" applyBorder="1" applyAlignment="1">
      <alignment horizontal="right" vertical="center"/>
    </xf>
    <xf numFmtId="0" fontId="4" fillId="0" borderId="0" xfId="0" quotePrefix="1" applyNumberFormat="1" applyFont="1" applyFill="1" applyBorder="1" applyAlignment="1">
      <alignment horizontal="left" vertical="center"/>
    </xf>
    <xf numFmtId="167" fontId="4" fillId="0" borderId="0"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9" fontId="4" fillId="0" borderId="0" xfId="2" applyFont="1" applyFill="1" applyBorder="1" applyAlignment="1">
      <alignment horizontal="right" vertical="center"/>
    </xf>
    <xf numFmtId="166" fontId="5" fillId="0" borderId="0" xfId="2" applyNumberFormat="1" applyFont="1" applyFill="1" applyBorder="1" applyAlignment="1">
      <alignment horizontal="right" vertical="center"/>
    </xf>
    <xf numFmtId="169" fontId="4" fillId="0" borderId="0" xfId="2" applyNumberFormat="1" applyFont="1" applyFill="1" applyBorder="1" applyAlignment="1">
      <alignment horizontal="right" vertical="center"/>
    </xf>
    <xf numFmtId="0" fontId="13" fillId="0" borderId="0" xfId="0" applyNumberFormat="1" applyFont="1" applyFill="1" applyBorder="1" applyAlignment="1">
      <alignment horizontal="right" vertical="center"/>
    </xf>
    <xf numFmtId="0" fontId="13" fillId="0" borderId="0" xfId="0" quotePrefix="1" applyNumberFormat="1" applyFont="1" applyFill="1" applyBorder="1" applyAlignment="1">
      <alignment horizontal="left" vertical="center"/>
    </xf>
    <xf numFmtId="0" fontId="13" fillId="0" borderId="0" xfId="0" applyNumberFormat="1" applyFont="1" applyFill="1" applyAlignment="1">
      <alignment vertical="center"/>
    </xf>
    <xf numFmtId="0" fontId="21" fillId="0" borderId="0" xfId="0" quotePrefix="1" applyNumberFormat="1" applyFont="1" applyFill="1" applyBorder="1" applyAlignment="1">
      <alignment horizontal="left" vertical="center"/>
    </xf>
    <xf numFmtId="167" fontId="21" fillId="0" borderId="0" xfId="0" applyNumberFormat="1" applyFont="1" applyFill="1" applyBorder="1" applyAlignment="1">
      <alignment horizontal="right" vertical="center"/>
    </xf>
    <xf numFmtId="166" fontId="21" fillId="0" borderId="0" xfId="2" quotePrefix="1" applyNumberFormat="1" applyFont="1" applyFill="1" applyBorder="1" applyAlignment="1">
      <alignment horizontal="left" vertical="center"/>
    </xf>
    <xf numFmtId="166" fontId="13" fillId="0" borderId="0" xfId="2" applyNumberFormat="1" applyFont="1" applyFill="1" applyBorder="1" applyAlignment="1">
      <alignment horizontal="right" vertical="center"/>
    </xf>
    <xf numFmtId="0" fontId="13" fillId="0" borderId="6" xfId="0" quotePrefix="1" applyNumberFormat="1" applyFont="1" applyFill="1" applyBorder="1" applyAlignment="1">
      <alignment horizontal="left" vertical="center"/>
    </xf>
    <xf numFmtId="0" fontId="13" fillId="4" borderId="7" xfId="0" quotePrefix="1" applyNumberFormat="1" applyFont="1" applyFill="1" applyBorder="1" applyAlignment="1">
      <alignment horizontal="left" vertical="center"/>
    </xf>
    <xf numFmtId="0" fontId="13" fillId="0" borderId="7" xfId="0" quotePrefix="1" applyNumberFormat="1" applyFont="1" applyFill="1" applyBorder="1" applyAlignment="1">
      <alignment horizontal="left" vertical="center"/>
    </xf>
    <xf numFmtId="0" fontId="13" fillId="4" borderId="6" xfId="0" quotePrefix="1" applyNumberFormat="1" applyFont="1" applyFill="1" applyBorder="1" applyAlignment="1">
      <alignment horizontal="left" vertical="center"/>
    </xf>
    <xf numFmtId="166" fontId="13" fillId="4" borderId="11" xfId="2" applyNumberFormat="1" applyFont="1" applyFill="1" applyBorder="1" applyAlignment="1">
      <alignment horizontal="right" vertical="center"/>
    </xf>
    <xf numFmtId="166" fontId="13" fillId="0" borderId="13" xfId="2" applyNumberFormat="1" applyFont="1" applyFill="1" applyBorder="1" applyAlignment="1">
      <alignment horizontal="right" vertical="center"/>
    </xf>
    <xf numFmtId="166" fontId="21" fillId="4" borderId="16" xfId="2" applyNumberFormat="1" applyFont="1" applyFill="1" applyBorder="1" applyAlignment="1">
      <alignment horizontal="right" vertical="center"/>
    </xf>
    <xf numFmtId="166" fontId="13" fillId="4" borderId="10" xfId="2" applyNumberFormat="1" applyFont="1" applyFill="1" applyBorder="1" applyAlignment="1">
      <alignment horizontal="right" vertical="center"/>
    </xf>
    <xf numFmtId="166" fontId="21" fillId="4" borderId="15" xfId="2" applyNumberFormat="1" applyFont="1" applyFill="1" applyBorder="1" applyAlignment="1">
      <alignment horizontal="right" vertical="center"/>
    </xf>
    <xf numFmtId="0" fontId="21" fillId="4" borderId="8" xfId="0" quotePrefix="1" applyNumberFormat="1" applyFont="1" applyFill="1" applyBorder="1" applyAlignment="1">
      <alignment horizontal="left" vertical="center" wrapText="1"/>
    </xf>
    <xf numFmtId="0" fontId="19" fillId="2" borderId="0" xfId="0" applyNumberFormat="1" applyFont="1" applyFill="1" applyBorder="1"/>
    <xf numFmtId="0" fontId="20" fillId="2" borderId="0" xfId="0" quotePrefix="1" applyNumberFormat="1" applyFont="1" applyFill="1" applyBorder="1" applyAlignment="1">
      <alignment horizontal="centerContinuous"/>
    </xf>
    <xf numFmtId="0" fontId="19" fillId="2" borderId="0" xfId="0" applyNumberFormat="1" applyFont="1" applyFill="1" applyBorder="1" applyAlignment="1">
      <alignment horizontal="centerContinuous"/>
    </xf>
    <xf numFmtId="0" fontId="20" fillId="2" borderId="0" xfId="0" applyNumberFormat="1" applyFont="1" applyFill="1" applyBorder="1" applyAlignment="1">
      <alignment horizontal="centerContinuous"/>
    </xf>
    <xf numFmtId="0" fontId="19" fillId="2" borderId="0" xfId="0" applyNumberFormat="1" applyFont="1" applyFill="1" applyBorder="1" applyAlignment="1">
      <alignment horizontal="right"/>
    </xf>
    <xf numFmtId="49" fontId="13" fillId="0" borderId="0" xfId="0" applyNumberFormat="1" applyFont="1" applyBorder="1" applyAlignment="1">
      <alignment horizontal="right"/>
    </xf>
    <xf numFmtId="0" fontId="13" fillId="2" borderId="0" xfId="0" applyNumberFormat="1" applyFont="1" applyFill="1"/>
    <xf numFmtId="167" fontId="21" fillId="2" borderId="0" xfId="0" applyNumberFormat="1" applyFont="1" applyFill="1" applyBorder="1" applyAlignment="1">
      <alignment horizontal="right" vertical="center"/>
    </xf>
    <xf numFmtId="166" fontId="21" fillId="2" borderId="0" xfId="2" applyNumberFormat="1" applyFont="1" applyFill="1" applyBorder="1" applyAlignment="1">
      <alignment horizontal="right" vertical="center"/>
    </xf>
    <xf numFmtId="166" fontId="21" fillId="2" borderId="0" xfId="0"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xf>
    <xf numFmtId="0" fontId="13" fillId="2" borderId="0" xfId="0" applyNumberFormat="1" applyFont="1" applyFill="1" applyAlignment="1">
      <alignment vertical="center"/>
    </xf>
    <xf numFmtId="0" fontId="13" fillId="2" borderId="0" xfId="0" applyNumberFormat="1" applyFont="1" applyFill="1" applyBorder="1" applyAlignment="1">
      <alignment horizontal="right"/>
    </xf>
    <xf numFmtId="0" fontId="0" fillId="0" borderId="0" xfId="0" applyFont="1" applyBorder="1"/>
    <xf numFmtId="17" fontId="2" fillId="3" borderId="21" xfId="0" applyNumberFormat="1" applyFont="1" applyFill="1" applyBorder="1" applyAlignment="1">
      <alignment horizontal="center" vertical="center"/>
    </xf>
    <xf numFmtId="17" fontId="2" fillId="3" borderId="21" xfId="0" applyNumberFormat="1" applyFont="1" applyFill="1" applyBorder="1" applyAlignment="1">
      <alignment horizontal="center" vertical="center" wrapText="1"/>
    </xf>
    <xf numFmtId="0" fontId="2" fillId="3" borderId="21" xfId="0" applyNumberFormat="1" applyFont="1" applyFill="1" applyBorder="1" applyAlignment="1">
      <alignment horizontal="center" vertical="center" wrapText="1"/>
    </xf>
    <xf numFmtId="17" fontId="2" fillId="3" borderId="22" xfId="0" applyNumberFormat="1" applyFont="1" applyFill="1" applyBorder="1" applyAlignment="1">
      <alignment horizontal="center" vertical="center" wrapText="1"/>
    </xf>
    <xf numFmtId="167" fontId="13" fillId="0" borderId="24" xfId="0" applyNumberFormat="1" applyFont="1" applyFill="1" applyBorder="1" applyAlignment="1">
      <alignment horizontal="left"/>
    </xf>
    <xf numFmtId="167" fontId="13" fillId="4" borderId="25" xfId="0" applyNumberFormat="1" applyFont="1" applyFill="1" applyBorder="1" applyAlignment="1">
      <alignment horizontal="left" vertical="center"/>
    </xf>
    <xf numFmtId="167" fontId="13" fillId="0" borderId="25" xfId="0" applyNumberFormat="1" applyFont="1" applyFill="1" applyBorder="1" applyAlignment="1">
      <alignment horizontal="left" vertical="center"/>
    </xf>
    <xf numFmtId="166" fontId="21" fillId="0" borderId="29" xfId="2" applyNumberFormat="1" applyFont="1" applyFill="1" applyBorder="1" applyAlignment="1">
      <alignment horizontal="right"/>
    </xf>
    <xf numFmtId="166" fontId="21" fillId="4" borderId="31" xfId="2" applyNumberFormat="1" applyFont="1" applyFill="1" applyBorder="1" applyAlignment="1">
      <alignment horizontal="right" vertical="center"/>
    </xf>
    <xf numFmtId="166" fontId="21" fillId="0" borderId="31" xfId="2" applyNumberFormat="1" applyFont="1" applyFill="1" applyBorder="1" applyAlignment="1">
      <alignment horizontal="right" vertical="center"/>
    </xf>
    <xf numFmtId="0" fontId="13" fillId="4" borderId="24" xfId="0" quotePrefix="1" applyNumberFormat="1" applyFont="1" applyFill="1" applyBorder="1" applyAlignment="1">
      <alignment horizontal="left" vertical="center"/>
    </xf>
    <xf numFmtId="0" fontId="13" fillId="0" borderId="25" xfId="0" quotePrefix="1" applyNumberFormat="1" applyFont="1" applyFill="1" applyBorder="1" applyAlignment="1">
      <alignment horizontal="left" vertical="center"/>
    </xf>
    <xf numFmtId="0" fontId="21" fillId="4" borderId="26" xfId="0" quotePrefix="1" applyNumberFormat="1" applyFont="1" applyFill="1" applyBorder="1" applyAlignment="1">
      <alignment horizontal="left" vertical="center" wrapText="1"/>
    </xf>
    <xf numFmtId="0" fontId="21" fillId="0" borderId="5" xfId="0" quotePrefix="1" applyNumberFormat="1" applyFont="1" applyFill="1" applyBorder="1" applyAlignment="1">
      <alignment horizontal="left" vertical="center"/>
    </xf>
    <xf numFmtId="167" fontId="21" fillId="4" borderId="23" xfId="0" applyNumberFormat="1" applyFont="1" applyFill="1" applyBorder="1" applyAlignment="1">
      <alignment horizontal="left" vertical="center"/>
    </xf>
    <xf numFmtId="166" fontId="21" fillId="4" borderId="40" xfId="2"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wrapText="1"/>
    </xf>
    <xf numFmtId="0" fontId="21" fillId="0" borderId="0" xfId="0" applyFont="1" applyBorder="1" applyAlignment="1">
      <alignment vertical="center"/>
    </xf>
    <xf numFmtId="0" fontId="22" fillId="2" borderId="0" xfId="0" quotePrefix="1" applyNumberFormat="1" applyFont="1" applyFill="1" applyBorder="1" applyAlignment="1">
      <alignment horizontal="left" vertical="top"/>
    </xf>
    <xf numFmtId="0" fontId="2" fillId="3" borderId="46" xfId="1" applyNumberFormat="1" applyFont="1" applyFill="1" applyBorder="1" applyAlignment="1">
      <alignment horizontal="center" vertical="center"/>
    </xf>
    <xf numFmtId="0" fontId="2" fillId="3" borderId="46" xfId="0" applyFont="1" applyFill="1" applyBorder="1" applyAlignment="1">
      <alignment horizontal="center" vertical="center"/>
    </xf>
    <xf numFmtId="0" fontId="13" fillId="2" borderId="0" xfId="0" applyFont="1" applyFill="1" applyBorder="1"/>
    <xf numFmtId="0" fontId="13" fillId="2" borderId="0" xfId="0" applyNumberFormat="1" applyFont="1" applyFill="1" applyBorder="1" applyAlignment="1">
      <alignment vertical="center" wrapText="1"/>
    </xf>
    <xf numFmtId="4" fontId="5" fillId="2" borderId="0" xfId="0" applyNumberFormat="1" applyFont="1" applyFill="1" applyBorder="1"/>
    <xf numFmtId="166" fontId="4" fillId="2" borderId="0" xfId="2" applyNumberFormat="1" applyFont="1" applyFill="1" applyBorder="1"/>
    <xf numFmtId="166" fontId="21" fillId="4" borderId="4" xfId="2" applyNumberFormat="1" applyFont="1" applyFill="1" applyBorder="1" applyAlignment="1">
      <alignment horizontal="right" vertical="center"/>
    </xf>
    <xf numFmtId="166" fontId="21" fillId="0" borderId="4" xfId="2" applyNumberFormat="1" applyFont="1" applyFill="1" applyBorder="1" applyAlignment="1">
      <alignment horizontal="right" vertical="center"/>
    </xf>
    <xf numFmtId="166" fontId="21" fillId="4" borderId="43" xfId="2" applyNumberFormat="1" applyFont="1" applyFill="1" applyBorder="1" applyAlignment="1">
      <alignment horizontal="right" vertical="center"/>
    </xf>
    <xf numFmtId="166" fontId="21" fillId="0" borderId="57" xfId="2" applyNumberFormat="1" applyFont="1" applyFill="1" applyBorder="1" applyAlignment="1">
      <alignment horizontal="right" vertical="center"/>
    </xf>
    <xf numFmtId="0" fontId="13" fillId="2" borderId="0" xfId="0" quotePrefix="1" applyNumberFormat="1" applyFont="1" applyFill="1" applyAlignment="1">
      <alignment vertical="center" wrapText="1"/>
    </xf>
    <xf numFmtId="0" fontId="13" fillId="2" borderId="0" xfId="0" quotePrefix="1" applyNumberFormat="1" applyFont="1" applyFill="1" applyBorder="1" applyAlignment="1">
      <alignment vertical="top" wrapText="1"/>
    </xf>
    <xf numFmtId="0" fontId="0" fillId="2" borderId="0" xfId="0" quotePrefix="1" applyNumberFormat="1" applyFont="1" applyFill="1" applyBorder="1" applyAlignment="1">
      <alignment horizontal="left" vertical="top"/>
    </xf>
    <xf numFmtId="0" fontId="2" fillId="2" borderId="0" xfId="0" applyFont="1" applyFill="1" applyBorder="1" applyAlignment="1">
      <alignment horizontal="center"/>
    </xf>
    <xf numFmtId="4" fontId="13" fillId="2" borderId="0" xfId="0" applyNumberFormat="1" applyFont="1" applyFill="1" applyBorder="1"/>
    <xf numFmtId="166" fontId="21" fillId="2" borderId="0" xfId="2" applyNumberFormat="1" applyFont="1" applyFill="1" applyBorder="1"/>
    <xf numFmtId="169" fontId="13" fillId="4" borderId="3" xfId="0" applyNumberFormat="1" applyFont="1" applyFill="1" applyBorder="1" applyAlignment="1">
      <alignment horizontal="left" vertical="center"/>
    </xf>
    <xf numFmtId="169" fontId="13" fillId="0" borderId="3" xfId="0" applyNumberFormat="1" applyFont="1" applyFill="1" applyBorder="1" applyAlignment="1">
      <alignment horizontal="left" vertical="center"/>
    </xf>
    <xf numFmtId="169" fontId="13" fillId="4" borderId="41" xfId="0" applyNumberFormat="1" applyFont="1" applyFill="1" applyBorder="1" applyAlignment="1">
      <alignment horizontal="left" vertical="center"/>
    </xf>
    <xf numFmtId="169" fontId="21" fillId="0" borderId="55" xfId="0" applyNumberFormat="1" applyFont="1" applyFill="1" applyBorder="1" applyAlignment="1">
      <alignment horizontal="left" vertical="center"/>
    </xf>
    <xf numFmtId="0" fontId="2" fillId="3" borderId="58" xfId="1" applyNumberFormat="1" applyFont="1" applyFill="1" applyBorder="1" applyAlignment="1">
      <alignment horizontal="center" vertical="center"/>
    </xf>
    <xf numFmtId="0" fontId="2" fillId="3" borderId="58" xfId="0" applyNumberFormat="1" applyFont="1" applyFill="1" applyBorder="1" applyAlignment="1">
      <alignment horizontal="center" vertical="center"/>
    </xf>
    <xf numFmtId="14" fontId="2" fillId="3" borderId="58" xfId="0" applyNumberFormat="1" applyFont="1" applyFill="1" applyBorder="1" applyAlignment="1">
      <alignment horizontal="center" vertical="center" wrapText="1"/>
    </xf>
    <xf numFmtId="0" fontId="13" fillId="2" borderId="0" xfId="0" applyNumberFormat="1" applyFont="1" applyFill="1" applyBorder="1"/>
    <xf numFmtId="0" fontId="21" fillId="2" borderId="0" xfId="0" applyNumberFormat="1" applyFont="1" applyFill="1" applyBorder="1" applyAlignment="1">
      <alignment horizontal="right"/>
    </xf>
    <xf numFmtId="0" fontId="13" fillId="2" borderId="0" xfId="0" quotePrefix="1" applyNumberFormat="1" applyFont="1" applyFill="1" applyBorder="1" applyAlignment="1">
      <alignment horizontal="left" indent="3"/>
    </xf>
    <xf numFmtId="17" fontId="4" fillId="2" borderId="0" xfId="0" quotePrefix="1" applyNumberFormat="1" applyFont="1" applyFill="1" applyAlignment="1">
      <alignment horizontal="center"/>
    </xf>
    <xf numFmtId="0" fontId="20" fillId="2" borderId="0" xfId="0" applyFont="1" applyFill="1" applyBorder="1" applyAlignment="1">
      <alignment horizontal="center" vertical="center" wrapText="1"/>
    </xf>
    <xf numFmtId="43" fontId="9" fillId="2" borderId="0" xfId="1" applyFont="1" applyFill="1" applyBorder="1"/>
    <xf numFmtId="4" fontId="9" fillId="2" borderId="0" xfId="0" applyNumberFormat="1" applyFont="1" applyFill="1" applyBorder="1"/>
    <xf numFmtId="0" fontId="5" fillId="0" borderId="0" xfId="0" applyNumberFormat="1" applyFont="1" applyFill="1"/>
    <xf numFmtId="0" fontId="5" fillId="2" borderId="0" xfId="0" applyNumberFormat="1" applyFont="1" applyFill="1" applyBorder="1" applyAlignment="1">
      <alignment vertical="center"/>
    </xf>
    <xf numFmtId="17" fontId="4" fillId="2" borderId="0" xfId="0" quotePrefix="1" applyNumberFormat="1" applyFont="1" applyFill="1" applyAlignment="1">
      <alignment horizontal="center" vertical="center"/>
    </xf>
    <xf numFmtId="1"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right" vertical="center"/>
    </xf>
    <xf numFmtId="0" fontId="7" fillId="0" borderId="0" xfId="0" applyFont="1" applyBorder="1" applyAlignment="1">
      <alignment vertical="center"/>
    </xf>
    <xf numFmtId="1" fontId="7"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164" fontId="7" fillId="0" borderId="0" xfId="0" applyNumberFormat="1" applyFont="1" applyFill="1" applyBorder="1" applyAlignment="1">
      <alignment horizontal="center" vertical="center"/>
    </xf>
    <xf numFmtId="0" fontId="8" fillId="0" borderId="0" xfId="0" applyFont="1" applyBorder="1" applyAlignment="1">
      <alignment vertical="center"/>
    </xf>
    <xf numFmtId="0" fontId="8" fillId="0" borderId="0" xfId="0" applyFont="1" applyAlignment="1">
      <alignment vertical="center"/>
    </xf>
    <xf numFmtId="0" fontId="2" fillId="3" borderId="66"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13" fillId="2" borderId="0" xfId="0" applyNumberFormat="1" applyFont="1" applyFill="1" applyAlignment="1">
      <alignment horizontal="left" vertical="center"/>
    </xf>
    <xf numFmtId="0" fontId="23" fillId="2" borderId="0" xfId="0" applyNumberFormat="1" applyFont="1" applyFill="1" applyBorder="1" applyAlignment="1">
      <alignment horizontal="right" vertical="center"/>
    </xf>
    <xf numFmtId="4" fontId="0" fillId="0" borderId="69" xfId="0" applyNumberFormat="1" applyFont="1" applyBorder="1" applyAlignment="1">
      <alignment vertical="center"/>
    </xf>
    <xf numFmtId="4" fontId="0" fillId="0" borderId="70" xfId="0" applyNumberFormat="1" applyFont="1" applyBorder="1" applyAlignment="1">
      <alignment vertical="center"/>
    </xf>
    <xf numFmtId="166" fontId="0" fillId="0" borderId="71" xfId="2" applyNumberFormat="1" applyFont="1" applyBorder="1" applyAlignment="1">
      <alignment vertical="center"/>
    </xf>
    <xf numFmtId="4" fontId="0" fillId="4" borderId="72" xfId="0" applyNumberFormat="1" applyFont="1" applyFill="1" applyBorder="1" applyAlignment="1">
      <alignment vertical="center"/>
    </xf>
    <xf numFmtId="4" fontId="0" fillId="4" borderId="73" xfId="0" applyNumberFormat="1" applyFont="1" applyFill="1" applyBorder="1" applyAlignment="1">
      <alignment vertical="center"/>
    </xf>
    <xf numFmtId="166" fontId="0" fillId="4" borderId="74" xfId="2" applyNumberFormat="1" applyFont="1" applyFill="1" applyBorder="1" applyAlignment="1">
      <alignment vertical="center"/>
    </xf>
    <xf numFmtId="0" fontId="13" fillId="2" borderId="0" xfId="0" applyNumberFormat="1" applyFont="1" applyFill="1" applyBorder="1" applyAlignment="1">
      <alignment horizontal="right" vertical="center"/>
    </xf>
    <xf numFmtId="0" fontId="24" fillId="2" borderId="0" xfId="0" applyNumberFormat="1" applyFont="1" applyFill="1" applyBorder="1" applyAlignment="1">
      <alignment horizontal="right" vertical="center"/>
    </xf>
    <xf numFmtId="0" fontId="0" fillId="0" borderId="0" xfId="0" applyNumberFormat="1" applyFont="1" applyFill="1" applyBorder="1" applyAlignment="1">
      <alignment horizontal="left" vertical="center" wrapText="1"/>
    </xf>
    <xf numFmtId="17" fontId="2" fillId="3" borderId="67" xfId="0" quotePrefix="1" applyNumberFormat="1" applyFont="1" applyFill="1" applyBorder="1" applyAlignment="1">
      <alignment horizontal="center" vertical="center" wrapText="1"/>
    </xf>
    <xf numFmtId="17" fontId="2" fillId="3" borderId="68" xfId="0" quotePrefix="1" applyNumberFormat="1" applyFont="1" applyFill="1" applyBorder="1" applyAlignment="1">
      <alignment horizontal="center" vertical="center" wrapText="1"/>
    </xf>
    <xf numFmtId="0" fontId="2" fillId="3" borderId="75" xfId="0" applyFont="1" applyFill="1" applyBorder="1" applyAlignment="1">
      <alignment horizontal="center" vertical="center" wrapText="1"/>
    </xf>
    <xf numFmtId="0" fontId="13" fillId="2" borderId="0" xfId="0" quotePrefix="1" applyNumberFormat="1" applyFont="1" applyFill="1" applyBorder="1" applyAlignment="1">
      <alignment horizontal="right" vertical="top"/>
    </xf>
    <xf numFmtId="4" fontId="0" fillId="0" borderId="70" xfId="0" applyNumberFormat="1" applyFont="1" applyBorder="1" applyAlignment="1">
      <alignment horizontal="right"/>
    </xf>
    <xf numFmtId="166" fontId="0" fillId="0" borderId="71" xfId="2" applyNumberFormat="1" applyFont="1" applyBorder="1"/>
    <xf numFmtId="4" fontId="0" fillId="4" borderId="73" xfId="0" applyNumberFormat="1" applyFont="1" applyFill="1" applyBorder="1" applyAlignment="1">
      <alignment horizontal="right"/>
    </xf>
    <xf numFmtId="166" fontId="0" fillId="4" borderId="74" xfId="2" applyNumberFormat="1" applyFont="1" applyFill="1" applyBorder="1"/>
    <xf numFmtId="4" fontId="0" fillId="4" borderId="72" xfId="0" applyNumberFormat="1" applyFont="1" applyFill="1" applyBorder="1"/>
    <xf numFmtId="4" fontId="0" fillId="0" borderId="69" xfId="0" applyNumberFormat="1" applyFont="1" applyBorder="1"/>
    <xf numFmtId="0" fontId="13" fillId="2" borderId="0" xfId="0" applyFont="1" applyFill="1" applyBorder="1" applyAlignment="1">
      <alignment horizontal="right"/>
    </xf>
    <xf numFmtId="0" fontId="13" fillId="2" borderId="0" xfId="0" quotePrefix="1" applyNumberFormat="1" applyFont="1" applyFill="1" applyBorder="1" applyAlignment="1">
      <alignment horizontal="right"/>
    </xf>
    <xf numFmtId="0" fontId="21" fillId="2" borderId="0" xfId="0" applyNumberFormat="1" applyFont="1" applyFill="1" applyBorder="1"/>
    <xf numFmtId="4" fontId="0" fillId="4" borderId="76" xfId="0" applyNumberFormat="1" applyFont="1" applyFill="1" applyBorder="1"/>
    <xf numFmtId="4" fontId="0" fillId="4" borderId="77" xfId="0" applyNumberFormat="1" applyFont="1" applyFill="1" applyBorder="1" applyAlignment="1">
      <alignment horizontal="right"/>
    </xf>
    <xf numFmtId="166" fontId="0" fillId="4" borderId="78" xfId="2" applyNumberFormat="1" applyFont="1" applyFill="1" applyBorder="1"/>
    <xf numFmtId="0" fontId="13" fillId="2" borderId="0" xfId="0" applyNumberFormat="1" applyFont="1" applyFill="1" applyAlignment="1">
      <alignment horizontal="centerContinuous"/>
    </xf>
    <xf numFmtId="0" fontId="13" fillId="2" borderId="0" xfId="0" applyNumberFormat="1" applyFont="1" applyFill="1" applyAlignment="1">
      <alignment horizontal="left"/>
    </xf>
    <xf numFmtId="0" fontId="23" fillId="2" borderId="0" xfId="0" applyNumberFormat="1" applyFont="1" applyFill="1" applyBorder="1" applyAlignment="1">
      <alignment horizontal="right"/>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43" fontId="13" fillId="2" borderId="0" xfId="1" applyFont="1" applyFill="1" applyBorder="1"/>
    <xf numFmtId="0" fontId="13" fillId="0" borderId="0" xfId="0" applyNumberFormat="1" applyFont="1" applyFill="1"/>
    <xf numFmtId="0" fontId="4" fillId="2" borderId="0" xfId="0" applyNumberFormat="1" applyFont="1" applyFill="1" applyAlignment="1">
      <alignment horizontal="center"/>
    </xf>
    <xf numFmtId="0" fontId="4" fillId="2" borderId="0" xfId="0" applyNumberFormat="1" applyFont="1" applyFill="1" applyAlignment="1">
      <alignment horizontal="left" vertical="center" wrapText="1"/>
    </xf>
    <xf numFmtId="0" fontId="4" fillId="2" borderId="0" xfId="0" applyNumberFormat="1"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NumberFormat="1" applyFont="1" applyFill="1" applyAlignment="1">
      <alignment vertical="center"/>
    </xf>
    <xf numFmtId="43" fontId="6" fillId="2" borderId="0" xfId="1" applyFont="1" applyFill="1" applyAlignment="1">
      <alignment vertical="center"/>
    </xf>
    <xf numFmtId="0" fontId="6" fillId="2" borderId="0" xfId="0" applyNumberFormat="1" applyFont="1" applyFill="1" applyAlignment="1">
      <alignment vertical="center"/>
    </xf>
    <xf numFmtId="0" fontId="21" fillId="2" borderId="0" xfId="0" applyNumberFormat="1" applyFont="1" applyFill="1" applyBorder="1" applyAlignment="1">
      <alignment horizontal="center" vertical="center" wrapText="1"/>
    </xf>
    <xf numFmtId="2" fontId="21" fillId="2" borderId="0" xfId="0" applyNumberFormat="1" applyFont="1" applyFill="1" applyAlignment="1">
      <alignment vertical="center" wrapText="1"/>
    </xf>
    <xf numFmtId="2" fontId="13" fillId="2" borderId="0" xfId="0" applyNumberFormat="1" applyFont="1" applyFill="1" applyBorder="1" applyAlignment="1">
      <alignment horizontal="center" vertical="center" wrapText="1"/>
    </xf>
    <xf numFmtId="0" fontId="21" fillId="2" borderId="0" xfId="0" applyNumberFormat="1" applyFont="1" applyFill="1" applyAlignment="1">
      <alignment vertical="center" wrapText="1"/>
    </xf>
    <xf numFmtId="2" fontId="21" fillId="2" borderId="0" xfId="0" applyNumberFormat="1" applyFont="1" applyFill="1" applyAlignment="1"/>
    <xf numFmtId="0" fontId="5" fillId="2" borderId="0" xfId="0" applyNumberFormat="1" applyFont="1" applyFill="1" applyAlignment="1">
      <alignment horizontal="center"/>
    </xf>
    <xf numFmtId="0" fontId="5" fillId="2" borderId="0" xfId="0" applyNumberFormat="1" applyFont="1" applyFill="1" applyAlignment="1">
      <alignment vertical="center" wrapText="1"/>
    </xf>
    <xf numFmtId="0" fontId="4" fillId="0" borderId="0" xfId="0" applyNumberFormat="1" applyFont="1" applyFill="1" applyAlignment="1">
      <alignment horizontal="center"/>
    </xf>
    <xf numFmtId="0" fontId="11" fillId="0" borderId="0" xfId="0" applyFont="1" applyFill="1" applyBorder="1" applyAlignment="1">
      <alignment vertical="center"/>
    </xf>
    <xf numFmtId="0" fontId="4" fillId="0" borderId="0" xfId="0" applyNumberFormat="1" applyFont="1" applyFill="1" applyAlignment="1">
      <alignment horizontal="left" vertical="center" wrapText="1"/>
    </xf>
    <xf numFmtId="0" fontId="4" fillId="0" borderId="0" xfId="0" applyNumberFormat="1" applyFont="1" applyFill="1" applyAlignment="1">
      <alignment vertical="center" wrapText="1"/>
    </xf>
    <xf numFmtId="0" fontId="21" fillId="0" borderId="0" xfId="0" applyNumberFormat="1" applyFont="1" applyFill="1" applyAlignment="1">
      <alignment vertical="center" wrapText="1"/>
    </xf>
    <xf numFmtId="2" fontId="21" fillId="0" borderId="0" xfId="0" applyNumberFormat="1" applyFont="1" applyFill="1" applyAlignment="1">
      <alignment vertical="center" wrapText="1"/>
    </xf>
    <xf numFmtId="0" fontId="0" fillId="0" borderId="0" xfId="0" applyFont="1" applyFill="1" applyBorder="1" applyAlignment="1">
      <alignment horizontal="center"/>
    </xf>
    <xf numFmtId="2" fontId="4" fillId="0" borderId="0" xfId="0" applyNumberFormat="1" applyFont="1" applyFill="1" applyAlignment="1">
      <alignment vertical="center" wrapText="1"/>
    </xf>
    <xf numFmtId="2" fontId="13" fillId="0" borderId="0" xfId="0" applyNumberFormat="1" applyFont="1" applyFill="1" applyAlignment="1"/>
    <xf numFmtId="0" fontId="5" fillId="0" borderId="0" xfId="0" quotePrefix="1" applyNumberFormat="1" applyFont="1" applyFill="1" applyBorder="1" applyAlignment="1">
      <alignment horizontal="left" vertical="top"/>
    </xf>
    <xf numFmtId="0" fontId="13" fillId="0" borderId="0" xfId="0" quotePrefix="1" applyNumberFormat="1" applyFont="1" applyFill="1" applyBorder="1" applyAlignment="1">
      <alignment horizontal="left" vertical="top"/>
    </xf>
    <xf numFmtId="0" fontId="12" fillId="0" borderId="0" xfId="0" applyNumberFormat="1" applyFont="1" applyFill="1" applyAlignment="1">
      <alignment vertical="center"/>
    </xf>
    <xf numFmtId="0" fontId="4" fillId="0" borderId="0" xfId="0" applyNumberFormat="1" applyFont="1" applyFill="1" applyAlignment="1">
      <alignment horizontal="center" vertical="center"/>
    </xf>
    <xf numFmtId="49" fontId="7" fillId="0" borderId="0" xfId="0" applyNumberFormat="1" applyFont="1" applyFill="1" applyBorder="1" applyAlignment="1">
      <alignment horizontal="right" vertical="center"/>
    </xf>
    <xf numFmtId="49" fontId="13"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2" fontId="13" fillId="0" borderId="0" xfId="0" applyNumberFormat="1" applyFont="1" applyFill="1" applyAlignment="1">
      <alignment vertical="center"/>
    </xf>
    <xf numFmtId="0" fontId="2" fillId="3" borderId="85" xfId="0" applyFont="1" applyFill="1" applyBorder="1" applyAlignment="1">
      <alignment horizontal="center" vertical="center" wrapText="1"/>
    </xf>
    <xf numFmtId="0" fontId="2" fillId="3" borderId="86" xfId="0" applyFont="1" applyFill="1" applyBorder="1" applyAlignment="1">
      <alignment horizontal="center" vertical="center" wrapText="1"/>
    </xf>
    <xf numFmtId="4" fontId="13" fillId="0" borderId="88" xfId="0" applyNumberFormat="1" applyFont="1" applyBorder="1" applyAlignment="1">
      <alignment horizontal="center" vertical="center"/>
    </xf>
    <xf numFmtId="4" fontId="13" fillId="2" borderId="88" xfId="0" applyNumberFormat="1" applyFont="1" applyFill="1" applyBorder="1" applyAlignment="1">
      <alignment horizontal="center" vertical="center"/>
    </xf>
    <xf numFmtId="4" fontId="13" fillId="0" borderId="88" xfId="0" applyNumberFormat="1" applyFont="1" applyFill="1" applyBorder="1" applyAlignment="1">
      <alignment horizontal="center" vertical="center"/>
    </xf>
    <xf numFmtId="0" fontId="21" fillId="7" borderId="89" xfId="0" applyFont="1" applyFill="1" applyBorder="1" applyAlignment="1">
      <alignment vertical="center"/>
    </xf>
    <xf numFmtId="0" fontId="21" fillId="7" borderId="90" xfId="0" applyFont="1" applyFill="1" applyBorder="1" applyAlignment="1">
      <alignment vertical="center"/>
    </xf>
    <xf numFmtId="0" fontId="21" fillId="7" borderId="91" xfId="0" applyFont="1" applyFill="1" applyBorder="1" applyAlignment="1">
      <alignment vertical="center"/>
    </xf>
    <xf numFmtId="4" fontId="21" fillId="7" borderId="88"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NumberFormat="1" applyFont="1" applyFill="1" applyAlignment="1">
      <alignment horizontal="centerContinuous" vertical="center"/>
    </xf>
    <xf numFmtId="0" fontId="13" fillId="2" borderId="0" xfId="0" applyNumberFormat="1" applyFont="1" applyFill="1" applyAlignment="1">
      <alignment horizontal="centerContinuous" vertical="center"/>
    </xf>
    <xf numFmtId="17" fontId="4" fillId="2" borderId="0" xfId="0" quotePrefix="1" applyNumberFormat="1" applyFont="1" applyFill="1" applyBorder="1" applyAlignment="1">
      <alignment horizontal="center"/>
    </xf>
    <xf numFmtId="1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49" fontId="13" fillId="0" borderId="0" xfId="0" applyNumberFormat="1" applyFont="1" applyFill="1" applyBorder="1" applyAlignment="1">
      <alignment horizontal="right"/>
    </xf>
    <xf numFmtId="0" fontId="13" fillId="2" borderId="0" xfId="0" quotePrefix="1" applyNumberFormat="1" applyFont="1" applyFill="1" applyBorder="1" applyAlignment="1">
      <alignment horizontal="left"/>
    </xf>
    <xf numFmtId="0" fontId="13" fillId="2" borderId="0" xfId="0" applyNumberFormat="1" applyFont="1" applyFill="1" applyBorder="1" applyAlignment="1">
      <alignment horizontal="center"/>
    </xf>
    <xf numFmtId="0" fontId="13" fillId="2" borderId="0" xfId="0" quotePrefix="1" applyNumberFormat="1" applyFont="1" applyFill="1" applyBorder="1" applyAlignment="1">
      <alignment horizontal="center"/>
    </xf>
    <xf numFmtId="0" fontId="13" fillId="0" borderId="0" xfId="0" applyNumberFormat="1" applyFont="1"/>
    <xf numFmtId="0" fontId="1" fillId="0" borderId="0" xfId="0" applyFont="1" applyFill="1" applyBorder="1"/>
    <xf numFmtId="0" fontId="1" fillId="0" borderId="0" xfId="0" applyFont="1" applyFill="1"/>
    <xf numFmtId="1" fontId="7" fillId="0" borderId="0" xfId="0" quotePrefix="1" applyNumberFormat="1" applyFont="1" applyFill="1" applyBorder="1" applyAlignment="1">
      <alignment horizontal="centerContinuous"/>
    </xf>
    <xf numFmtId="43" fontId="13" fillId="0" borderId="0" xfId="1" applyFont="1" applyBorder="1"/>
    <xf numFmtId="0" fontId="13" fillId="0" borderId="0" xfId="0" applyFont="1" applyFill="1" applyBorder="1"/>
    <xf numFmtId="43" fontId="13" fillId="0" borderId="0" xfId="1" applyFont="1" applyBorder="1" applyAlignment="1"/>
    <xf numFmtId="0" fontId="13" fillId="0" borderId="0" xfId="0" applyFont="1" applyFill="1" applyBorder="1" applyAlignment="1"/>
    <xf numFmtId="17" fontId="26" fillId="2" borderId="0" xfId="0" applyNumberFormat="1" applyFont="1" applyFill="1" applyAlignment="1">
      <alignment horizontal="centerContinuous" vertical="center"/>
    </xf>
    <xf numFmtId="0" fontId="11" fillId="2" borderId="0" xfId="0" applyNumberFormat="1" applyFont="1" applyFill="1" applyAlignment="1">
      <alignment horizontal="centerContinuous" vertical="center"/>
    </xf>
    <xf numFmtId="0" fontId="26" fillId="2" borderId="0" xfId="0" applyNumberFormat="1" applyFont="1" applyFill="1" applyAlignment="1">
      <alignment horizontal="centerContinuous" vertical="center"/>
    </xf>
    <xf numFmtId="0" fontId="26" fillId="2" borderId="0" xfId="0" applyNumberFormat="1" applyFont="1" applyFill="1" applyAlignment="1">
      <alignment horizontal="left" vertical="center"/>
    </xf>
    <xf numFmtId="0" fontId="0" fillId="0" borderId="0" xfId="0" applyFont="1" applyAlignment="1">
      <alignment vertical="center" wrapText="1"/>
    </xf>
    <xf numFmtId="49" fontId="13" fillId="0" borderId="0" xfId="0" applyNumberFormat="1" applyFont="1" applyBorder="1" applyAlignment="1">
      <alignment horizontal="right" vertical="center"/>
    </xf>
    <xf numFmtId="0" fontId="2" fillId="3" borderId="0" xfId="0" quotePrefix="1" applyNumberFormat="1" applyFont="1" applyFill="1" applyBorder="1" applyAlignment="1">
      <alignment horizontal="center" vertical="center" wrapText="1"/>
    </xf>
    <xf numFmtId="17" fontId="2" fillId="3" borderId="93" xfId="0" applyNumberFormat="1" applyFont="1" applyFill="1" applyBorder="1" applyAlignment="1">
      <alignment horizontal="center" vertical="center" wrapText="1"/>
    </xf>
    <xf numFmtId="168" fontId="2" fillId="3" borderId="93" xfId="0" applyNumberFormat="1" applyFont="1" applyFill="1" applyBorder="1" applyAlignment="1">
      <alignment horizontal="center" vertical="center" wrapText="1"/>
    </xf>
    <xf numFmtId="0" fontId="2" fillId="3" borderId="93" xfId="0" applyNumberFormat="1" applyFont="1" applyFill="1" applyBorder="1" applyAlignment="1">
      <alignment horizontal="center" vertical="center" wrapText="1"/>
    </xf>
    <xf numFmtId="0" fontId="2" fillId="3" borderId="94" xfId="0" applyNumberFormat="1" applyFont="1" applyFill="1" applyBorder="1" applyAlignment="1">
      <alignment horizontal="center" vertical="center" wrapText="1"/>
    </xf>
    <xf numFmtId="0" fontId="13" fillId="4" borderId="95" xfId="0" quotePrefix="1" applyNumberFormat="1" applyFont="1" applyFill="1" applyBorder="1" applyAlignment="1">
      <alignment vertical="center" wrapText="1"/>
    </xf>
    <xf numFmtId="167" fontId="13" fillId="4" borderId="95" xfId="0" applyNumberFormat="1" applyFont="1" applyFill="1" applyBorder="1" applyAlignment="1">
      <alignment horizontal="center" vertical="center" wrapText="1"/>
    </xf>
    <xf numFmtId="0" fontId="13" fillId="4" borderId="95" xfId="2" applyNumberFormat="1" applyFont="1" applyFill="1" applyBorder="1" applyAlignment="1">
      <alignment horizontal="center" vertical="center" wrapText="1"/>
    </xf>
    <xf numFmtId="4" fontId="13" fillId="4" borderId="95" xfId="0" applyNumberFormat="1" applyFont="1" applyFill="1" applyBorder="1" applyAlignment="1">
      <alignment horizontal="center" vertical="center" wrapText="1"/>
    </xf>
    <xf numFmtId="0" fontId="13" fillId="4" borderId="95" xfId="0" applyNumberFormat="1" applyFont="1" applyFill="1" applyBorder="1" applyAlignment="1">
      <alignment horizontal="center" vertical="center" wrapText="1"/>
    </xf>
    <xf numFmtId="4" fontId="2" fillId="3" borderId="95" xfId="0" applyNumberFormat="1" applyFont="1" applyFill="1" applyBorder="1" applyAlignment="1">
      <alignment horizontal="center" vertical="center"/>
    </xf>
    <xf numFmtId="0" fontId="2" fillId="3" borderId="95" xfId="0" applyNumberFormat="1" applyFont="1" applyFill="1" applyBorder="1" applyAlignment="1">
      <alignment horizontal="center" vertical="center"/>
    </xf>
    <xf numFmtId="0" fontId="13" fillId="2" borderId="0" xfId="0" quotePrefix="1" applyNumberFormat="1" applyFont="1" applyFill="1" applyBorder="1" applyAlignment="1">
      <alignment horizontal="left" vertical="center"/>
    </xf>
    <xf numFmtId="0" fontId="13" fillId="2" borderId="0" xfId="0" applyNumberFormat="1" applyFont="1" applyFill="1" applyBorder="1" applyAlignment="1">
      <alignment horizontal="left" vertical="center"/>
    </xf>
    <xf numFmtId="0" fontId="29" fillId="2" borderId="0" xfId="0" quotePrefix="1" applyNumberFormat="1" applyFont="1" applyFill="1" applyBorder="1" applyAlignment="1">
      <alignment horizontal="left" vertical="center"/>
    </xf>
    <xf numFmtId="0" fontId="13" fillId="2" borderId="0" xfId="0" quotePrefix="1" applyNumberFormat="1" applyFont="1" applyFill="1" applyAlignment="1">
      <alignment horizontal="left" vertical="center"/>
    </xf>
    <xf numFmtId="0" fontId="21" fillId="2" borderId="0" xfId="0" quotePrefix="1" applyNumberFormat="1" applyFont="1" applyFill="1" applyBorder="1" applyAlignment="1">
      <alignment horizontal="left" vertical="center"/>
    </xf>
    <xf numFmtId="0" fontId="5" fillId="2" borderId="0" xfId="0" quotePrefix="1" applyNumberFormat="1" applyFont="1" applyFill="1" applyBorder="1" applyAlignment="1">
      <alignment horizontal="center" vertical="center"/>
    </xf>
    <xf numFmtId="0" fontId="21" fillId="2" borderId="0" xfId="0" applyNumberFormat="1" applyFont="1" applyFill="1"/>
    <xf numFmtId="169" fontId="13" fillId="2" borderId="0" xfId="0" applyNumberFormat="1" applyFont="1" applyFill="1"/>
    <xf numFmtId="0" fontId="13" fillId="2" borderId="0" xfId="0" applyNumberFormat="1" applyFont="1" applyFill="1" applyAlignment="1">
      <alignment horizontal="right"/>
    </xf>
    <xf numFmtId="1" fontId="13" fillId="0" borderId="0" xfId="0" applyNumberFormat="1" applyFont="1" applyFill="1" applyBorder="1" applyAlignment="1">
      <alignment horizontal="right" vertical="center" wrapText="1"/>
    </xf>
    <xf numFmtId="0" fontId="12" fillId="2" borderId="0" xfId="0" applyNumberFormat="1" applyFont="1" applyFill="1" applyAlignment="1">
      <alignment vertical="center" wrapText="1"/>
    </xf>
    <xf numFmtId="0" fontId="13" fillId="2" borderId="0" xfId="2" applyNumberFormat="1" applyFont="1" applyFill="1" applyBorder="1" applyAlignment="1">
      <alignment horizontal="right"/>
    </xf>
    <xf numFmtId="0" fontId="13" fillId="2" borderId="0" xfId="0" quotePrefix="1" applyNumberFormat="1" applyFont="1" applyFill="1" applyBorder="1" applyAlignment="1">
      <alignment horizontal="left" vertical="center" indent="3"/>
    </xf>
    <xf numFmtId="0" fontId="21" fillId="2" borderId="0" xfId="2" applyNumberFormat="1" applyFont="1" applyFill="1" applyBorder="1" applyAlignment="1">
      <alignment horizontal="right"/>
    </xf>
    <xf numFmtId="0" fontId="0" fillId="2" borderId="0" xfId="0" quotePrefix="1" applyNumberFormat="1" applyFont="1" applyFill="1" applyBorder="1" applyAlignment="1">
      <alignment horizontal="left" vertical="center" indent="3"/>
    </xf>
    <xf numFmtId="0" fontId="13" fillId="2" borderId="0" xfId="0" quotePrefix="1" applyNumberFormat="1" applyFont="1" applyFill="1" applyBorder="1" applyAlignment="1">
      <alignment vertical="center" wrapText="1"/>
    </xf>
    <xf numFmtId="0" fontId="30" fillId="2" borderId="0" xfId="0" applyNumberFormat="1" applyFont="1" applyFill="1" applyBorder="1" applyAlignment="1">
      <alignment horizontal="right"/>
    </xf>
    <xf numFmtId="0" fontId="21" fillId="2" borderId="0" xfId="0" quotePrefix="1" applyNumberFormat="1" applyFont="1" applyFill="1" applyBorder="1" applyAlignment="1">
      <alignment horizontal="left"/>
    </xf>
    <xf numFmtId="0" fontId="13" fillId="2" borderId="0" xfId="0" quotePrefix="1" applyNumberFormat="1" applyFont="1" applyFill="1" applyAlignment="1">
      <alignment vertical="top" wrapText="1"/>
    </xf>
    <xf numFmtId="0" fontId="13" fillId="2" borderId="0" xfId="0" applyNumberFormat="1" applyFont="1" applyFill="1" applyAlignment="1">
      <alignment horizontal="center" vertical="center"/>
    </xf>
    <xf numFmtId="0" fontId="13" fillId="2" borderId="0" xfId="0" applyNumberFormat="1" applyFont="1" applyFill="1" applyBorder="1" applyAlignment="1">
      <alignment horizontal="center" vertical="center"/>
    </xf>
    <xf numFmtId="0" fontId="0" fillId="0" borderId="0" xfId="0" applyFont="1" applyAlignment="1">
      <alignment horizontal="center" vertical="center"/>
    </xf>
    <xf numFmtId="17" fontId="2" fillId="3" borderId="0" xfId="0" quotePrefix="1" applyNumberFormat="1" applyFont="1" applyFill="1" applyAlignment="1">
      <alignment horizontal="center" vertical="center" wrapText="1"/>
    </xf>
    <xf numFmtId="169" fontId="0" fillId="5" borderId="27" xfId="0" applyNumberFormat="1" applyFont="1" applyFill="1" applyBorder="1" applyAlignment="1">
      <alignment horizontal="center" vertical="center"/>
    </xf>
    <xf numFmtId="169" fontId="13" fillId="5" borderId="29" xfId="0" applyNumberFormat="1" applyFont="1" applyFill="1" applyBorder="1" applyAlignment="1">
      <alignment horizontal="center" vertical="center"/>
    </xf>
    <xf numFmtId="169" fontId="0" fillId="2" borderId="30" xfId="0" applyNumberFormat="1" applyFont="1" applyFill="1" applyBorder="1" applyAlignment="1">
      <alignment horizontal="center" vertical="center"/>
    </xf>
    <xf numFmtId="169" fontId="13" fillId="2" borderId="31" xfId="0" applyNumberFormat="1" applyFont="1" applyFill="1" applyBorder="1" applyAlignment="1">
      <alignment horizontal="center" vertical="center"/>
    </xf>
    <xf numFmtId="169" fontId="0" fillId="5" borderId="30" xfId="0" applyNumberFormat="1" applyFont="1" applyFill="1" applyBorder="1" applyAlignment="1">
      <alignment horizontal="center" vertical="center"/>
    </xf>
    <xf numFmtId="169" fontId="13" fillId="5" borderId="31" xfId="0" applyNumberFormat="1" applyFont="1" applyFill="1" applyBorder="1" applyAlignment="1">
      <alignment horizontal="center" vertical="center"/>
    </xf>
    <xf numFmtId="169" fontId="0" fillId="2" borderId="32" xfId="0" applyNumberFormat="1" applyFont="1" applyFill="1" applyBorder="1" applyAlignment="1">
      <alignment horizontal="center" vertical="center"/>
    </xf>
    <xf numFmtId="169" fontId="13" fillId="2" borderId="34" xfId="0" applyNumberFormat="1" applyFont="1" applyFill="1" applyBorder="1" applyAlignment="1">
      <alignment horizontal="center" vertical="center"/>
    </xf>
    <xf numFmtId="166" fontId="13" fillId="5" borderId="24" xfId="2" applyNumberFormat="1" applyFont="1" applyFill="1" applyBorder="1" applyAlignment="1">
      <alignment horizontal="center" vertical="center"/>
    </xf>
    <xf numFmtId="166" fontId="13" fillId="2" borderId="25" xfId="2" applyNumberFormat="1" applyFont="1" applyFill="1" applyBorder="1" applyAlignment="1">
      <alignment horizontal="center" vertical="center"/>
    </xf>
    <xf numFmtId="166" fontId="13" fillId="5" borderId="25" xfId="2" applyNumberFormat="1" applyFont="1" applyFill="1" applyBorder="1" applyAlignment="1">
      <alignment horizontal="center" vertical="center"/>
    </xf>
    <xf numFmtId="166" fontId="13" fillId="2" borderId="26" xfId="2" applyNumberFormat="1" applyFont="1" applyFill="1" applyBorder="1" applyAlignment="1">
      <alignment horizontal="center" vertical="center"/>
    </xf>
    <xf numFmtId="0" fontId="23" fillId="2" borderId="0" xfId="0" applyNumberFormat="1" applyFont="1" applyFill="1"/>
    <xf numFmtId="0" fontId="23" fillId="2" borderId="0" xfId="0" applyNumberFormat="1" applyFont="1" applyFill="1" applyAlignment="1">
      <alignment horizontal="left" vertical="center"/>
    </xf>
    <xf numFmtId="0" fontId="27" fillId="2" borderId="0" xfId="0" quotePrefix="1" applyNumberFormat="1" applyFont="1" applyFill="1" applyBorder="1" applyAlignment="1">
      <alignment horizontal="left" vertical="center"/>
    </xf>
    <xf numFmtId="0" fontId="23" fillId="0" borderId="0" xfId="0" applyFont="1" applyFill="1" applyBorder="1" applyAlignment="1">
      <alignment vertical="center"/>
    </xf>
    <xf numFmtId="2" fontId="13" fillId="0" borderId="12" xfId="0" applyNumberFormat="1" applyFont="1" applyFill="1" applyBorder="1" applyAlignment="1">
      <alignment horizontal="right" vertical="center"/>
    </xf>
    <xf numFmtId="2" fontId="13" fillId="0" borderId="0" xfId="0" applyNumberFormat="1" applyFont="1" applyFill="1" applyBorder="1" applyAlignment="1">
      <alignment horizontal="right" vertical="center"/>
    </xf>
    <xf numFmtId="2" fontId="13" fillId="0" borderId="13"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3" fillId="0" borderId="0" xfId="0" applyNumberFormat="1" applyFont="1" applyFill="1" applyBorder="1" applyAlignment="1">
      <alignment vertical="center"/>
    </xf>
    <xf numFmtId="0" fontId="23" fillId="0" borderId="0" xfId="0" applyNumberFormat="1" applyFont="1" applyFill="1" applyAlignment="1">
      <alignment vertical="center"/>
    </xf>
    <xf numFmtId="43" fontId="13" fillId="4" borderId="0" xfId="1" applyFont="1" applyFill="1" applyBorder="1" applyAlignment="1">
      <alignment horizontal="right" vertical="center"/>
    </xf>
    <xf numFmtId="43" fontId="13" fillId="0" borderId="0" xfId="1" applyFont="1" applyFill="1" applyBorder="1" applyAlignment="1">
      <alignment horizontal="right" vertical="center"/>
    </xf>
    <xf numFmtId="2" fontId="13" fillId="0" borderId="30" xfId="0" applyNumberFormat="1" applyFont="1" applyFill="1" applyBorder="1" applyAlignment="1">
      <alignment horizontal="right" vertical="center"/>
    </xf>
    <xf numFmtId="2" fontId="13" fillId="0" borderId="31" xfId="0" applyNumberFormat="1" applyFont="1" applyFill="1" applyBorder="1" applyAlignment="1">
      <alignment horizontal="right" vertical="center"/>
    </xf>
    <xf numFmtId="17" fontId="2" fillId="3" borderId="23" xfId="0" applyNumberFormat="1" applyFont="1" applyFill="1" applyBorder="1" applyAlignment="1">
      <alignment horizontal="center" vertical="center"/>
    </xf>
    <xf numFmtId="17" fontId="2" fillId="3" borderId="23" xfId="0" applyNumberFormat="1" applyFont="1" applyFill="1" applyBorder="1" applyAlignment="1">
      <alignment horizontal="center" vertical="center" wrapText="1"/>
    </xf>
    <xf numFmtId="0" fontId="2" fillId="3" borderId="23" xfId="0" applyNumberFormat="1" applyFont="1" applyFill="1" applyBorder="1" applyAlignment="1">
      <alignment horizontal="center" vertical="center" wrapText="1"/>
    </xf>
    <xf numFmtId="49" fontId="13" fillId="0" borderId="0" xfId="0" applyNumberFormat="1" applyFont="1" applyFill="1" applyBorder="1" applyAlignment="1">
      <alignment horizontal="left"/>
    </xf>
    <xf numFmtId="49" fontId="13" fillId="0" borderId="0" xfId="0" applyNumberFormat="1" applyFont="1" applyBorder="1" applyAlignment="1">
      <alignment horizontal="left"/>
    </xf>
    <xf numFmtId="0" fontId="13" fillId="0" borderId="0" xfId="0" applyNumberFormat="1" applyFont="1" applyFill="1" applyBorder="1" applyAlignment="1">
      <alignment horizontal="right"/>
    </xf>
    <xf numFmtId="10" fontId="21" fillId="0" borderId="0" xfId="2" applyNumberFormat="1" applyFont="1" applyFill="1" applyBorder="1" applyAlignment="1">
      <alignment horizontal="right"/>
    </xf>
    <xf numFmtId="167" fontId="13" fillId="0" borderId="25" xfId="0" applyNumberFormat="1" applyFont="1" applyFill="1" applyBorder="1" applyAlignment="1">
      <alignment horizontal="left"/>
    </xf>
    <xf numFmtId="167" fontId="13" fillId="0" borderId="26" xfId="0" applyNumberFormat="1" applyFont="1" applyFill="1" applyBorder="1" applyAlignment="1">
      <alignment horizontal="lef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NumberFormat="1" applyFont="1" applyFill="1" applyBorder="1" applyAlignment="1">
      <alignment horizontal="lef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NumberFormat="1" applyFont="1" applyFill="1" applyBorder="1" applyAlignment="1">
      <alignment horizontal="left" vertical="center" wrapText="1"/>
    </xf>
    <xf numFmtId="10" fontId="21" fillId="0" borderId="38" xfId="2" applyNumberFormat="1" applyFont="1" applyFill="1" applyBorder="1" applyAlignment="1">
      <alignment horizontal="right" vertical="center"/>
    </xf>
    <xf numFmtId="166" fontId="21" fillId="0" borderId="40" xfId="2" applyNumberFormat="1" applyFont="1" applyFill="1" applyBorder="1" applyAlignment="1">
      <alignment horizontal="right" vertical="center"/>
    </xf>
    <xf numFmtId="0" fontId="23" fillId="2" borderId="0" xfId="0" applyNumberFormat="1" applyFont="1" applyFill="1" applyAlignment="1">
      <alignment vertical="top"/>
    </xf>
    <xf numFmtId="0" fontId="21" fillId="2" borderId="0" xfId="0" applyNumberFormat="1" applyFont="1" applyFill="1" applyBorder="1" applyAlignment="1">
      <alignment horizontal="left"/>
    </xf>
    <xf numFmtId="2" fontId="21" fillId="2" borderId="0" xfId="0" applyNumberFormat="1" applyFont="1" applyFill="1" applyBorder="1" applyAlignment="1">
      <alignment horizontal="right"/>
    </xf>
    <xf numFmtId="2" fontId="0" fillId="0" borderId="0" xfId="0" applyNumberFormat="1" applyFont="1"/>
    <xf numFmtId="49" fontId="27" fillId="0" borderId="0" xfId="0" applyNumberFormat="1" applyFont="1" applyFill="1" applyBorder="1" applyAlignment="1">
      <alignment horizontal="center"/>
    </xf>
    <xf numFmtId="17" fontId="2" fillId="3" borderId="23" xfId="0" applyNumberFormat="1" applyFont="1" applyFill="1" applyBorder="1" applyAlignment="1">
      <alignment horizontal="center"/>
    </xf>
    <xf numFmtId="0" fontId="2" fillId="3" borderId="23" xfId="0" applyNumberFormat="1" applyFont="1" applyFill="1" applyBorder="1" applyAlignment="1">
      <alignment horizontal="center" wrapText="1"/>
    </xf>
    <xf numFmtId="16" fontId="2" fillId="3" borderId="24" xfId="0" applyNumberFormat="1" applyFont="1" applyFill="1" applyBorder="1" applyAlignment="1">
      <alignment horizontal="center" vertical="center"/>
    </xf>
    <xf numFmtId="16" fontId="2" fillId="3" borderId="24" xfId="0" applyNumberFormat="1" applyFont="1" applyFill="1" applyBorder="1" applyAlignment="1">
      <alignment horizontal="center" wrapText="1"/>
    </xf>
    <xf numFmtId="20" fontId="2" fillId="3" borderId="26" xfId="0" quotePrefix="1" applyNumberFormat="1" applyFont="1" applyFill="1" applyBorder="1" applyAlignment="1">
      <alignment horizontal="center" vertical="center"/>
    </xf>
    <xf numFmtId="20" fontId="2" fillId="3" borderId="26" xfId="0" applyNumberFormat="1" applyFont="1" applyFill="1" applyBorder="1" applyAlignment="1">
      <alignment horizontal="center"/>
    </xf>
    <xf numFmtId="20" fontId="2" fillId="3" borderId="23" xfId="0" applyNumberFormat="1" applyFont="1" applyFill="1" applyBorder="1" applyAlignment="1">
      <alignment horizontal="center"/>
    </xf>
    <xf numFmtId="169" fontId="13" fillId="0" borderId="3" xfId="0" applyNumberFormat="1" applyFont="1" applyFill="1" applyBorder="1" applyAlignment="1">
      <alignment horizontal="left"/>
    </xf>
    <xf numFmtId="166" fontId="21" fillId="0" borderId="4" xfId="2" applyNumberFormat="1" applyFont="1" applyFill="1" applyBorder="1" applyAlignment="1">
      <alignment horizontal="right"/>
    </xf>
    <xf numFmtId="165"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21" fillId="4" borderId="29" xfId="2" applyNumberFormat="1" applyFont="1" applyFill="1" applyBorder="1" applyAlignment="1">
      <alignment horizontal="right" vertical="center"/>
    </xf>
    <xf numFmtId="165" fontId="13" fillId="0" borderId="25" xfId="0" applyNumberFormat="1" applyFont="1" applyFill="1" applyBorder="1" applyAlignment="1">
      <alignment horizontal="left" vertical="center"/>
    </xf>
    <xf numFmtId="165"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166" fontId="21" fillId="4" borderId="34" xfId="2" applyNumberFormat="1" applyFont="1" applyFill="1" applyBorder="1" applyAlignment="1">
      <alignment horizontal="right" vertical="center"/>
    </xf>
    <xf numFmtId="0" fontId="21" fillId="4" borderId="54" xfId="0" quotePrefix="1" applyNumberFormat="1" applyFont="1" applyFill="1" applyBorder="1" applyAlignment="1">
      <alignment horizontal="left" vertical="center" wrapText="1"/>
    </xf>
    <xf numFmtId="166" fontId="21" fillId="4" borderId="57" xfId="2" applyNumberFormat="1" applyFont="1" applyFill="1" applyBorder="1" applyAlignment="1">
      <alignment horizontal="right" vertical="center"/>
    </xf>
    <xf numFmtId="0" fontId="0" fillId="0" borderId="0" xfId="0" applyNumberFormat="1" applyFont="1"/>
    <xf numFmtId="0" fontId="0" fillId="0" borderId="0" xfId="0" applyNumberFormat="1" applyFont="1" applyAlignment="1">
      <alignment horizontal="right"/>
    </xf>
    <xf numFmtId="0" fontId="13" fillId="0" borderId="0" xfId="0" applyNumberFormat="1" applyFont="1" applyBorder="1" applyAlignment="1">
      <alignment horizontal="right"/>
    </xf>
    <xf numFmtId="0" fontId="0" fillId="0" borderId="0" xfId="0" applyNumberFormat="1" applyFont="1" applyBorder="1" applyAlignment="1">
      <alignment horizontal="right"/>
    </xf>
    <xf numFmtId="2" fontId="0" fillId="0" borderId="0" xfId="0" applyNumberFormat="1" applyFont="1" applyAlignment="1">
      <alignment horizontal="right"/>
    </xf>
    <xf numFmtId="20" fontId="2" fillId="3" borderId="58" xfId="0" applyNumberFormat="1" applyFont="1" applyFill="1" applyBorder="1" applyAlignment="1">
      <alignment horizontal="center" vertical="center" wrapText="1"/>
    </xf>
    <xf numFmtId="0" fontId="0" fillId="0" borderId="0" xfId="0" applyFont="1" applyAlignment="1">
      <alignment horizontal="right"/>
    </xf>
    <xf numFmtId="0" fontId="10" fillId="2" borderId="0" xfId="0" quotePrefix="1" applyNumberFormat="1" applyFont="1" applyFill="1" applyBorder="1" applyAlignment="1">
      <alignment horizontal="left" vertical="center"/>
    </xf>
    <xf numFmtId="0" fontId="23" fillId="2" borderId="0" xfId="0" quotePrefix="1" applyNumberFormat="1" applyFont="1" applyFill="1" applyBorder="1" applyAlignment="1">
      <alignment horizontal="left" vertical="top"/>
    </xf>
    <xf numFmtId="0" fontId="23" fillId="2" borderId="0" xfId="0" applyNumberFormat="1" applyFont="1" applyFill="1" applyAlignment="1">
      <alignment vertical="center"/>
    </xf>
    <xf numFmtId="0" fontId="1" fillId="0" borderId="0" xfId="0" applyNumberFormat="1" applyFont="1" applyFill="1"/>
    <xf numFmtId="0" fontId="1" fillId="0" borderId="0" xfId="0" applyNumberFormat="1" applyFont="1" applyFill="1" applyAlignment="1">
      <alignment vertical="center"/>
    </xf>
    <xf numFmtId="2" fontId="27" fillId="2" borderId="82" xfId="0" applyNumberFormat="1" applyFont="1" applyFill="1" applyBorder="1" applyAlignment="1">
      <alignment horizontal="center" vertical="center" wrapText="1"/>
    </xf>
    <xf numFmtId="43" fontId="13" fillId="0" borderId="88" xfId="1" applyFont="1" applyBorder="1" applyAlignment="1">
      <alignment vertical="center" wrapText="1"/>
    </xf>
    <xf numFmtId="0" fontId="13" fillId="2" borderId="88" xfId="0" applyFont="1" applyFill="1" applyBorder="1" applyAlignment="1">
      <alignment vertical="center" wrapText="1"/>
    </xf>
    <xf numFmtId="43" fontId="13" fillId="2" borderId="88" xfId="1" applyFont="1" applyFill="1" applyBorder="1" applyAlignment="1">
      <alignment vertical="center" wrapText="1"/>
    </xf>
    <xf numFmtId="43" fontId="13" fillId="0" borderId="88" xfId="1" applyFont="1" applyFill="1" applyBorder="1" applyAlignment="1">
      <alignment vertical="center" wrapText="1"/>
    </xf>
    <xf numFmtId="0" fontId="13" fillId="0" borderId="88" xfId="0" applyFont="1" applyFill="1" applyBorder="1" applyAlignment="1">
      <alignment vertical="center" wrapText="1"/>
    </xf>
    <xf numFmtId="0" fontId="2" fillId="3" borderId="86" xfId="0" quotePrefix="1" applyNumberFormat="1" applyFont="1" applyFill="1" applyBorder="1" applyAlignment="1">
      <alignment horizontal="center" vertical="center" wrapText="1"/>
    </xf>
    <xf numFmtId="0" fontId="2" fillId="3" borderId="87" xfId="0" applyFont="1" applyFill="1" applyBorder="1" applyAlignment="1">
      <alignment horizontal="center" vertical="center" wrapText="1"/>
    </xf>
    <xf numFmtId="166" fontId="13" fillId="0" borderId="88" xfId="2" applyNumberFormat="1" applyFont="1" applyBorder="1" applyAlignment="1">
      <alignment horizontal="center" vertical="center"/>
    </xf>
    <xf numFmtId="166" fontId="21" fillId="7" borderId="88" xfId="2" applyNumberFormat="1" applyFont="1" applyFill="1" applyBorder="1" applyAlignment="1">
      <alignment horizontal="center" vertical="center"/>
    </xf>
    <xf numFmtId="0" fontId="38" fillId="2" borderId="0" xfId="0" applyNumberFormat="1" applyFont="1" applyFill="1" applyBorder="1" applyAlignment="1"/>
    <xf numFmtId="0" fontId="38" fillId="2" borderId="0" xfId="0" applyNumberFormat="1" applyFont="1" applyFill="1" applyBorder="1"/>
    <xf numFmtId="4" fontId="0" fillId="0" borderId="70" xfId="0" applyNumberFormat="1" applyFont="1" applyBorder="1" applyAlignment="1">
      <alignment horizontal="right" vertical="center"/>
    </xf>
    <xf numFmtId="0" fontId="13" fillId="0" borderId="88" xfId="0" applyFont="1" applyBorder="1" applyAlignment="1">
      <alignment horizontal="left" vertical="center"/>
    </xf>
    <xf numFmtId="0" fontId="34" fillId="2" borderId="0" xfId="0" applyNumberFormat="1" applyFont="1" applyFill="1" applyAlignment="1"/>
    <xf numFmtId="0" fontId="33" fillId="9" borderId="103" xfId="5" applyFont="1" applyFill="1" applyBorder="1" applyAlignment="1">
      <alignment horizontal="center" vertical="center"/>
    </xf>
    <xf numFmtId="0" fontId="31" fillId="0" borderId="106" xfId="0" applyNumberFormat="1" applyFont="1" applyFill="1" applyBorder="1"/>
    <xf numFmtId="43" fontId="31" fillId="0" borderId="106" xfId="1" applyFont="1" applyFill="1" applyBorder="1"/>
    <xf numFmtId="43" fontId="31" fillId="0" borderId="107" xfId="1" applyFont="1" applyFill="1" applyBorder="1"/>
    <xf numFmtId="0" fontId="41" fillId="0" borderId="108" xfId="0" applyFont="1" applyBorder="1"/>
    <xf numFmtId="0" fontId="31" fillId="0" borderId="0" xfId="0" applyNumberFormat="1" applyFont="1" applyFill="1" applyBorder="1"/>
    <xf numFmtId="43" fontId="31" fillId="0" borderId="0" xfId="1" applyFont="1" applyFill="1" applyBorder="1"/>
    <xf numFmtId="43" fontId="31" fillId="0" borderId="109" xfId="1" applyFont="1" applyFill="1" applyBorder="1"/>
    <xf numFmtId="0" fontId="41" fillId="0" borderId="110" xfId="0" applyFont="1" applyBorder="1"/>
    <xf numFmtId="0" fontId="41" fillId="0" borderId="111" xfId="0" applyFont="1" applyBorder="1"/>
    <xf numFmtId="0" fontId="41" fillId="7" borderId="112" xfId="0" applyFont="1" applyFill="1" applyBorder="1"/>
    <xf numFmtId="0" fontId="41" fillId="7" borderId="113" xfId="0" applyFont="1" applyFill="1" applyBorder="1"/>
    <xf numFmtId="43" fontId="41" fillId="7" borderId="113" xfId="1" applyFont="1" applyFill="1" applyBorder="1"/>
    <xf numFmtId="43" fontId="41" fillId="7" borderId="114" xfId="1" applyFont="1" applyFill="1" applyBorder="1"/>
    <xf numFmtId="0" fontId="21" fillId="2" borderId="0" xfId="0" quotePrefix="1" applyNumberFormat="1" applyFont="1" applyFill="1" applyAlignment="1">
      <alignment vertical="center"/>
    </xf>
    <xf numFmtId="17" fontId="33" fillId="9" borderId="117" xfId="0" applyNumberFormat="1" applyFont="1" applyFill="1" applyBorder="1" applyAlignment="1">
      <alignment horizontal="center" vertical="center"/>
    </xf>
    <xf numFmtId="0" fontId="33" fillId="9" borderId="119" xfId="5" applyFont="1" applyFill="1" applyBorder="1" applyAlignment="1">
      <alignment horizontal="center" vertical="center"/>
    </xf>
    <xf numFmtId="0" fontId="33" fillId="9" borderId="121" xfId="5" applyFont="1" applyFill="1" applyBorder="1" applyAlignment="1">
      <alignment horizontal="center" vertical="center"/>
    </xf>
    <xf numFmtId="0" fontId="33" fillId="9" borderId="122" xfId="5" applyFont="1" applyFill="1" applyBorder="1" applyAlignment="1">
      <alignment horizontal="center" vertical="center"/>
    </xf>
    <xf numFmtId="0" fontId="33" fillId="9" borderId="123" xfId="0" applyNumberFormat="1" applyFont="1" applyFill="1" applyBorder="1" applyAlignment="1">
      <alignment vertical="center"/>
    </xf>
    <xf numFmtId="0" fontId="42" fillId="9" borderId="124" xfId="0" applyNumberFormat="1" applyFont="1" applyFill="1" applyBorder="1" applyAlignment="1">
      <alignment vertical="center"/>
    </xf>
    <xf numFmtId="4" fontId="33" fillId="9" borderId="58" xfId="0" applyNumberFormat="1" applyFont="1" applyFill="1" applyBorder="1" applyAlignment="1">
      <alignment vertical="center"/>
    </xf>
    <xf numFmtId="4" fontId="42" fillId="9" borderId="58" xfId="0" applyNumberFormat="1" applyFont="1" applyFill="1" applyBorder="1" applyAlignment="1">
      <alignment vertical="center"/>
    </xf>
    <xf numFmtId="0" fontId="42" fillId="9" borderId="123" xfId="0" applyNumberFormat="1" applyFont="1" applyFill="1" applyBorder="1" applyAlignment="1">
      <alignment vertical="center"/>
    </xf>
    <xf numFmtId="0" fontId="33" fillId="9" borderId="125" xfId="0" applyNumberFormat="1" applyFont="1" applyFill="1" applyBorder="1" applyAlignment="1">
      <alignment vertical="center"/>
    </xf>
    <xf numFmtId="4" fontId="33" fillId="9" borderId="125" xfId="0" applyNumberFormat="1" applyFont="1" applyFill="1" applyBorder="1" applyAlignment="1">
      <alignment vertical="center"/>
    </xf>
    <xf numFmtId="4" fontId="42" fillId="9" borderId="124" xfId="0" applyNumberFormat="1" applyFont="1" applyFill="1" applyBorder="1" applyAlignment="1">
      <alignment vertical="center"/>
    </xf>
    <xf numFmtId="0" fontId="42" fillId="9" borderId="126" xfId="0" applyNumberFormat="1" applyFont="1" applyFill="1" applyBorder="1" applyAlignment="1">
      <alignment vertical="center"/>
    </xf>
    <xf numFmtId="0" fontId="42" fillId="9" borderId="127" xfId="0" applyNumberFormat="1" applyFont="1" applyFill="1" applyBorder="1" applyAlignment="1">
      <alignment vertical="center"/>
    </xf>
    <xf numFmtId="4" fontId="42" fillId="9" borderId="127" xfId="0" applyNumberFormat="1" applyFont="1" applyFill="1" applyBorder="1" applyAlignment="1">
      <alignment vertical="center"/>
    </xf>
    <xf numFmtId="4" fontId="42" fillId="9" borderId="128" xfId="0" applyNumberFormat="1" applyFont="1" applyFill="1" applyBorder="1" applyAlignment="1">
      <alignment vertical="center"/>
    </xf>
    <xf numFmtId="0" fontId="31" fillId="0" borderId="0" xfId="0" applyFont="1" applyFill="1"/>
    <xf numFmtId="0" fontId="31" fillId="0" borderId="0" xfId="0" applyFont="1"/>
    <xf numFmtId="0" fontId="34" fillId="0" borderId="0" xfId="0" applyNumberFormat="1" applyFont="1" applyFill="1" applyAlignment="1">
      <alignment vertical="center"/>
    </xf>
    <xf numFmtId="0" fontId="33" fillId="10" borderId="130" xfId="6" applyNumberFormat="1" applyFont="1" applyFill="1" applyBorder="1" applyAlignment="1">
      <alignment horizontal="center" vertical="center" wrapText="1"/>
    </xf>
    <xf numFmtId="0" fontId="34" fillId="0" borderId="0" xfId="0" applyNumberFormat="1" applyFont="1" applyFill="1" applyAlignment="1">
      <alignment horizontal="center"/>
    </xf>
    <xf numFmtId="0" fontId="34" fillId="0" borderId="0" xfId="0" applyFont="1" applyFill="1" applyBorder="1" applyAlignment="1">
      <alignment vertical="center"/>
    </xf>
    <xf numFmtId="0" fontId="34" fillId="0" borderId="0" xfId="0" applyNumberFormat="1" applyFont="1" applyFill="1" applyAlignment="1">
      <alignment vertical="center" wrapText="1"/>
    </xf>
    <xf numFmtId="0" fontId="34" fillId="0" borderId="0" xfId="0" applyNumberFormat="1" applyFont="1" applyFill="1" applyAlignment="1">
      <alignment horizontal="left" vertical="center" wrapText="1"/>
    </xf>
    <xf numFmtId="49" fontId="27" fillId="0" borderId="0" xfId="0" applyNumberFormat="1" applyFont="1" applyFill="1" applyBorder="1" applyAlignment="1">
      <alignment horizontal="right"/>
    </xf>
    <xf numFmtId="1" fontId="27" fillId="0" borderId="0" xfId="0" applyNumberFormat="1" applyFont="1" applyFill="1" applyBorder="1" applyAlignment="1">
      <alignment horizontal="right"/>
    </xf>
    <xf numFmtId="1" fontId="27" fillId="0" borderId="0" xfId="0" applyNumberFormat="1" applyFont="1" applyFill="1" applyBorder="1" applyAlignment="1">
      <alignment horizontal="center"/>
    </xf>
    <xf numFmtId="164" fontId="27" fillId="0" borderId="0" xfId="0" applyNumberFormat="1" applyFont="1" applyFill="1" applyBorder="1" applyAlignment="1">
      <alignment horizontal="center"/>
    </xf>
    <xf numFmtId="2" fontId="34" fillId="0" borderId="0" xfId="0" applyNumberFormat="1" applyFont="1" applyFill="1" applyAlignment="1">
      <alignment vertical="center" wrapText="1"/>
    </xf>
    <xf numFmtId="0" fontId="31" fillId="0" borderId="0" xfId="0" applyFont="1" applyFill="1" applyBorder="1" applyAlignment="1">
      <alignment horizontal="center"/>
    </xf>
    <xf numFmtId="0" fontId="31" fillId="0" borderId="0" xfId="0" applyFont="1" applyFill="1" applyBorder="1"/>
    <xf numFmtId="0" fontId="27" fillId="0" borderId="0" xfId="0" applyNumberFormat="1" applyFont="1" applyFill="1" applyAlignment="1">
      <alignment vertical="center"/>
    </xf>
    <xf numFmtId="0" fontId="27" fillId="0" borderId="0" xfId="0" quotePrefix="1" applyNumberFormat="1" applyFont="1" applyFill="1" applyBorder="1" applyAlignment="1">
      <alignment horizontal="left" vertical="top"/>
    </xf>
    <xf numFmtId="43" fontId="41" fillId="7" borderId="113" xfId="0" applyNumberFormat="1" applyFont="1" applyFill="1" applyBorder="1"/>
    <xf numFmtId="0" fontId="31" fillId="0" borderId="0" xfId="0" applyNumberFormat="1" applyFont="1" applyBorder="1"/>
    <xf numFmtId="43" fontId="31" fillId="0" borderId="0" xfId="0" applyNumberFormat="1" applyFont="1" applyBorder="1"/>
    <xf numFmtId="10" fontId="31" fillId="0" borderId="109" xfId="2" applyNumberFormat="1" applyFont="1" applyBorder="1"/>
    <xf numFmtId="10" fontId="41" fillId="7" borderId="114" xfId="2" applyNumberFormat="1" applyFont="1" applyFill="1" applyBorder="1"/>
    <xf numFmtId="0" fontId="31" fillId="0" borderId="106" xfId="0" applyNumberFormat="1" applyFont="1" applyBorder="1"/>
    <xf numFmtId="43" fontId="31" fillId="0" borderId="106" xfId="0" applyNumberFormat="1" applyFont="1" applyBorder="1"/>
    <xf numFmtId="17" fontId="33" fillId="10" borderId="46" xfId="6" quotePrefix="1" applyNumberFormat="1" applyFont="1" applyFill="1" applyBorder="1" applyAlignment="1">
      <alignment horizontal="center" vertical="center" wrapText="1"/>
    </xf>
    <xf numFmtId="0" fontId="33" fillId="10" borderId="46" xfId="6" quotePrefix="1" applyNumberFormat="1" applyFont="1" applyFill="1" applyBorder="1" applyAlignment="1">
      <alignment horizontal="center" vertical="center" wrapText="1"/>
    </xf>
    <xf numFmtId="0" fontId="33" fillId="10" borderId="46" xfId="6" applyNumberFormat="1" applyFont="1" applyFill="1" applyBorder="1" applyAlignment="1">
      <alignment horizontal="center" vertical="center" wrapText="1"/>
    </xf>
    <xf numFmtId="14" fontId="33" fillId="10" borderId="46" xfId="6" applyNumberFormat="1" applyFont="1" applyFill="1" applyBorder="1" applyAlignment="1">
      <alignment horizontal="center" vertical="center"/>
    </xf>
    <xf numFmtId="0" fontId="33" fillId="10" borderId="130" xfId="6" applyNumberFormat="1" applyFont="1" applyFill="1" applyBorder="1" applyAlignment="1">
      <alignment horizontal="center" vertical="center"/>
    </xf>
    <xf numFmtId="20" fontId="33" fillId="10" borderId="132" xfId="6" applyNumberFormat="1" applyFont="1" applyFill="1" applyBorder="1" applyAlignment="1">
      <alignment horizontal="center" vertical="center"/>
    </xf>
    <xf numFmtId="0" fontId="33" fillId="10" borderId="133" xfId="6" applyNumberFormat="1" applyFont="1" applyFill="1" applyBorder="1" applyAlignment="1">
      <alignment horizontal="center" vertical="center"/>
    </xf>
    <xf numFmtId="173" fontId="43" fillId="9" borderId="137" xfId="0" applyNumberFormat="1" applyFont="1" applyFill="1" applyBorder="1" applyAlignment="1">
      <alignment horizontal="center" vertical="center"/>
    </xf>
    <xf numFmtId="173" fontId="43" fillId="9" borderId="137" xfId="0" applyNumberFormat="1" applyFont="1" applyFill="1" applyBorder="1" applyAlignment="1">
      <alignment horizontal="center" vertical="center" wrapText="1"/>
    </xf>
    <xf numFmtId="4" fontId="27" fillId="0" borderId="137" xfId="0" applyNumberFormat="1" applyFont="1" applyBorder="1" applyAlignment="1">
      <alignment vertical="center"/>
    </xf>
    <xf numFmtId="4" fontId="27" fillId="0" borderId="137" xfId="0" applyNumberFormat="1" applyFont="1" applyBorder="1"/>
    <xf numFmtId="4" fontId="27" fillId="7" borderId="137" xfId="0" applyNumberFormat="1" applyFont="1" applyFill="1" applyBorder="1"/>
    <xf numFmtId="173" fontId="0" fillId="0" borderId="0" xfId="0" applyNumberFormat="1" applyFont="1"/>
    <xf numFmtId="0" fontId="3" fillId="0" borderId="0" xfId="0" applyNumberFormat="1" applyFont="1"/>
    <xf numFmtId="0" fontId="4" fillId="0" borderId="0" xfId="0" applyNumberFormat="1" applyFont="1"/>
    <xf numFmtId="0" fontId="34" fillId="2" borderId="0" xfId="0" applyNumberFormat="1" applyFont="1" applyFill="1" applyAlignment="1">
      <alignment horizontal="left" vertical="center"/>
    </xf>
    <xf numFmtId="0" fontId="34" fillId="2" borderId="0" xfId="0" applyNumberFormat="1" applyFont="1" applyFill="1" applyAlignment="1">
      <alignment vertical="center"/>
    </xf>
    <xf numFmtId="0" fontId="31" fillId="0" borderId="0" xfId="0" applyFont="1" applyFill="1" applyAlignment="1">
      <alignment vertical="center"/>
    </xf>
    <xf numFmtId="0" fontId="34" fillId="0" borderId="0" xfId="0" applyNumberFormat="1" applyFont="1" applyFill="1" applyAlignment="1">
      <alignment horizontal="center" vertical="center"/>
    </xf>
    <xf numFmtId="49" fontId="27" fillId="0" borderId="0" xfId="0" applyNumberFormat="1" applyFont="1" applyFill="1" applyBorder="1" applyAlignment="1">
      <alignment horizontal="right" vertical="center"/>
    </xf>
    <xf numFmtId="1" fontId="27" fillId="0" borderId="0" xfId="0" applyNumberFormat="1" applyFont="1" applyFill="1" applyBorder="1" applyAlignment="1">
      <alignment horizontal="right" vertical="center"/>
    </xf>
    <xf numFmtId="49"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64" fontId="27" fillId="0" borderId="0" xfId="0" applyNumberFormat="1" applyFont="1" applyFill="1" applyBorder="1" applyAlignment="1">
      <alignment horizontal="center" vertical="center"/>
    </xf>
    <xf numFmtId="0" fontId="31" fillId="0" borderId="0" xfId="0" applyFont="1" applyFill="1" applyBorder="1" applyAlignment="1">
      <alignment horizontal="center" vertical="center"/>
    </xf>
    <xf numFmtId="0" fontId="31" fillId="0" borderId="0" xfId="0" applyFont="1" applyFill="1" applyBorder="1" applyAlignment="1">
      <alignment vertical="center"/>
    </xf>
    <xf numFmtId="0" fontId="31" fillId="0" borderId="0" xfId="0" applyFont="1" applyAlignment="1">
      <alignment vertical="center"/>
    </xf>
    <xf numFmtId="0" fontId="31" fillId="0" borderId="0" xfId="0" applyFont="1" applyFill="1" applyAlignment="1">
      <alignment horizontal="center" vertical="center"/>
    </xf>
    <xf numFmtId="0" fontId="37" fillId="9" borderId="82" xfId="0" applyFont="1" applyFill="1" applyBorder="1" applyAlignment="1">
      <alignment horizontal="center" vertical="center"/>
    </xf>
    <xf numFmtId="43" fontId="37" fillId="9" borderId="82" xfId="1" applyFont="1" applyFill="1" applyBorder="1" applyAlignment="1">
      <alignment horizontal="center" vertical="center"/>
    </xf>
    <xf numFmtId="4" fontId="37" fillId="9" borderId="82" xfId="0" applyNumberFormat="1" applyFont="1" applyFill="1" applyBorder="1" applyAlignment="1">
      <alignment horizontal="center" vertical="center"/>
    </xf>
    <xf numFmtId="0" fontId="37" fillId="9" borderId="82" xfId="0" applyNumberFormat="1" applyFont="1" applyFill="1" applyBorder="1" applyAlignment="1">
      <alignment horizontal="center" vertical="center" wrapText="1"/>
    </xf>
    <xf numFmtId="22" fontId="32" fillId="0" borderId="82" xfId="0" applyNumberFormat="1" applyFont="1" applyFill="1" applyBorder="1" applyAlignment="1">
      <alignment horizontal="center" vertical="center"/>
    </xf>
    <xf numFmtId="0" fontId="32" fillId="0" borderId="82" xfId="0" applyNumberFormat="1" applyFont="1" applyFill="1" applyBorder="1" applyAlignment="1">
      <alignment vertical="center" wrapText="1"/>
    </xf>
    <xf numFmtId="22" fontId="32" fillId="0" borderId="82" xfId="0" applyNumberFormat="1" applyFont="1" applyFill="1" applyBorder="1" applyAlignment="1">
      <alignment horizontal="center" vertical="center" wrapText="1"/>
    </xf>
    <xf numFmtId="0" fontId="32" fillId="0" borderId="82" xfId="0" applyNumberFormat="1" applyFont="1" applyFill="1" applyBorder="1" applyAlignment="1">
      <alignment horizontal="center" vertical="center" wrapText="1"/>
    </xf>
    <xf numFmtId="0" fontId="32" fillId="0" borderId="82" xfId="0" applyNumberFormat="1" applyFont="1" applyFill="1" applyBorder="1" applyAlignment="1">
      <alignment horizontal="center" vertical="center"/>
    </xf>
    <xf numFmtId="0" fontId="13" fillId="0" borderId="0" xfId="0" applyFont="1" applyFill="1" applyAlignment="1"/>
    <xf numFmtId="43" fontId="13" fillId="0" borderId="0" xfId="1" applyFont="1" applyFill="1" applyAlignment="1"/>
    <xf numFmtId="0" fontId="44" fillId="0" borderId="0" xfId="0" applyFont="1" applyFill="1" applyAlignment="1"/>
    <xf numFmtId="0" fontId="45" fillId="0" borderId="0" xfId="0" applyFont="1" applyFill="1" applyBorder="1" applyAlignment="1">
      <alignment vertical="center"/>
    </xf>
    <xf numFmtId="0" fontId="46" fillId="0" borderId="0" xfId="0" applyFont="1" applyFill="1" applyAlignment="1">
      <alignment vertical="center"/>
    </xf>
    <xf numFmtId="0" fontId="45" fillId="0" borderId="0" xfId="0" applyNumberFormat="1" applyFont="1" applyFill="1" applyBorder="1" applyAlignment="1">
      <alignment vertical="center"/>
    </xf>
    <xf numFmtId="0" fontId="47" fillId="0" borderId="0" xfId="0" applyFont="1" applyFill="1" applyBorder="1" applyAlignment="1">
      <alignment vertical="center"/>
    </xf>
    <xf numFmtId="0" fontId="45" fillId="0" borderId="0" xfId="0" applyFont="1" applyFill="1" applyBorder="1" applyAlignment="1">
      <alignment horizontal="center" vertical="center"/>
    </xf>
    <xf numFmtId="0" fontId="47" fillId="0" borderId="0" xfId="0" applyFont="1" applyFill="1" applyBorder="1" applyAlignment="1">
      <alignment horizontal="justify" vertical="center"/>
    </xf>
    <xf numFmtId="0" fontId="48" fillId="0" borderId="0" xfId="0" applyFont="1" applyFill="1" applyBorder="1" applyAlignment="1">
      <alignment vertical="center"/>
    </xf>
    <xf numFmtId="0" fontId="46" fillId="0" borderId="0" xfId="0" applyFont="1"/>
    <xf numFmtId="0" fontId="49" fillId="0" borderId="0" xfId="0" applyFont="1" applyFill="1" applyBorder="1"/>
    <xf numFmtId="0" fontId="49" fillId="0" borderId="0" xfId="0" applyFont="1"/>
    <xf numFmtId="2" fontId="49" fillId="0" borderId="0" xfId="0" applyNumberFormat="1" applyFont="1" applyFill="1" applyBorder="1" applyAlignment="1">
      <alignment horizontal="center" vertical="center" wrapText="1"/>
    </xf>
    <xf numFmtId="2" fontId="49" fillId="0" borderId="0" xfId="0" quotePrefix="1" applyNumberFormat="1" applyFont="1" applyFill="1" applyBorder="1" applyAlignment="1">
      <alignment horizontal="center" vertical="center" wrapText="1"/>
    </xf>
    <xf numFmtId="0" fontId="49" fillId="0" borderId="0" xfId="0" quotePrefix="1" applyNumberFormat="1" applyFont="1" applyFill="1" applyBorder="1" applyAlignment="1">
      <alignment horizontal="center" vertical="center" wrapText="1"/>
    </xf>
    <xf numFmtId="2" fontId="49" fillId="0" borderId="0" xfId="0" applyNumberFormat="1" applyFont="1" applyFill="1" applyBorder="1" applyAlignment="1">
      <alignment horizontal="left"/>
    </xf>
    <xf numFmtId="2" fontId="49" fillId="0" borderId="0" xfId="0" applyNumberFormat="1" applyFont="1" applyFill="1" applyBorder="1" applyAlignment="1">
      <alignment horizontal="center"/>
    </xf>
    <xf numFmtId="2" fontId="50" fillId="0" borderId="0" xfId="0" applyNumberFormat="1" applyFont="1" applyFill="1" applyBorder="1" applyAlignment="1">
      <alignment horizontal="center"/>
    </xf>
    <xf numFmtId="43" fontId="49" fillId="0" borderId="0" xfId="1" applyFont="1" applyFill="1" applyBorder="1" applyAlignment="1">
      <alignment horizontal="center"/>
    </xf>
    <xf numFmtId="165" fontId="50" fillId="0" borderId="0" xfId="0" applyNumberFormat="1" applyFont="1" applyFill="1" applyBorder="1" applyAlignment="1">
      <alignment horizontal="center"/>
    </xf>
    <xf numFmtId="0" fontId="49" fillId="0" borderId="0" xfId="0" applyNumberFormat="1" applyFont="1" applyFill="1" applyBorder="1" applyAlignment="1">
      <alignment vertical="top" wrapText="1"/>
    </xf>
    <xf numFmtId="17" fontId="49" fillId="0" borderId="0" xfId="0" quotePrefix="1" applyNumberFormat="1" applyFont="1" applyFill="1" applyBorder="1" applyAlignment="1">
      <alignment horizontal="center" vertical="center" wrapText="1"/>
    </xf>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NumberFormat="1" applyFont="1" applyFill="1" applyBorder="1" applyAlignment="1">
      <alignment horizontal="left" vertical="top"/>
    </xf>
    <xf numFmtId="0" fontId="2" fillId="3" borderId="139" xfId="0" quotePrefix="1" applyNumberFormat="1" applyFont="1" applyFill="1" applyBorder="1" applyAlignment="1">
      <alignment horizontal="left" vertical="center"/>
    </xf>
    <xf numFmtId="167" fontId="2" fillId="3" borderId="140" xfId="0" applyNumberFormat="1" applyFont="1" applyFill="1" applyBorder="1" applyAlignment="1">
      <alignment horizontal="right" vertical="center"/>
    </xf>
    <xf numFmtId="167" fontId="2" fillId="3" borderId="140" xfId="0" applyNumberFormat="1" applyFont="1" applyFill="1" applyBorder="1" applyAlignment="1">
      <alignment horizontal="left" vertical="center"/>
    </xf>
    <xf numFmtId="0" fontId="2" fillId="3" borderId="140" xfId="2" applyNumberFormat="1" applyFont="1" applyFill="1" applyBorder="1" applyAlignment="1">
      <alignment horizontal="left" vertical="center"/>
    </xf>
    <xf numFmtId="0" fontId="2" fillId="3" borderId="141" xfId="2" applyNumberFormat="1" applyFont="1" applyFill="1" applyBorder="1" applyAlignment="1">
      <alignment horizontal="center" vertical="center"/>
    </xf>
    <xf numFmtId="0" fontId="51" fillId="0" borderId="0" xfId="0" applyFont="1"/>
    <xf numFmtId="0" fontId="51" fillId="0" borderId="0" xfId="0" applyFont="1" applyAlignment="1">
      <alignment horizontal="center"/>
    </xf>
    <xf numFmtId="165" fontId="51" fillId="0" borderId="0" xfId="0" applyNumberFormat="1" applyFont="1"/>
    <xf numFmtId="0" fontId="21" fillId="2" borderId="0" xfId="0" quotePrefix="1" applyNumberFormat="1" applyFont="1" applyFill="1" applyBorder="1" applyAlignment="1">
      <alignment horizontal="left" vertical="top"/>
    </xf>
    <xf numFmtId="0" fontId="13" fillId="2" borderId="0" xfId="0" applyNumberFormat="1" applyFont="1" applyFill="1" applyBorder="1" applyAlignment="1">
      <alignment vertical="top"/>
    </xf>
    <xf numFmtId="0" fontId="21" fillId="2" borderId="0" xfId="0" applyNumberFormat="1" applyFont="1" applyFill="1" applyBorder="1" applyAlignment="1"/>
    <xf numFmtId="17" fontId="21" fillId="2" borderId="0" xfId="0" quotePrefix="1" applyNumberFormat="1" applyFont="1" applyFill="1" applyBorder="1" applyAlignment="1">
      <alignment horizontal="center"/>
    </xf>
    <xf numFmtId="17" fontId="13" fillId="2" borderId="0" xfId="0" applyNumberFormat="1" applyFont="1" applyFill="1" applyBorder="1" applyAlignment="1">
      <alignment horizontal="centerContinuous"/>
    </xf>
    <xf numFmtId="0" fontId="21" fillId="2" borderId="0" xfId="0" applyNumberFormat="1" applyFont="1" applyFill="1" applyBorder="1" applyAlignment="1">
      <alignment horizontal="centerContinuous"/>
    </xf>
    <xf numFmtId="0" fontId="13" fillId="2" borderId="0" xfId="0" applyNumberFormat="1" applyFont="1" applyFill="1" applyBorder="1" applyAlignment="1">
      <alignment horizontal="centerContinuous"/>
    </xf>
    <xf numFmtId="0" fontId="13" fillId="2" borderId="0" xfId="0" applyNumberFormat="1" applyFont="1" applyFill="1" applyBorder="1" applyAlignment="1">
      <alignment horizontal="left"/>
    </xf>
    <xf numFmtId="0" fontId="5" fillId="2" borderId="0" xfId="0" applyNumberFormat="1" applyFont="1" applyFill="1" applyBorder="1" applyAlignment="1">
      <alignment vertical="top"/>
    </xf>
    <xf numFmtId="0" fontId="5" fillId="2" borderId="0" xfId="0" quotePrefix="1" applyNumberFormat="1" applyFont="1" applyFill="1" applyBorder="1" applyAlignment="1">
      <alignment horizontal="right" vertical="top"/>
    </xf>
    <xf numFmtId="0" fontId="53" fillId="0" borderId="0" xfId="0" applyFont="1" applyFill="1" applyBorder="1" applyAlignment="1">
      <alignment vertical="center"/>
    </xf>
    <xf numFmtId="0" fontId="54" fillId="0" borderId="0" xfId="0" applyFont="1" applyFill="1" applyAlignment="1">
      <alignment vertical="center"/>
    </xf>
    <xf numFmtId="0" fontId="53" fillId="0" borderId="0" xfId="0" applyNumberFormat="1" applyFont="1" applyFill="1" applyBorder="1" applyAlignment="1">
      <alignment vertical="center"/>
    </xf>
    <xf numFmtId="0" fontId="54" fillId="0" borderId="0" xfId="0" applyFont="1" applyFill="1" applyBorder="1" applyAlignment="1">
      <alignment vertical="center"/>
    </xf>
    <xf numFmtId="0" fontId="55" fillId="0" borderId="0" xfId="0" applyFont="1" applyFill="1" applyBorder="1" applyAlignment="1">
      <alignment vertical="center"/>
    </xf>
    <xf numFmtId="0" fontId="55" fillId="0" borderId="0" xfId="0" applyFont="1" applyFill="1" applyBorder="1" applyAlignment="1">
      <alignment horizontal="right" vertical="center"/>
    </xf>
    <xf numFmtId="0" fontId="53" fillId="0" borderId="0" xfId="0" applyFont="1" applyFill="1" applyBorder="1" applyAlignment="1">
      <alignment horizontal="center" vertical="center"/>
    </xf>
    <xf numFmtId="0" fontId="55" fillId="0" borderId="0" xfId="0" applyFont="1" applyFill="1" applyBorder="1" applyAlignment="1">
      <alignment horizontal="justify" vertical="center"/>
    </xf>
    <xf numFmtId="17" fontId="56" fillId="0" borderId="0" xfId="0" applyNumberFormat="1" applyFont="1" applyFill="1" applyBorder="1" applyAlignment="1">
      <alignment vertical="center"/>
    </xf>
    <xf numFmtId="2" fontId="56" fillId="0" borderId="0" xfId="0" applyNumberFormat="1" applyFont="1" applyFill="1" applyBorder="1" applyAlignment="1">
      <alignment vertical="center"/>
    </xf>
    <xf numFmtId="0" fontId="56" fillId="0" borderId="0" xfId="0" quotePrefix="1" applyNumberFormat="1" applyFont="1" applyFill="1" applyBorder="1" applyAlignment="1">
      <alignment vertical="center" wrapText="1"/>
    </xf>
    <xf numFmtId="2" fontId="56" fillId="0" borderId="0" xfId="0" quotePrefix="1" applyNumberFormat="1" applyFont="1" applyFill="1" applyBorder="1" applyAlignment="1">
      <alignment vertical="center" wrapText="1"/>
    </xf>
    <xf numFmtId="0" fontId="56" fillId="0" borderId="0" xfId="0" applyFont="1" applyFill="1" applyBorder="1" applyAlignment="1">
      <alignment vertical="center"/>
    </xf>
    <xf numFmtId="0" fontId="56" fillId="0" borderId="0" xfId="0" applyFont="1" applyFill="1" applyAlignment="1">
      <alignment vertical="center"/>
    </xf>
    <xf numFmtId="169" fontId="3" fillId="5" borderId="38" xfId="0" applyNumberFormat="1" applyFont="1" applyFill="1" applyBorder="1" applyAlignment="1">
      <alignment horizontal="center" vertical="center"/>
    </xf>
    <xf numFmtId="169" fontId="3" fillId="5" borderId="40" xfId="0" applyNumberFormat="1" applyFont="1" applyFill="1" applyBorder="1" applyAlignment="1">
      <alignment horizontal="center" vertical="center"/>
    </xf>
    <xf numFmtId="166" fontId="21" fillId="5" borderId="23" xfId="2" applyNumberFormat="1" applyFont="1" applyFill="1" applyBorder="1" applyAlignment="1">
      <alignment horizontal="center" vertical="center"/>
    </xf>
    <xf numFmtId="14" fontId="53" fillId="0" borderId="0" xfId="0" applyNumberFormat="1" applyFont="1" applyFill="1" applyBorder="1" applyAlignment="1">
      <alignment vertical="center"/>
    </xf>
    <xf numFmtId="0" fontId="54" fillId="0" borderId="0" xfId="0" applyFont="1" applyAlignment="1">
      <alignment vertical="center"/>
    </xf>
    <xf numFmtId="0" fontId="52" fillId="0" borderId="0" xfId="0" applyFont="1" applyBorder="1" applyAlignment="1">
      <alignment vertical="center"/>
    </xf>
    <xf numFmtId="1" fontId="57" fillId="0" borderId="0" xfId="0" applyNumberFormat="1" applyFont="1" applyFill="1" applyBorder="1" applyAlignment="1">
      <alignment horizontal="center" vertical="center"/>
    </xf>
    <xf numFmtId="170" fontId="58" fillId="8" borderId="0" xfId="3" applyFont="1" applyFill="1" applyBorder="1"/>
    <xf numFmtId="0" fontId="54" fillId="0" borderId="0" xfId="0" applyNumberFormat="1" applyFont="1" applyFill="1"/>
    <xf numFmtId="1" fontId="59" fillId="0" borderId="0" xfId="3" applyNumberFormat="1" applyFont="1" applyFill="1" applyBorder="1" applyAlignment="1">
      <alignment horizontal="center"/>
    </xf>
    <xf numFmtId="171" fontId="59" fillId="0" borderId="0" xfId="3" applyNumberFormat="1" applyFont="1" applyBorder="1" applyAlignment="1">
      <alignment horizontal="center"/>
    </xf>
    <xf numFmtId="2" fontId="60" fillId="0" borderId="0" xfId="3" applyNumberFormat="1" applyFont="1" applyFill="1"/>
    <xf numFmtId="0" fontId="54" fillId="0" borderId="0" xfId="0" applyNumberFormat="1" applyFont="1" applyFill="1" applyAlignment="1">
      <alignment vertical="center"/>
    </xf>
    <xf numFmtId="164" fontId="57" fillId="0" borderId="0" xfId="0" applyNumberFormat="1" applyFont="1" applyFill="1" applyBorder="1" applyAlignment="1">
      <alignment horizontal="right" vertical="center"/>
    </xf>
    <xf numFmtId="165" fontId="57" fillId="0" borderId="0" xfId="0" applyNumberFormat="1" applyFont="1" applyFill="1" applyBorder="1" applyAlignment="1">
      <alignment horizontal="right" vertical="center"/>
    </xf>
    <xf numFmtId="166" fontId="57" fillId="0" borderId="0" xfId="2" applyNumberFormat="1" applyFont="1" applyFill="1" applyBorder="1" applyAlignment="1">
      <alignment horizontal="right" vertical="center"/>
    </xf>
    <xf numFmtId="2" fontId="60" fillId="2" borderId="0" xfId="3" applyNumberFormat="1" applyFont="1" applyFill="1"/>
    <xf numFmtId="0" fontId="57" fillId="0" borderId="0" xfId="0" applyFont="1" applyBorder="1" applyAlignment="1">
      <alignment vertical="center"/>
    </xf>
    <xf numFmtId="0" fontId="57" fillId="0" borderId="0" xfId="0" applyFont="1" applyAlignment="1">
      <alignment vertical="center"/>
    </xf>
    <xf numFmtId="2" fontId="61" fillId="0" borderId="0" xfId="0" applyNumberFormat="1" applyFont="1"/>
    <xf numFmtId="2" fontId="60" fillId="0" borderId="0" xfId="3" applyNumberFormat="1" applyFont="1" applyFill="1" applyAlignment="1">
      <alignment horizontal="center"/>
    </xf>
    <xf numFmtId="0" fontId="62" fillId="0" borderId="0" xfId="0" applyFont="1" applyBorder="1" applyAlignment="1">
      <alignment vertical="center"/>
    </xf>
    <xf numFmtId="49" fontId="32" fillId="0" borderId="0" xfId="0" applyNumberFormat="1" applyFont="1" applyFill="1" applyBorder="1" applyAlignment="1">
      <alignment horizontal="center"/>
    </xf>
    <xf numFmtId="0" fontId="32" fillId="0" borderId="0" xfId="0" applyFont="1"/>
    <xf numFmtId="1" fontId="0" fillId="0" borderId="0" xfId="0" applyNumberFormat="1" applyFont="1" applyFill="1" applyBorder="1"/>
    <xf numFmtId="1" fontId="32" fillId="0" borderId="0" xfId="0" applyNumberFormat="1" applyFont="1" applyFill="1" applyBorder="1" applyAlignment="1">
      <alignment horizontal="right"/>
    </xf>
    <xf numFmtId="0" fontId="32" fillId="0" borderId="0" xfId="0" applyFont="1" applyAlignment="1">
      <alignment horizontal="right"/>
    </xf>
    <xf numFmtId="164" fontId="0" fillId="0" borderId="0" xfId="0" applyNumberFormat="1" applyFont="1" applyFill="1" applyBorder="1" applyAlignment="1">
      <alignment horizontal="right"/>
    </xf>
    <xf numFmtId="49" fontId="32" fillId="0" borderId="0" xfId="0" applyNumberFormat="1" applyFont="1" applyBorder="1" applyAlignment="1">
      <alignment horizontal="right"/>
    </xf>
    <xf numFmtId="49" fontId="32" fillId="0" borderId="0" xfId="0" applyNumberFormat="1" applyFont="1" applyFill="1" applyBorder="1" applyAlignment="1">
      <alignment horizontal="right"/>
    </xf>
    <xf numFmtId="164" fontId="32" fillId="0" borderId="0" xfId="0" applyNumberFormat="1" applyFont="1" applyFill="1" applyBorder="1" applyAlignment="1">
      <alignment horizontal="right"/>
    </xf>
    <xf numFmtId="166" fontId="0" fillId="0" borderId="0" xfId="2" applyNumberFormat="1" applyFont="1" applyFill="1" applyBorder="1" applyAlignment="1">
      <alignment horizontal="right"/>
    </xf>
    <xf numFmtId="0" fontId="32" fillId="0" borderId="0" xfId="0" applyFont="1" applyBorder="1" applyAlignment="1">
      <alignment horizontal="right"/>
    </xf>
    <xf numFmtId="165" fontId="0" fillId="0" borderId="0" xfId="0" applyNumberFormat="1" applyFont="1" applyFill="1" applyBorder="1" applyAlignment="1">
      <alignment horizontal="right"/>
    </xf>
    <xf numFmtId="14" fontId="27" fillId="0" borderId="137" xfId="0" applyNumberFormat="1" applyFont="1" applyBorder="1"/>
    <xf numFmtId="20" fontId="27" fillId="0" borderId="137" xfId="0" applyNumberFormat="1" applyFont="1" applyBorder="1" applyAlignment="1">
      <alignment horizontal="center" vertical="center"/>
    </xf>
    <xf numFmtId="20" fontId="27" fillId="0" borderId="137" xfId="0" applyNumberFormat="1" applyFont="1" applyBorder="1" applyAlignment="1">
      <alignment horizontal="center"/>
    </xf>
    <xf numFmtId="14" fontId="0" fillId="0" borderId="0" xfId="0" applyNumberFormat="1" applyFont="1"/>
    <xf numFmtId="20" fontId="0" fillId="0" borderId="0" xfId="0" applyNumberFormat="1" applyFont="1"/>
    <xf numFmtId="0" fontId="63" fillId="0" borderId="0" xfId="0" applyFont="1" applyFill="1" applyBorder="1" applyAlignment="1">
      <alignment vertical="center"/>
    </xf>
    <xf numFmtId="0" fontId="63" fillId="0" borderId="0" xfId="0" quotePrefix="1" applyNumberFormat="1" applyFont="1" applyFill="1" applyBorder="1" applyAlignment="1">
      <alignment vertical="center" wrapText="1"/>
    </xf>
    <xf numFmtId="0" fontId="63" fillId="0" borderId="0" xfId="0" applyNumberFormat="1" applyFont="1" applyFill="1" applyBorder="1" applyAlignment="1">
      <alignment vertical="center"/>
    </xf>
    <xf numFmtId="0" fontId="63" fillId="0" borderId="0" xfId="0" applyFont="1" applyFill="1" applyAlignment="1">
      <alignment vertical="center"/>
    </xf>
    <xf numFmtId="43" fontId="13" fillId="0" borderId="10" xfId="1" applyNumberFormat="1" applyFont="1" applyFill="1" applyBorder="1" applyAlignment="1">
      <alignment horizontal="right" vertical="center"/>
    </xf>
    <xf numFmtId="43" fontId="13" fillId="4" borderId="0" xfId="1" applyNumberFormat="1" applyFont="1" applyFill="1" applyBorder="1" applyAlignment="1">
      <alignment horizontal="right" vertical="center"/>
    </xf>
    <xf numFmtId="43" fontId="13" fillId="0" borderId="0" xfId="1" applyNumberFormat="1" applyFont="1" applyFill="1" applyBorder="1" applyAlignment="1">
      <alignment horizontal="right" vertical="center"/>
    </xf>
    <xf numFmtId="43" fontId="21" fillId="0" borderId="36" xfId="0" applyNumberFormat="1" applyFont="1" applyFill="1" applyBorder="1" applyAlignment="1">
      <alignment horizontal="right" vertical="center"/>
    </xf>
    <xf numFmtId="2" fontId="0" fillId="4" borderId="10" xfId="0" applyNumberFormat="1" applyFon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NumberFormat="1" applyFont="1" applyFill="1" applyBorder="1" applyAlignment="1">
      <alignment horizontal="right" vertical="center"/>
    </xf>
    <xf numFmtId="43" fontId="13" fillId="0" borderId="11" xfId="1" applyNumberFormat="1" applyFont="1" applyFill="1" applyBorder="1" applyAlignment="1">
      <alignment horizontal="right" vertical="center"/>
    </xf>
    <xf numFmtId="43" fontId="13" fillId="4" borderId="12" xfId="1" applyNumberFormat="1" applyFont="1" applyFill="1" applyBorder="1" applyAlignment="1">
      <alignment horizontal="right" vertical="center"/>
    </xf>
    <xf numFmtId="43" fontId="13" fillId="4" borderId="13" xfId="1" applyNumberFormat="1" applyFont="1" applyFill="1" applyBorder="1" applyAlignment="1">
      <alignment horizontal="right" vertical="center"/>
    </xf>
    <xf numFmtId="43" fontId="13" fillId="0" borderId="12" xfId="1" applyNumberFormat="1" applyFont="1" applyFill="1" applyBorder="1" applyAlignment="1">
      <alignment horizontal="right" vertical="center"/>
    </xf>
    <xf numFmtId="43" fontId="13" fillId="0" borderId="13" xfId="1" applyNumberFormat="1" applyFont="1" applyFill="1" applyBorder="1" applyAlignment="1">
      <alignment horizontal="right" vertical="center"/>
    </xf>
    <xf numFmtId="43" fontId="21" fillId="0" borderId="35" xfId="0" applyNumberFormat="1" applyFont="1" applyFill="1" applyBorder="1" applyAlignment="1">
      <alignment horizontal="right" vertical="center"/>
    </xf>
    <xf numFmtId="43" fontId="21" fillId="0" borderId="37" xfId="0" applyNumberFormat="1" applyFont="1" applyFill="1" applyBorder="1" applyAlignment="1">
      <alignment horizontal="right" vertical="center"/>
    </xf>
    <xf numFmtId="43" fontId="0" fillId="0" borderId="9" xfId="1" applyNumberFormat="1" applyFont="1" applyFill="1" applyBorder="1" applyAlignment="1">
      <alignment horizontal="right" vertical="center"/>
    </xf>
    <xf numFmtId="43" fontId="0" fillId="4" borderId="12" xfId="1" applyNumberFormat="1" applyFont="1" applyFill="1" applyBorder="1" applyAlignment="1">
      <alignment horizontal="right" vertical="center"/>
    </xf>
    <xf numFmtId="43" fontId="0" fillId="0" borderId="12" xfId="1" applyNumberFormat="1" applyFont="1" applyFill="1" applyBorder="1" applyAlignment="1">
      <alignment horizontal="right" vertical="center"/>
    </xf>
    <xf numFmtId="2" fontId="13" fillId="0" borderId="27" xfId="0" applyNumberFormat="1" applyFont="1" applyFill="1" applyBorder="1" applyAlignment="1">
      <alignment horizontal="right"/>
    </xf>
    <xf numFmtId="2" fontId="13" fillId="0" borderId="28" xfId="0" applyNumberFormat="1" applyFont="1" applyFill="1" applyBorder="1" applyAlignment="1">
      <alignment horizontal="right"/>
    </xf>
    <xf numFmtId="2" fontId="13" fillId="0" borderId="29" xfId="0" applyNumberFormat="1" applyFont="1" applyFill="1" applyBorder="1" applyAlignment="1">
      <alignment horizontal="right"/>
    </xf>
    <xf numFmtId="2" fontId="13" fillId="4" borderId="30" xfId="0" applyNumberFormat="1" applyFont="1" applyFill="1" applyBorder="1" applyAlignment="1">
      <alignment horizontal="right" vertical="center"/>
    </xf>
    <xf numFmtId="2" fontId="13" fillId="4" borderId="0" xfId="0" applyNumberFormat="1" applyFont="1" applyFill="1" applyBorder="1" applyAlignment="1">
      <alignment horizontal="right" vertical="center"/>
    </xf>
    <xf numFmtId="2" fontId="13" fillId="4" borderId="31" xfId="0" applyNumberFormat="1" applyFont="1" applyFill="1" applyBorder="1" applyAlignment="1">
      <alignment horizontal="right" vertical="center"/>
    </xf>
    <xf numFmtId="2" fontId="13" fillId="0" borderId="30" xfId="0" applyNumberFormat="1" applyFont="1" applyFill="1" applyBorder="1" applyAlignment="1">
      <alignment horizontal="right"/>
    </xf>
    <xf numFmtId="2" fontId="13" fillId="0" borderId="0" xfId="0" applyNumberFormat="1" applyFont="1" applyFill="1" applyBorder="1" applyAlignment="1">
      <alignment horizontal="right"/>
    </xf>
    <xf numFmtId="2" fontId="13" fillId="0" borderId="31" xfId="0" applyNumberFormat="1" applyFont="1" applyFill="1" applyBorder="1" applyAlignment="1">
      <alignment horizontal="right"/>
    </xf>
    <xf numFmtId="2" fontId="13" fillId="0" borderId="32" xfId="0" applyNumberFormat="1" applyFont="1" applyFill="1" applyBorder="1" applyAlignment="1">
      <alignment horizontal="right"/>
    </xf>
    <xf numFmtId="2" fontId="13" fillId="0" borderId="33" xfId="0" applyNumberFormat="1" applyFont="1" applyFill="1" applyBorder="1" applyAlignment="1">
      <alignment horizontal="right"/>
    </xf>
    <xf numFmtId="2" fontId="13" fillId="0" borderId="34" xfId="0" applyNumberFormat="1" applyFont="1" applyFill="1" applyBorder="1" applyAlignment="1">
      <alignment horizontal="right"/>
    </xf>
    <xf numFmtId="2" fontId="21" fillId="0" borderId="38" xfId="0" applyNumberFormat="1" applyFont="1" applyFill="1" applyBorder="1" applyAlignment="1">
      <alignment horizontal="right" vertical="center"/>
    </xf>
    <xf numFmtId="2" fontId="21" fillId="0" borderId="39" xfId="0" applyNumberFormat="1" applyFont="1" applyFill="1" applyBorder="1" applyAlignment="1">
      <alignment horizontal="right" vertical="center"/>
    </xf>
    <xf numFmtId="2" fontId="3" fillId="0" borderId="40" xfId="0" applyNumberFormat="1" applyFont="1" applyFill="1" applyBorder="1" applyAlignment="1">
      <alignment horizontal="right" vertical="center"/>
    </xf>
    <xf numFmtId="2" fontId="3" fillId="0" borderId="38" xfId="0" applyNumberFormat="1" applyFont="1" applyFill="1" applyBorder="1" applyAlignment="1">
      <alignment horizontal="right" vertical="center"/>
    </xf>
    <xf numFmtId="10" fontId="0" fillId="0" borderId="0" xfId="2" applyNumberFormat="1" applyFont="1"/>
    <xf numFmtId="0" fontId="4" fillId="2" borderId="0" xfId="0" applyNumberFormat="1" applyFont="1" applyFill="1" applyAlignment="1">
      <alignment horizontal="center"/>
    </xf>
    <xf numFmtId="175" fontId="21" fillId="4" borderId="57" xfId="2" applyNumberFormat="1" applyFont="1" applyFill="1" applyBorder="1" applyAlignment="1">
      <alignment horizontal="right" vertical="center"/>
    </xf>
    <xf numFmtId="43" fontId="31" fillId="0" borderId="106" xfId="1" applyNumberFormat="1" applyFont="1" applyFill="1" applyBorder="1"/>
    <xf numFmtId="43" fontId="41" fillId="7" borderId="113" xfId="1" applyNumberFormat="1" applyFont="1" applyFill="1" applyBorder="1"/>
    <xf numFmtId="43" fontId="31" fillId="0" borderId="0" xfId="1" applyNumberFormat="1" applyFont="1" applyFill="1" applyBorder="1"/>
    <xf numFmtId="43" fontId="0" fillId="0" borderId="0" xfId="0" applyNumberFormat="1" applyFont="1" applyFill="1"/>
    <xf numFmtId="0" fontId="21" fillId="0" borderId="106" xfId="0" applyNumberFormat="1" applyFont="1" applyFill="1" applyBorder="1" applyAlignment="1">
      <alignment vertical="center" wrapText="1"/>
    </xf>
    <xf numFmtId="0" fontId="41" fillId="0" borderId="0" xfId="0" applyFont="1" applyBorder="1"/>
    <xf numFmtId="0" fontId="41" fillId="0" borderId="106" xfId="0" applyFont="1" applyBorder="1"/>
    <xf numFmtId="0" fontId="0" fillId="0" borderId="0" xfId="0" applyFont="1" applyFill="1" applyBorder="1"/>
    <xf numFmtId="0" fontId="42" fillId="9" borderId="125" xfId="0" applyNumberFormat="1" applyFont="1" applyFill="1" applyBorder="1" applyAlignment="1">
      <alignment vertical="center"/>
    </xf>
    <xf numFmtId="9" fontId="31" fillId="0" borderId="107" xfId="2" applyFont="1" applyBorder="1"/>
    <xf numFmtId="10" fontId="33" fillId="9" borderId="58" xfId="2" applyNumberFormat="1" applyFont="1" applyFill="1" applyBorder="1" applyAlignment="1">
      <alignment vertical="center"/>
    </xf>
    <xf numFmtId="10" fontId="42" fillId="9" borderId="58" xfId="2" applyNumberFormat="1" applyFont="1" applyFill="1" applyBorder="1" applyAlignment="1">
      <alignment vertical="center"/>
    </xf>
    <xf numFmtId="0" fontId="64" fillId="0" borderId="0" xfId="0" applyFont="1"/>
    <xf numFmtId="170" fontId="65" fillId="8" borderId="0" xfId="3" applyFont="1" applyFill="1" applyBorder="1"/>
    <xf numFmtId="0" fontId="64" fillId="0" borderId="0" xfId="0" applyNumberFormat="1" applyFont="1" applyFill="1"/>
    <xf numFmtId="171" fontId="65" fillId="8" borderId="0" xfId="3" applyNumberFormat="1" applyFont="1" applyFill="1" applyBorder="1"/>
    <xf numFmtId="1" fontId="66" fillId="0" borderId="0" xfId="3" applyNumberFormat="1" applyFont="1" applyFill="1" applyBorder="1" applyAlignment="1">
      <alignment horizontal="center"/>
    </xf>
    <xf numFmtId="171" fontId="66" fillId="0" borderId="0" xfId="3" applyNumberFormat="1" applyFont="1" applyBorder="1" applyAlignment="1">
      <alignment horizontal="center"/>
    </xf>
    <xf numFmtId="2" fontId="67" fillId="0" borderId="0" xfId="3" applyNumberFormat="1" applyFont="1" applyFill="1"/>
    <xf numFmtId="2" fontId="67" fillId="0" borderId="0" xfId="3" applyNumberFormat="1" applyFont="1" applyFill="1" applyAlignment="1">
      <alignment horizontal="center"/>
    </xf>
    <xf numFmtId="2" fontId="67" fillId="0" borderId="0" xfId="3" applyNumberFormat="1" applyFont="1" applyBorder="1"/>
    <xf numFmtId="2" fontId="67" fillId="0" borderId="0" xfId="3" applyNumberFormat="1" applyFont="1"/>
    <xf numFmtId="2" fontId="67" fillId="0" borderId="0" xfId="3" applyNumberFormat="1" applyFont="1" applyAlignment="1">
      <alignment horizontal="center"/>
    </xf>
    <xf numFmtId="0" fontId="64" fillId="0" borderId="0" xfId="0" applyNumberFormat="1" applyFont="1" applyFill="1" applyAlignment="1">
      <alignment vertical="center"/>
    </xf>
    <xf numFmtId="2" fontId="67" fillId="2" borderId="0" xfId="3" applyNumberFormat="1" applyFont="1" applyFill="1"/>
    <xf numFmtId="2" fontId="68" fillId="0" borderId="0" xfId="0" applyNumberFormat="1" applyFont="1"/>
    <xf numFmtId="2" fontId="69" fillId="0" borderId="0" xfId="4" applyNumberFormat="1" applyFont="1"/>
    <xf numFmtId="2" fontId="54" fillId="0" borderId="0" xfId="0" applyNumberFormat="1" applyFont="1" applyFill="1" applyAlignment="1">
      <alignment vertical="center"/>
    </xf>
    <xf numFmtId="2" fontId="55" fillId="0" borderId="0" xfId="0" applyNumberFormat="1" applyFont="1" applyFill="1" applyBorder="1" applyAlignment="1">
      <alignment vertical="center"/>
    </xf>
    <xf numFmtId="0" fontId="70" fillId="0" borderId="82" xfId="0" applyFont="1" applyFill="1" applyBorder="1" applyAlignment="1">
      <alignment vertical="center" wrapText="1"/>
    </xf>
    <xf numFmtId="22" fontId="70" fillId="0" borderId="82" xfId="0" applyNumberFormat="1" applyFont="1" applyFill="1" applyBorder="1" applyAlignment="1">
      <alignment horizontal="center" vertical="center"/>
    </xf>
    <xf numFmtId="0" fontId="70" fillId="0" borderId="82" xfId="0" applyFont="1" applyFill="1" applyBorder="1" applyAlignment="1">
      <alignment horizontal="justify" vertical="center"/>
    </xf>
    <xf numFmtId="0" fontId="70" fillId="0" borderId="82" xfId="0" applyFont="1" applyFill="1" applyBorder="1" applyAlignment="1">
      <alignment horizontal="center" vertical="center"/>
    </xf>
    <xf numFmtId="0" fontId="70" fillId="0" borderId="82" xfId="0" applyNumberFormat="1" applyFont="1" applyFill="1" applyBorder="1" applyAlignment="1">
      <alignment vertical="center" wrapText="1"/>
    </xf>
    <xf numFmtId="22" fontId="70" fillId="0" borderId="82" xfId="0" applyNumberFormat="1" applyFont="1" applyFill="1" applyBorder="1" applyAlignment="1">
      <alignment horizontal="center" vertical="center" wrapText="1"/>
    </xf>
    <xf numFmtId="0" fontId="70" fillId="0" borderId="82" xfId="0" applyNumberFormat="1" applyFont="1" applyFill="1" applyBorder="1" applyAlignment="1">
      <alignment horizontal="justify" vertical="center" wrapText="1"/>
    </xf>
    <xf numFmtId="0" fontId="70" fillId="0" borderId="82" xfId="0" applyNumberFormat="1" applyFont="1" applyFill="1" applyBorder="1" applyAlignment="1">
      <alignment horizontal="center" vertical="center" wrapText="1"/>
    </xf>
    <xf numFmtId="0" fontId="70" fillId="0" borderId="82" xfId="0" applyNumberFormat="1" applyFont="1" applyFill="1" applyBorder="1" applyAlignment="1">
      <alignment horizontal="justify" vertical="center"/>
    </xf>
    <xf numFmtId="43" fontId="37" fillId="3" borderId="79" xfId="1" applyFont="1" applyFill="1" applyBorder="1" applyAlignment="1">
      <alignment horizontal="center" vertical="center" wrapText="1"/>
    </xf>
    <xf numFmtId="0" fontId="37" fillId="3" borderId="80" xfId="0" applyNumberFormat="1" applyFont="1" applyFill="1" applyBorder="1" applyAlignment="1">
      <alignment horizontal="center" vertical="center" wrapText="1"/>
    </xf>
    <xf numFmtId="0" fontId="37" fillId="3" borderId="81" xfId="0" applyNumberFormat="1" applyFont="1" applyFill="1" applyBorder="1" applyAlignment="1">
      <alignment horizontal="center" vertical="center" wrapText="1"/>
    </xf>
    <xf numFmtId="0" fontId="37" fillId="3" borderId="82" xfId="0" applyNumberFormat="1" applyFont="1" applyFill="1" applyBorder="1" applyAlignment="1">
      <alignment vertical="center" wrapText="1"/>
    </xf>
    <xf numFmtId="0" fontId="37" fillId="3" borderId="83" xfId="0" applyNumberFormat="1" applyFont="1" applyFill="1" applyBorder="1" applyAlignment="1">
      <alignment horizontal="center" vertical="center" wrapText="1"/>
    </xf>
    <xf numFmtId="0" fontId="37" fillId="3" borderId="84" xfId="0" applyNumberFormat="1" applyFont="1" applyFill="1" applyBorder="1" applyAlignment="1">
      <alignment vertical="center" wrapText="1"/>
    </xf>
    <xf numFmtId="0" fontId="23" fillId="2" borderId="0" xfId="0" applyNumberFormat="1" applyFont="1" applyFill="1" applyBorder="1" applyAlignment="1">
      <alignment horizontal="left" vertical="center" wrapText="1"/>
    </xf>
    <xf numFmtId="0" fontId="13" fillId="2" borderId="0" xfId="0" applyNumberFormat="1" applyFont="1" applyFill="1" applyBorder="1" applyAlignment="1">
      <alignment horizontal="left" vertical="center" wrapText="1"/>
    </xf>
    <xf numFmtId="0" fontId="33" fillId="3" borderId="46" xfId="0" applyFont="1" applyFill="1" applyBorder="1" applyAlignment="1">
      <alignment vertical="center"/>
    </xf>
    <xf numFmtId="169" fontId="33" fillId="3" borderId="46" xfId="0" applyNumberFormat="1" applyFont="1" applyFill="1" applyBorder="1" applyAlignment="1">
      <alignment vertical="center"/>
    </xf>
    <xf numFmtId="10" fontId="33" fillId="3" borderId="46" xfId="2" applyNumberFormat="1" applyFont="1" applyFill="1" applyBorder="1" applyAlignment="1">
      <alignment vertical="center"/>
    </xf>
    <xf numFmtId="0" fontId="27" fillId="0" borderId="63" xfId="0" applyNumberFormat="1" applyFont="1" applyFill="1" applyBorder="1" applyAlignment="1">
      <alignment vertical="center"/>
    </xf>
    <xf numFmtId="165" fontId="27" fillId="0" borderId="63" xfId="0" applyNumberFormat="1" applyFont="1" applyFill="1" applyBorder="1" applyAlignment="1">
      <alignment vertical="center"/>
    </xf>
    <xf numFmtId="0" fontId="33" fillId="3" borderId="0" xfId="0" applyFont="1" applyFill="1" applyBorder="1" applyAlignment="1">
      <alignment vertical="center"/>
    </xf>
    <xf numFmtId="4" fontId="33" fillId="3" borderId="0" xfId="0" applyNumberFormat="1" applyFont="1" applyFill="1" applyBorder="1" applyAlignment="1">
      <alignment vertical="center"/>
    </xf>
    <xf numFmtId="10" fontId="33" fillId="3" borderId="0" xfId="2" applyNumberFormat="1" applyFont="1" applyFill="1" applyBorder="1" applyAlignment="1">
      <alignment vertical="center"/>
    </xf>
    <xf numFmtId="0" fontId="27" fillId="2" borderId="62" xfId="0" applyFont="1" applyFill="1" applyBorder="1" applyAlignment="1">
      <alignment vertical="center"/>
    </xf>
    <xf numFmtId="169" fontId="27" fillId="2" borderId="62" xfId="0" applyNumberFormat="1" applyFont="1" applyFill="1" applyBorder="1" applyAlignment="1">
      <alignment vertical="center"/>
    </xf>
    <xf numFmtId="166" fontId="34" fillId="2" borderId="62" xfId="2" applyNumberFormat="1" applyFont="1" applyFill="1" applyBorder="1" applyAlignment="1">
      <alignment vertical="center"/>
    </xf>
    <xf numFmtId="0" fontId="27" fillId="4" borderId="63" xfId="0" applyFont="1" applyFill="1" applyBorder="1" applyAlignment="1">
      <alignment vertical="center"/>
    </xf>
    <xf numFmtId="169" fontId="27" fillId="4" borderId="63" xfId="0" applyNumberFormat="1" applyFont="1" applyFill="1" applyBorder="1" applyAlignment="1">
      <alignment vertical="center"/>
    </xf>
    <xf numFmtId="166" fontId="34" fillId="4" borderId="63" xfId="2" applyNumberFormat="1" applyFont="1" applyFill="1" applyBorder="1" applyAlignment="1">
      <alignment vertical="center"/>
    </xf>
    <xf numFmtId="0" fontId="27" fillId="2" borderId="63" xfId="0" applyFont="1" applyFill="1" applyBorder="1" applyAlignment="1">
      <alignment vertical="center"/>
    </xf>
    <xf numFmtId="169" fontId="27" fillId="2" borderId="63" xfId="0" applyNumberFormat="1" applyFont="1" applyFill="1" applyBorder="1" applyAlignment="1">
      <alignment vertical="center"/>
    </xf>
    <xf numFmtId="166" fontId="34" fillId="2" borderId="63" xfId="2" applyNumberFormat="1" applyFont="1" applyFill="1" applyBorder="1" applyAlignment="1">
      <alignment vertical="center"/>
    </xf>
    <xf numFmtId="0" fontId="27" fillId="2" borderId="64" xfId="0" applyFont="1" applyFill="1" applyBorder="1" applyAlignment="1">
      <alignment vertical="center"/>
    </xf>
    <xf numFmtId="169" fontId="27" fillId="2" borderId="64" xfId="0" applyNumberFormat="1" applyFont="1" applyFill="1" applyBorder="1" applyAlignment="1">
      <alignment vertical="center"/>
    </xf>
    <xf numFmtId="166" fontId="34" fillId="2" borderId="64" xfId="2" applyNumberFormat="1" applyFont="1" applyFill="1" applyBorder="1" applyAlignment="1">
      <alignment vertical="center"/>
    </xf>
    <xf numFmtId="0" fontId="27" fillId="4" borderId="65" xfId="0" applyFont="1" applyFill="1" applyBorder="1" applyAlignment="1">
      <alignment vertical="center"/>
    </xf>
    <xf numFmtId="169" fontId="27" fillId="4" borderId="65" xfId="0" applyNumberFormat="1" applyFont="1" applyFill="1" applyBorder="1" applyAlignment="1">
      <alignment vertical="center"/>
    </xf>
    <xf numFmtId="166" fontId="34" fillId="4" borderId="65" xfId="2" applyNumberFormat="1" applyFont="1" applyFill="1" applyBorder="1" applyAlignment="1">
      <alignment vertical="center"/>
    </xf>
    <xf numFmtId="0" fontId="27" fillId="2" borderId="65" xfId="0" applyFont="1" applyFill="1" applyBorder="1" applyAlignment="1">
      <alignment vertical="center"/>
    </xf>
    <xf numFmtId="169" fontId="27" fillId="2" borderId="65" xfId="0" applyNumberFormat="1" applyFont="1" applyFill="1" applyBorder="1" applyAlignment="1">
      <alignment vertical="center"/>
    </xf>
    <xf numFmtId="166" fontId="34" fillId="2" borderId="65" xfId="2" applyNumberFormat="1" applyFont="1" applyFill="1" applyBorder="1" applyAlignment="1">
      <alignment vertical="center"/>
    </xf>
    <xf numFmtId="0" fontId="27" fillId="4" borderId="142" xfId="0" applyFont="1" applyFill="1" applyBorder="1" applyAlignment="1">
      <alignment vertical="center"/>
    </xf>
    <xf numFmtId="169" fontId="27" fillId="4" borderId="142" xfId="0" applyNumberFormat="1" applyFont="1" applyFill="1" applyBorder="1" applyAlignment="1">
      <alignment vertical="center"/>
    </xf>
    <xf numFmtId="166" fontId="34" fillId="4" borderId="142" xfId="2" applyNumberFormat="1" applyFont="1" applyFill="1" applyBorder="1" applyAlignment="1">
      <alignment vertical="center"/>
    </xf>
    <xf numFmtId="0" fontId="27" fillId="2" borderId="0" xfId="0" applyFont="1" applyFill="1" applyBorder="1" applyAlignment="1">
      <alignment vertical="center"/>
    </xf>
    <xf numFmtId="174" fontId="27" fillId="2" borderId="47" xfId="1" applyNumberFormat="1" applyFont="1" applyFill="1" applyBorder="1" applyAlignment="1">
      <alignment vertical="center"/>
    </xf>
    <xf numFmtId="169" fontId="27" fillId="2" borderId="47" xfId="0" applyNumberFormat="1" applyFont="1" applyFill="1" applyBorder="1" applyAlignment="1">
      <alignment vertical="center"/>
    </xf>
    <xf numFmtId="166" fontId="34" fillId="2" borderId="48" xfId="2" applyNumberFormat="1" applyFont="1" applyFill="1" applyBorder="1" applyAlignment="1">
      <alignment vertical="center"/>
    </xf>
    <xf numFmtId="0" fontId="27" fillId="4" borderId="0" xfId="0" applyFont="1" applyFill="1" applyBorder="1" applyAlignment="1">
      <alignment vertical="center"/>
    </xf>
    <xf numFmtId="169" fontId="27" fillId="4" borderId="47" xfId="0" applyNumberFormat="1" applyFont="1" applyFill="1" applyBorder="1" applyAlignment="1">
      <alignment vertical="center"/>
    </xf>
    <xf numFmtId="166" fontId="34" fillId="4" borderId="48" xfId="2" applyNumberFormat="1" applyFont="1" applyFill="1" applyBorder="1" applyAlignment="1">
      <alignment vertical="center"/>
    </xf>
    <xf numFmtId="166" fontId="41"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9" fontId="27" fillId="2" borderId="51" xfId="0" applyNumberFormat="1" applyFont="1" applyFill="1" applyBorder="1" applyAlignment="1">
      <alignment vertical="center"/>
    </xf>
    <xf numFmtId="166" fontId="34" fillId="2" borderId="52" xfId="2" applyNumberFormat="1" applyFont="1" applyFill="1" applyBorder="1" applyAlignment="1">
      <alignment vertical="center"/>
    </xf>
    <xf numFmtId="0" fontId="27" fillId="4" borderId="53" xfId="0" applyFont="1" applyFill="1" applyBorder="1" applyAlignment="1">
      <alignment vertical="center"/>
    </xf>
    <xf numFmtId="0" fontId="37" fillId="3" borderId="92" xfId="0" applyFont="1" applyFill="1" applyBorder="1" applyAlignment="1">
      <alignment horizontal="center" vertical="center" wrapText="1"/>
    </xf>
    <xf numFmtId="0" fontId="71" fillId="2" borderId="92" xfId="0" applyFont="1" applyFill="1" applyBorder="1" applyAlignment="1">
      <alignment vertical="center"/>
    </xf>
    <xf numFmtId="0" fontId="72" fillId="2" borderId="92" xfId="0" applyNumberFormat="1" applyFont="1" applyFill="1" applyBorder="1" applyAlignment="1">
      <alignment horizontal="center" vertical="center" wrapText="1"/>
    </xf>
    <xf numFmtId="0" fontId="72" fillId="2" borderId="92" xfId="0" applyNumberFormat="1" applyFont="1" applyFill="1" applyBorder="1" applyAlignment="1">
      <alignment horizontal="center" vertical="center"/>
    </xf>
    <xf numFmtId="0" fontId="72" fillId="2" borderId="92" xfId="2" applyNumberFormat="1" applyFont="1" applyFill="1" applyBorder="1" applyAlignment="1">
      <alignment horizontal="center" vertical="center"/>
    </xf>
    <xf numFmtId="0" fontId="71" fillId="0" borderId="92" xfId="0" applyNumberFormat="1" applyFont="1" applyFill="1" applyBorder="1" applyAlignment="1">
      <alignment horizontal="center" vertical="center"/>
    </xf>
    <xf numFmtId="4" fontId="72" fillId="0" borderId="92" xfId="0" applyNumberFormat="1" applyFont="1" applyFill="1" applyBorder="1" applyAlignment="1">
      <alignment horizontal="center" vertical="center"/>
    </xf>
    <xf numFmtId="0" fontId="71" fillId="4" borderId="92" xfId="0" applyFont="1" applyFill="1" applyBorder="1" applyAlignment="1">
      <alignment vertical="center"/>
    </xf>
    <xf numFmtId="0" fontId="72" fillId="4" borderId="92" xfId="0" applyNumberFormat="1" applyFont="1" applyFill="1" applyBorder="1" applyAlignment="1">
      <alignment horizontal="center" vertical="center"/>
    </xf>
    <xf numFmtId="0" fontId="72" fillId="4" borderId="92" xfId="2" applyNumberFormat="1" applyFont="1" applyFill="1" applyBorder="1" applyAlignment="1">
      <alignment horizontal="center" vertical="center"/>
    </xf>
    <xf numFmtId="0" fontId="71" fillId="4" borderId="92" xfId="0" applyNumberFormat="1" applyFont="1" applyFill="1" applyBorder="1" applyAlignment="1">
      <alignment horizontal="center" vertical="center"/>
    </xf>
    <xf numFmtId="4" fontId="72" fillId="4" borderId="92" xfId="0" applyNumberFormat="1" applyFont="1" applyFill="1" applyBorder="1" applyAlignment="1">
      <alignment horizontal="center" vertical="center"/>
    </xf>
    <xf numFmtId="0" fontId="12" fillId="0" borderId="0" xfId="0" applyFont="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left" vertical="center"/>
    </xf>
    <xf numFmtId="17" fontId="15" fillId="0" borderId="0" xfId="0" quotePrefix="1" applyNumberFormat="1"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Border="1" applyAlignment="1">
      <alignment horizontal="justify" vertical="justify" wrapText="1" readingOrder="1"/>
    </xf>
    <xf numFmtId="0" fontId="8" fillId="0" borderId="0" xfId="0" applyFont="1" applyFill="1" applyBorder="1" applyAlignment="1">
      <alignment horizontal="justify" vertical="justify" wrapText="1"/>
    </xf>
    <xf numFmtId="17" fontId="25" fillId="0" borderId="0" xfId="0" quotePrefix="1" applyNumberFormat="1" applyFont="1" applyFill="1" applyBorder="1" applyAlignment="1">
      <alignment horizontal="center" vertical="center"/>
    </xf>
    <xf numFmtId="0" fontId="21" fillId="5" borderId="38" xfId="0" applyNumberFormat="1" applyFont="1" applyFill="1" applyBorder="1" applyAlignment="1">
      <alignment horizontal="left" vertical="center"/>
    </xf>
    <xf numFmtId="0" fontId="21" fillId="5" borderId="40" xfId="0" applyNumberFormat="1" applyFont="1" applyFill="1" applyBorder="1" applyAlignment="1">
      <alignment horizontal="left" vertical="center"/>
    </xf>
    <xf numFmtId="0" fontId="2" fillId="3" borderId="0" xfId="0" applyNumberFormat="1" applyFont="1" applyFill="1" applyAlignment="1">
      <alignment horizontal="center" vertical="center" wrapText="1"/>
    </xf>
    <xf numFmtId="0" fontId="23" fillId="0" borderId="0" xfId="0" applyNumberFormat="1" applyFont="1" applyFill="1" applyAlignment="1">
      <alignment horizontal="left" wrapText="1"/>
    </xf>
    <xf numFmtId="0" fontId="12" fillId="2" borderId="0" xfId="0" applyNumberFormat="1" applyFont="1" applyFill="1" applyAlignment="1">
      <alignment horizontal="center" vertical="center" wrapText="1"/>
    </xf>
    <xf numFmtId="0" fontId="21" fillId="5" borderId="27" xfId="0" applyNumberFormat="1" applyFont="1" applyFill="1" applyBorder="1" applyAlignment="1">
      <alignment horizontal="left" vertical="center"/>
    </xf>
    <xf numFmtId="0" fontId="21" fillId="5" borderId="29" xfId="0" applyNumberFormat="1" applyFont="1" applyFill="1" applyBorder="1" applyAlignment="1">
      <alignment horizontal="left" vertical="center"/>
    </xf>
    <xf numFmtId="0" fontId="21" fillId="2" borderId="30" xfId="0" applyNumberFormat="1" applyFont="1" applyFill="1" applyBorder="1" applyAlignment="1">
      <alignment horizontal="left" vertical="center"/>
    </xf>
    <xf numFmtId="0" fontId="21" fillId="2" borderId="31" xfId="0" applyNumberFormat="1" applyFont="1" applyFill="1" applyBorder="1" applyAlignment="1">
      <alignment horizontal="left" vertical="center"/>
    </xf>
    <xf numFmtId="0" fontId="21" fillId="5" borderId="30" xfId="0" applyNumberFormat="1" applyFont="1" applyFill="1" applyBorder="1" applyAlignment="1">
      <alignment horizontal="left" vertical="center"/>
    </xf>
    <xf numFmtId="0" fontId="21" fillId="5" borderId="31" xfId="0" applyNumberFormat="1" applyFont="1" applyFill="1" applyBorder="1" applyAlignment="1">
      <alignment horizontal="left" vertical="center"/>
    </xf>
    <xf numFmtId="0" fontId="21" fillId="2" borderId="32" xfId="0" applyNumberFormat="1" applyFont="1" applyFill="1" applyBorder="1" applyAlignment="1">
      <alignment horizontal="left" vertical="center"/>
    </xf>
    <xf numFmtId="0" fontId="21" fillId="2" borderId="34" xfId="0" applyNumberFormat="1" applyFont="1" applyFill="1" applyBorder="1" applyAlignment="1">
      <alignment horizontal="left" vertical="center"/>
    </xf>
    <xf numFmtId="17"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2" fillId="3" borderId="17" xfId="0" quotePrefix="1" applyNumberFormat="1" applyFont="1" applyFill="1" applyBorder="1" applyAlignment="1">
      <alignment horizontal="left" vertical="center" wrapText="1"/>
    </xf>
    <xf numFmtId="0" fontId="2" fillId="3" borderId="20" xfId="0" quotePrefix="1" applyNumberFormat="1" applyFont="1" applyFill="1" applyBorder="1" applyAlignment="1">
      <alignment horizontal="left" vertical="center" wrapText="1"/>
    </xf>
    <xf numFmtId="0" fontId="12" fillId="0" borderId="0" xfId="0" applyNumberFormat="1" applyFont="1" applyFill="1" applyAlignment="1">
      <alignment horizontal="left" vertical="center"/>
    </xf>
    <xf numFmtId="0" fontId="4" fillId="0" borderId="0" xfId="0" quotePrefix="1" applyNumberFormat="1" applyFont="1" applyFill="1" applyBorder="1" applyAlignment="1">
      <alignment horizontal="left" vertical="center" wrapText="1"/>
    </xf>
    <xf numFmtId="43" fontId="2" fillId="3" borderId="18" xfId="1" applyFont="1" applyFill="1" applyBorder="1" applyAlignment="1">
      <alignment horizontal="center" vertical="center"/>
    </xf>
    <xf numFmtId="17" fontId="2" fillId="3" borderId="18" xfId="0" applyNumberFormat="1" applyFont="1" applyFill="1" applyBorder="1" applyAlignment="1">
      <alignment horizontal="center" vertical="center"/>
    </xf>
    <xf numFmtId="0" fontId="2" fillId="3" borderId="18" xfId="0" applyNumberFormat="1" applyFont="1" applyFill="1" applyBorder="1" applyAlignment="1">
      <alignment horizontal="center" vertical="center"/>
    </xf>
    <xf numFmtId="0" fontId="2" fillId="3" borderId="19" xfId="0" applyNumberFormat="1" applyFont="1" applyFill="1" applyBorder="1" applyAlignment="1">
      <alignment horizontal="center" vertical="center"/>
    </xf>
    <xf numFmtId="0" fontId="4" fillId="2" borderId="0" xfId="0" quotePrefix="1" applyNumberFormat="1" applyFont="1" applyFill="1" applyBorder="1" applyAlignment="1">
      <alignment horizontal="left" vertical="top" wrapText="1"/>
    </xf>
    <xf numFmtId="43" fontId="2" fillId="3" borderId="23" xfId="1" applyFont="1" applyFill="1" applyBorder="1" applyAlignment="1">
      <alignment horizontal="center" vertical="center"/>
    </xf>
    <xf numFmtId="17" fontId="2" fillId="3" borderId="23" xfId="0" applyNumberFormat="1" applyFont="1" applyFill="1" applyBorder="1" applyAlignment="1">
      <alignment horizontal="center" vertical="center"/>
    </xf>
    <xf numFmtId="0" fontId="2" fillId="3" borderId="23" xfId="0" applyNumberFormat="1" applyFont="1" applyFill="1" applyBorder="1" applyAlignment="1">
      <alignment horizontal="center" vertical="center"/>
    </xf>
    <xf numFmtId="0" fontId="2" fillId="3" borderId="23" xfId="0" quotePrefix="1" applyNumberFormat="1" applyFont="1" applyFill="1" applyBorder="1" applyAlignment="1">
      <alignment horizontal="left" vertical="center" wrapText="1"/>
    </xf>
    <xf numFmtId="0" fontId="23" fillId="2" borderId="0" xfId="0" applyNumberFormat="1" applyFont="1" applyFill="1" applyAlignment="1">
      <alignment horizontal="left" wrapText="1"/>
    </xf>
    <xf numFmtId="0" fontId="4" fillId="2" borderId="0" xfId="0" applyNumberFormat="1" applyFont="1" applyFill="1" applyAlignment="1">
      <alignment horizontal="left" vertical="center" wrapText="1"/>
    </xf>
    <xf numFmtId="0" fontId="27" fillId="2" borderId="0" xfId="0" quotePrefix="1" applyNumberFormat="1" applyFont="1" applyFill="1" applyBorder="1" applyAlignment="1">
      <alignment horizontal="justify" vertical="top" wrapText="1"/>
    </xf>
    <xf numFmtId="0" fontId="4" fillId="0" borderId="0" xfId="0" applyNumberFormat="1" applyFont="1" applyFill="1" applyAlignment="1">
      <alignment horizontal="left"/>
    </xf>
    <xf numFmtId="0" fontId="6" fillId="2" borderId="0" xfId="0" applyNumberFormat="1" applyFont="1" applyFill="1" applyBorder="1" applyAlignment="1">
      <alignment horizontal="center"/>
    </xf>
    <xf numFmtId="0" fontId="0" fillId="2" borderId="0" xfId="0" quotePrefix="1" applyNumberFormat="1" applyFont="1" applyFill="1" applyBorder="1" applyAlignment="1">
      <alignment horizontal="left" vertical="top"/>
    </xf>
    <xf numFmtId="0" fontId="0" fillId="2" borderId="0" xfId="0" quotePrefix="1" applyNumberFormat="1" applyFont="1" applyFill="1" applyBorder="1" applyAlignment="1">
      <alignment horizontal="left" vertical="top" wrapText="1"/>
    </xf>
    <xf numFmtId="0" fontId="2" fillId="6" borderId="46" xfId="0" applyFont="1" applyFill="1" applyBorder="1" applyAlignment="1">
      <alignment horizontal="left" vertical="center"/>
    </xf>
    <xf numFmtId="43" fontId="2" fillId="3" borderId="46" xfId="1" applyFont="1" applyFill="1" applyBorder="1" applyAlignment="1">
      <alignment horizontal="center" vertical="center"/>
    </xf>
    <xf numFmtId="0" fontId="2" fillId="3" borderId="46"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3" fillId="2" borderId="0" xfId="0" applyNumberFormat="1" applyFont="1" applyFill="1" applyBorder="1" applyAlignment="1">
      <alignment horizontal="left" vertical="center" wrapText="1"/>
    </xf>
    <xf numFmtId="0" fontId="13" fillId="2" borderId="138" xfId="0" applyNumberFormat="1" applyFont="1" applyFill="1" applyBorder="1" applyAlignment="1">
      <alignment horizontal="left" vertical="center" wrapText="1"/>
    </xf>
    <xf numFmtId="0" fontId="13" fillId="2" borderId="0" xfId="0" applyNumberFormat="1" applyFont="1" applyFill="1" applyBorder="1" applyAlignment="1">
      <alignment horizontal="left" vertical="center" wrapText="1"/>
    </xf>
    <xf numFmtId="0" fontId="27" fillId="2" borderId="0" xfId="0" quotePrefix="1" applyNumberFormat="1" applyFont="1" applyFill="1" applyAlignment="1">
      <alignment horizontal="left" vertical="center" wrapText="1"/>
    </xf>
    <xf numFmtId="0" fontId="23" fillId="2" borderId="0" xfId="0" applyNumberFormat="1" applyFont="1" applyFill="1" applyAlignment="1">
      <alignment horizontal="left" vertical="top" wrapText="1"/>
    </xf>
    <xf numFmtId="0" fontId="12" fillId="2" borderId="0" xfId="0" applyNumberFormat="1" applyFont="1" applyFill="1" applyAlignment="1">
      <alignment horizontal="left" vertical="center"/>
    </xf>
    <xf numFmtId="0" fontId="4" fillId="2" borderId="0" xfId="0" quotePrefix="1" applyNumberFormat="1" applyFont="1" applyFill="1" applyBorder="1" applyAlignment="1">
      <alignment horizontal="left" vertical="top"/>
    </xf>
    <xf numFmtId="166" fontId="2" fillId="3" borderId="23" xfId="2" applyNumberFormat="1" applyFont="1" applyFill="1" applyBorder="1" applyAlignment="1">
      <alignment horizontal="center" vertical="center" wrapText="1"/>
    </xf>
    <xf numFmtId="166" fontId="2" fillId="3" borderId="23" xfId="2" applyNumberFormat="1" applyFont="1" applyFill="1" applyBorder="1" applyAlignment="1">
      <alignment horizontal="center" vertical="center"/>
    </xf>
    <xf numFmtId="0" fontId="0" fillId="2" borderId="0" xfId="0" quotePrefix="1" applyNumberFormat="1" applyFont="1" applyFill="1" applyBorder="1" applyAlignment="1">
      <alignment horizontal="left" vertical="center" wrapText="1"/>
    </xf>
    <xf numFmtId="0" fontId="13" fillId="2" borderId="0" xfId="0" quotePrefix="1"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0" fontId="2" fillId="6" borderId="58" xfId="0" applyFont="1" applyFill="1" applyBorder="1" applyAlignment="1">
      <alignment horizontal="center" vertical="center" wrapText="1"/>
    </xf>
    <xf numFmtId="0" fontId="2" fillId="6" borderId="60" xfId="0" applyFont="1" applyFill="1" applyBorder="1" applyAlignment="1">
      <alignment horizontal="center" vertical="center" wrapText="1"/>
    </xf>
    <xf numFmtId="43" fontId="2" fillId="3" borderId="58" xfId="1" applyFont="1" applyFill="1" applyBorder="1" applyAlignment="1">
      <alignment horizontal="center" vertical="center" wrapText="1"/>
    </xf>
    <xf numFmtId="0" fontId="2" fillId="3" borderId="58" xfId="0" applyNumberFormat="1" applyFont="1" applyFill="1" applyBorder="1" applyAlignment="1">
      <alignment horizontal="center" vertical="center"/>
    </xf>
    <xf numFmtId="0" fontId="2" fillId="3" borderId="59" xfId="0" applyNumberFormat="1" applyFont="1" applyFill="1" applyBorder="1" applyAlignment="1">
      <alignment horizontal="center" vertical="center"/>
    </xf>
    <xf numFmtId="0" fontId="21" fillId="2" borderId="0" xfId="0" applyNumberFormat="1" applyFont="1" applyFill="1" applyBorder="1" applyAlignment="1">
      <alignment horizontal="center" vertical="top"/>
    </xf>
    <xf numFmtId="0" fontId="2" fillId="3" borderId="59" xfId="0" applyFont="1" applyFill="1" applyBorder="1" applyAlignment="1">
      <alignment horizontal="center" vertical="center"/>
    </xf>
    <xf numFmtId="0" fontId="2" fillId="3" borderId="61" xfId="0" applyFont="1" applyFill="1" applyBorder="1" applyAlignment="1">
      <alignment horizontal="center" vertical="center"/>
    </xf>
    <xf numFmtId="0" fontId="4" fillId="2" borderId="0" xfId="0" applyNumberFormat="1" applyFont="1" applyFill="1" applyAlignment="1">
      <alignment horizontal="left" vertical="center"/>
    </xf>
    <xf numFmtId="0" fontId="35" fillId="0" borderId="2" xfId="0" applyNumberFormat="1" applyFont="1" applyFill="1" applyBorder="1" applyAlignment="1">
      <alignment horizontal="left" vertical="center" wrapText="1"/>
    </xf>
    <xf numFmtId="0" fontId="4" fillId="2" borderId="0" xfId="0" applyNumberFormat="1" applyFont="1" applyFill="1" applyAlignment="1">
      <alignment horizontal="center"/>
    </xf>
    <xf numFmtId="0" fontId="20" fillId="2" borderId="0" xfId="0" applyFont="1" applyFill="1" applyBorder="1" applyAlignment="1">
      <alignment horizontal="center" vertical="center" wrapText="1"/>
    </xf>
    <xf numFmtId="0" fontId="4" fillId="2" borderId="0" xfId="0" applyNumberFormat="1" applyFont="1" applyFill="1" applyAlignment="1">
      <alignment horizontal="left"/>
    </xf>
    <xf numFmtId="0" fontId="23" fillId="2" borderId="0" xfId="0" applyNumberFormat="1" applyFont="1" applyFill="1" applyAlignment="1">
      <alignment horizontal="left" vertical="center" wrapText="1"/>
    </xf>
    <xf numFmtId="0" fontId="23" fillId="2" borderId="0" xfId="0" applyNumberFormat="1" applyFont="1" applyFill="1" applyAlignment="1">
      <alignment horizontal="left" vertical="center"/>
    </xf>
    <xf numFmtId="2" fontId="38" fillId="2" borderId="0" xfId="0" applyNumberFormat="1" applyFont="1" applyFill="1" applyAlignment="1">
      <alignment horizontal="left" vertical="center" wrapText="1"/>
    </xf>
    <xf numFmtId="2" fontId="38" fillId="2" borderId="0" xfId="0" applyNumberFormat="1" applyFont="1" applyFill="1" applyAlignment="1">
      <alignment horizontal="left" vertical="center"/>
    </xf>
    <xf numFmtId="2" fontId="38" fillId="2" borderId="143" xfId="0" applyNumberFormat="1" applyFont="1" applyFill="1" applyBorder="1" applyAlignment="1">
      <alignment horizontal="left" vertical="center" wrapText="1"/>
    </xf>
    <xf numFmtId="0" fontId="11" fillId="2" borderId="0" xfId="0" applyNumberFormat="1" applyFont="1" applyFill="1" applyAlignment="1">
      <alignment horizontal="left" vertical="center"/>
    </xf>
    <xf numFmtId="0" fontId="13" fillId="2" borderId="100" xfId="0" applyFont="1" applyFill="1" applyBorder="1" applyAlignment="1">
      <alignment horizontal="left" vertical="center"/>
    </xf>
    <xf numFmtId="0" fontId="13" fillId="2" borderId="101" xfId="0" applyFont="1" applyFill="1" applyBorder="1" applyAlignment="1">
      <alignment horizontal="left" vertical="center"/>
    </xf>
    <xf numFmtId="0" fontId="13" fillId="2" borderId="102" xfId="0" applyFont="1" applyFill="1" applyBorder="1" applyAlignment="1">
      <alignment horizontal="left" vertical="center"/>
    </xf>
    <xf numFmtId="0" fontId="13" fillId="0" borderId="0" xfId="0" applyNumberFormat="1" applyFont="1" applyFill="1" applyAlignment="1">
      <alignment horizontal="left" vertical="center" wrapText="1"/>
    </xf>
    <xf numFmtId="0" fontId="13" fillId="2" borderId="0" xfId="0" applyNumberFormat="1" applyFont="1" applyFill="1" applyAlignment="1">
      <alignment horizontal="left" vertical="center" wrapText="1"/>
    </xf>
    <xf numFmtId="0" fontId="38" fillId="2" borderId="0" xfId="0" applyNumberFormat="1" applyFont="1" applyFill="1" applyBorder="1" applyAlignment="1">
      <alignment wrapText="1"/>
    </xf>
    <xf numFmtId="0" fontId="39" fillId="2" borderId="0" xfId="0" quotePrefix="1" applyNumberFormat="1" applyFont="1" applyFill="1" applyBorder="1" applyAlignment="1">
      <alignment horizontal="center" vertical="center" wrapText="1"/>
    </xf>
    <xf numFmtId="0" fontId="39" fillId="2" borderId="0" xfId="0" applyNumberFormat="1" applyFont="1" applyFill="1" applyBorder="1" applyAlignment="1">
      <alignment horizontal="center"/>
    </xf>
    <xf numFmtId="0" fontId="38" fillId="2" borderId="0" xfId="0" applyNumberFormat="1" applyFont="1" applyFill="1" applyBorder="1" applyAlignment="1">
      <alignment vertical="center" wrapText="1"/>
    </xf>
    <xf numFmtId="43" fontId="37" fillId="3" borderId="96" xfId="1" applyFont="1" applyFill="1" applyBorder="1" applyAlignment="1">
      <alignment horizontal="center" vertical="center" wrapText="1"/>
    </xf>
    <xf numFmtId="43" fontId="37" fillId="3" borderId="97" xfId="1" applyFont="1" applyFill="1" applyBorder="1" applyAlignment="1">
      <alignment horizontal="center" vertical="center" wrapText="1"/>
    </xf>
    <xf numFmtId="0" fontId="11" fillId="2" borderId="0" xfId="0" applyNumberFormat="1" applyFont="1" applyFill="1" applyAlignment="1">
      <alignment horizontal="left" vertical="center" wrapText="1"/>
    </xf>
    <xf numFmtId="0" fontId="4" fillId="2" borderId="98" xfId="0" applyNumberFormat="1" applyFont="1" applyFill="1" applyBorder="1" applyAlignment="1">
      <alignment horizontal="left" vertical="center"/>
    </xf>
    <xf numFmtId="0" fontId="31" fillId="2" borderId="0" xfId="0" quotePrefix="1" applyNumberFormat="1" applyFont="1" applyFill="1" applyBorder="1" applyAlignment="1">
      <alignment horizontal="left" vertical="center" wrapText="1"/>
    </xf>
    <xf numFmtId="0" fontId="38" fillId="2" borderId="99" xfId="0" quotePrefix="1" applyNumberFormat="1" applyFont="1" applyFill="1" applyBorder="1" applyAlignment="1">
      <alignment horizontal="left"/>
    </xf>
    <xf numFmtId="0" fontId="33" fillId="9" borderId="115" xfId="5" applyNumberFormat="1" applyFont="1" applyFill="1" applyBorder="1" applyAlignment="1">
      <alignment horizontal="center" vertical="center"/>
    </xf>
    <xf numFmtId="0" fontId="33" fillId="9" borderId="118" xfId="5" applyNumberFormat="1" applyFont="1" applyFill="1" applyBorder="1" applyAlignment="1">
      <alignment horizontal="center" vertical="center"/>
    </xf>
    <xf numFmtId="0" fontId="33" fillId="9" borderId="120" xfId="5" applyNumberFormat="1" applyFont="1" applyFill="1" applyBorder="1" applyAlignment="1">
      <alignment horizontal="center" vertical="center"/>
    </xf>
    <xf numFmtId="0" fontId="33" fillId="9" borderId="116" xfId="5" applyNumberFormat="1" applyFont="1" applyFill="1" applyBorder="1" applyAlignment="1">
      <alignment horizontal="center" vertical="center"/>
    </xf>
    <xf numFmtId="0" fontId="33" fillId="9" borderId="103" xfId="5" applyNumberFormat="1" applyFont="1" applyFill="1" applyBorder="1" applyAlignment="1">
      <alignment horizontal="center" vertical="center"/>
    </xf>
    <xf numFmtId="0" fontId="33" fillId="9" borderId="121" xfId="5" applyNumberFormat="1" applyFont="1" applyFill="1" applyBorder="1" applyAlignment="1">
      <alignment horizontal="center" vertical="center"/>
    </xf>
    <xf numFmtId="17" fontId="33" fillId="9" borderId="116" xfId="0" applyNumberFormat="1" applyFont="1" applyFill="1" applyBorder="1" applyAlignment="1">
      <alignment horizontal="center" vertical="center"/>
    </xf>
    <xf numFmtId="0" fontId="33" fillId="9" borderId="103" xfId="0" applyNumberFormat="1" applyFont="1" applyFill="1" applyBorder="1" applyAlignment="1">
      <alignment horizontal="center" vertical="center"/>
    </xf>
    <xf numFmtId="0" fontId="33" fillId="9" borderId="44" xfId="5" applyFont="1" applyFill="1" applyBorder="1" applyAlignment="1">
      <alignment horizontal="center" vertical="center" wrapText="1"/>
    </xf>
    <xf numFmtId="0" fontId="33" fillId="9" borderId="104" xfId="5" applyFont="1" applyFill="1" applyBorder="1" applyAlignment="1">
      <alignment horizontal="center" vertical="center" wrapText="1"/>
    </xf>
    <xf numFmtId="0" fontId="33" fillId="9" borderId="45" xfId="5" applyNumberFormat="1" applyFont="1" applyFill="1" applyBorder="1" applyAlignment="1">
      <alignment horizontal="center" vertical="center"/>
    </xf>
    <xf numFmtId="0" fontId="33" fillId="9" borderId="105" xfId="5" applyNumberFormat="1" applyFont="1" applyFill="1" applyBorder="1" applyAlignment="1">
      <alignment horizontal="center" vertical="center"/>
    </xf>
    <xf numFmtId="0" fontId="33" fillId="9" borderId="44" xfId="5" applyNumberFormat="1" applyFont="1" applyFill="1" applyBorder="1" applyAlignment="1">
      <alignment horizontal="center" vertical="center"/>
    </xf>
    <xf numFmtId="0" fontId="31" fillId="0" borderId="0" xfId="0" applyFont="1" applyFill="1" applyAlignment="1">
      <alignment horizontal="left" vertical="center" wrapText="1"/>
    </xf>
    <xf numFmtId="0" fontId="33" fillId="10" borderId="134" xfId="6" applyNumberFormat="1" applyFont="1" applyFill="1" applyBorder="1" applyAlignment="1">
      <alignment horizontal="center" vertical="center"/>
    </xf>
    <xf numFmtId="0" fontId="33" fillId="10" borderId="129" xfId="6" applyNumberFormat="1" applyFont="1" applyFill="1" applyBorder="1" applyAlignment="1">
      <alignment horizontal="center" vertical="center"/>
    </xf>
    <xf numFmtId="0" fontId="33" fillId="10" borderId="131" xfId="6" applyNumberFormat="1" applyFont="1" applyFill="1" applyBorder="1" applyAlignment="1">
      <alignment horizontal="center" vertical="center"/>
    </xf>
    <xf numFmtId="0" fontId="33" fillId="10" borderId="135" xfId="6" applyNumberFormat="1" applyFont="1" applyFill="1" applyBorder="1" applyAlignment="1">
      <alignment horizontal="center" vertical="center"/>
    </xf>
    <xf numFmtId="0" fontId="33" fillId="10" borderId="46" xfId="6" applyNumberFormat="1" applyFont="1" applyFill="1" applyBorder="1" applyAlignment="1">
      <alignment horizontal="center" vertical="center"/>
    </xf>
    <xf numFmtId="0" fontId="33" fillId="10" borderId="132" xfId="6" applyNumberFormat="1" applyFont="1" applyFill="1" applyBorder="1" applyAlignment="1">
      <alignment horizontal="center" vertical="center"/>
    </xf>
    <xf numFmtId="0" fontId="33" fillId="10" borderId="136" xfId="6" applyNumberFormat="1" applyFont="1" applyFill="1" applyBorder="1" applyAlignment="1">
      <alignment horizontal="center" vertical="center"/>
    </xf>
    <xf numFmtId="0" fontId="43" fillId="9" borderId="137" xfId="0" applyNumberFormat="1" applyFont="1" applyFill="1" applyBorder="1" applyAlignment="1">
      <alignment horizontal="center" vertical="center"/>
    </xf>
    <xf numFmtId="173" fontId="43" fillId="9" borderId="137" xfId="0" applyNumberFormat="1" applyFont="1" applyFill="1" applyBorder="1" applyAlignment="1">
      <alignment horizontal="center"/>
    </xf>
  </cellXfs>
  <cellStyles count="7">
    <cellStyle name="Comma" xfId="1" builtinId="3"/>
    <cellStyle name="Normal" xfId="0" builtinId="0"/>
    <cellStyle name="Normal 394" xfId="5" xr:uid="{20F017A2-A5CF-4C90-873A-45E94F6F1D38}"/>
    <cellStyle name="Normal 395" xfId="6" xr:uid="{85C46510-A56A-439F-B701-E38F8B2E204D}"/>
    <cellStyle name="Normal 96" xfId="4" xr:uid="{79FF1D4C-E32C-438C-BAF8-94F9B636AC66}"/>
    <cellStyle name="Normal_Informe Semanal 52_2011 2" xfId="3" xr:uid="{5F2BE7A9-E3A1-4808-9CDC-4272CDC86064}"/>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6DA6D9"/>
      <color rgb="FFFF6600"/>
      <color rgb="FF583B00"/>
      <color rgb="FF996600"/>
      <color rgb="FF376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2347146930651504E-2"/>
                  <c:y val="-9.43984961548079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2764.6728744500001</c:v>
                </c:pt>
                <c:pt idx="1">
                  <c:v>971.89974104249984</c:v>
                </c:pt>
                <c:pt idx="2">
                  <c:v>20.235010845000001</c:v>
                </c:pt>
                <c:pt idx="3">
                  <c:v>43.589716535000001</c:v>
                </c:pt>
                <c:pt idx="4">
                  <c:v>10.4942919425</c:v>
                </c:pt>
                <c:pt idx="5">
                  <c:v>62.462496864999991</c:v>
                </c:pt>
                <c:pt idx="6">
                  <c:v>46.187362507500005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971.89974104249984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20.235010845000001</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43.589716535000001</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10.4942919425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62.462496864999991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46.187362507500005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RER'!$L$24:$L$27</c:f>
              <c:strCache>
                <c:ptCount val="4"/>
                <c:pt idx="0">
                  <c:v>C.E. TRES HERMANAS</c:v>
                </c:pt>
                <c:pt idx="1">
                  <c:v>C.E. CUPISNIQUE</c:v>
                </c:pt>
                <c:pt idx="2">
                  <c:v>C.E. MARCONA</c:v>
                </c:pt>
                <c:pt idx="3">
                  <c:v>C.E. TALARA</c:v>
                </c:pt>
              </c:strCache>
            </c:strRef>
          </c:cat>
          <c:val>
            <c:numRef>
              <c:f>'6. FP RER'!$O$24:$O$27</c:f>
              <c:numCache>
                <c:formatCode>0.00</c:formatCode>
                <c:ptCount val="4"/>
                <c:pt idx="0">
                  <c:v>26.598642795</c:v>
                </c:pt>
                <c:pt idx="1">
                  <c:v>18.337717505000001</c:v>
                </c:pt>
                <c:pt idx="2">
                  <c:v>8.6083409124999992</c:v>
                </c:pt>
                <c:pt idx="3">
                  <c:v>4.5902075849999999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val>
            <c:numRef>
              <c:f>'6. FP RER'!$P$24:$P$27</c:f>
              <c:numCache>
                <c:formatCode>0.00</c:formatCode>
                <c:ptCount val="4"/>
                <c:pt idx="0">
                  <c:v>0.40721516134810398</c:v>
                </c:pt>
                <c:pt idx="1">
                  <c:v>0.32798401558565127</c:v>
                </c:pt>
                <c:pt idx="2">
                  <c:v>0.40031347249348959</c:v>
                </c:pt>
                <c:pt idx="3">
                  <c:v>0.22105715369278783</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9037395348599794E-2"/>
          <c:y val="0.14375424768335157"/>
          <c:w val="0.8755947606824029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RER'!$L$28:$L$33</c:f>
              <c:strCache>
                <c:ptCount val="6"/>
                <c:pt idx="0">
                  <c:v>C.S. RUBI</c:v>
                </c:pt>
                <c:pt idx="1">
                  <c:v>C.S. TACNA</c:v>
                </c:pt>
                <c:pt idx="2">
                  <c:v>C.S. PANAMERICANA</c:v>
                </c:pt>
                <c:pt idx="3">
                  <c:v>C.S. MOQUEGUA FV</c:v>
                </c:pt>
                <c:pt idx="4">
                  <c:v>C.S. MAJES</c:v>
                </c:pt>
                <c:pt idx="5">
                  <c:v>C.S. REPARTICION</c:v>
                </c:pt>
              </c:strCache>
            </c:strRef>
          </c:cat>
          <c:val>
            <c:numRef>
              <c:f>'6. FP RER'!$O$28:$O$33</c:f>
              <c:numCache>
                <c:formatCode>0.00</c:formatCode>
                <c:ptCount val="6"/>
                <c:pt idx="0">
                  <c:v>28.358605067500001</c:v>
                </c:pt>
                <c:pt idx="1">
                  <c:v>4.3084324599999997</c:v>
                </c:pt>
                <c:pt idx="2">
                  <c:v>3.9248712500000003</c:v>
                </c:pt>
                <c:pt idx="3">
                  <c:v>3.5532930350000003</c:v>
                </c:pt>
                <c:pt idx="4">
                  <c:v>3.394725185</c:v>
                </c:pt>
                <c:pt idx="5">
                  <c:v>1.9283449450000001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numLit>
              <c:formatCode>General</c:formatCode>
              <c:ptCount val="6"/>
              <c:pt idx="0">
                <c:v>0</c:v>
              </c:pt>
              <c:pt idx="1">
                <c:v>0</c:v>
              </c:pt>
              <c:pt idx="2">
                <c:v>0</c:v>
              </c:pt>
              <c:pt idx="3">
                <c:v>0</c:v>
              </c:pt>
              <c:pt idx="4">
                <c:v>0</c:v>
              </c:pt>
              <c:pt idx="5">
                <c:v>0</c:v>
              </c:pt>
            </c:numLit>
          </c:cat>
          <c:val>
            <c:numRef>
              <c:f>'6. FP RER'!$P$28:$P$33</c:f>
              <c:numCache>
                <c:formatCode>0.00</c:formatCode>
                <c:ptCount val="6"/>
                <c:pt idx="0">
                  <c:v>0.29208406118473318</c:v>
                </c:pt>
                <c:pt idx="1">
                  <c:v>0.32056789136904762</c:v>
                </c:pt>
                <c:pt idx="2">
                  <c:v>0.29202911086309524</c:v>
                </c:pt>
                <c:pt idx="3">
                  <c:v>0.3304774028087798</c:v>
                </c:pt>
                <c:pt idx="4">
                  <c:v>0.25258371912202382</c:v>
                </c:pt>
                <c:pt idx="5">
                  <c:v>0.14347804650297619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RER'!$L$34:$L$37</c:f>
              <c:strCache>
                <c:ptCount val="4"/>
                <c:pt idx="0">
                  <c:v>C.T. PARAMONGA</c:v>
                </c:pt>
                <c:pt idx="1">
                  <c:v>C.T. HUAYCOLORO</c:v>
                </c:pt>
                <c:pt idx="2">
                  <c:v>C.T. LA GRINGA</c:v>
                </c:pt>
                <c:pt idx="3">
                  <c:v>C.T. MAPLE ETANOL</c:v>
                </c:pt>
              </c:strCache>
            </c:strRef>
          </c:cat>
          <c:val>
            <c:numRef>
              <c:f>'6. FP RER'!$O$34:$O$37</c:f>
              <c:numCache>
                <c:formatCode>0.00</c:formatCode>
                <c:ptCount val="4"/>
                <c:pt idx="0">
                  <c:v>6.6318301625</c:v>
                </c:pt>
                <c:pt idx="1">
                  <c:v>2.6435123825</c:v>
                </c:pt>
                <c:pt idx="2">
                  <c:v>1.2189493975000001</c:v>
                </c:pt>
                <c:pt idx="3">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bg2">
                  <a:lumMod val="50000"/>
                </a:schemeClr>
              </a:solidFill>
            </a:ln>
          </c:spPr>
          <c:marker>
            <c:symbol val="diamond"/>
            <c:size val="8"/>
            <c:spPr>
              <a:solidFill>
                <a:schemeClr val="accent6">
                  <a:lumMod val="50000"/>
                </a:schemeClr>
              </a:solidFill>
              <a:ln>
                <a:solidFill>
                  <a:schemeClr val="bg1"/>
                </a:solidFill>
              </a:ln>
            </c:spPr>
          </c:marker>
          <c:cat>
            <c:numLit>
              <c:formatCode>General</c:formatCode>
              <c:ptCount val="4"/>
              <c:pt idx="0">
                <c:v>0</c:v>
              </c:pt>
              <c:pt idx="1">
                <c:v>0</c:v>
              </c:pt>
              <c:pt idx="2">
                <c:v>0</c:v>
              </c:pt>
              <c:pt idx="3">
                <c:v>0</c:v>
              </c:pt>
            </c:numLit>
          </c:cat>
          <c:val>
            <c:numRef>
              <c:f>'6. FP RER'!$P$34:$P$37</c:f>
              <c:numCache>
                <c:formatCode>0.00</c:formatCode>
                <c:ptCount val="4"/>
                <c:pt idx="0">
                  <c:v>0.77463068168544902</c:v>
                </c:pt>
                <c:pt idx="1">
                  <c:v>0.92342680475212391</c:v>
                </c:pt>
                <c:pt idx="2">
                  <c:v>0.60665979729057173</c:v>
                </c:pt>
                <c:pt idx="3">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2018</c:v>
                </c:pt>
              </c:strCache>
            </c:strRef>
          </c:tx>
          <c:spPr>
            <a:solidFill>
              <a:schemeClr val="accent1"/>
            </a:solidFill>
          </c:spPr>
          <c:invertIfNegative val="0"/>
          <c:cat>
            <c:multiLvlStrRef>
              <c:f>'6. FP RER'!$S$6:$T$37</c:f>
              <c:multiLvlStrCache>
                <c:ptCount val="32"/>
                <c:lvl>
                  <c:pt idx="0">
                    <c:v>C.H. YARUCAYA</c:v>
                  </c:pt>
                  <c:pt idx="1">
                    <c:v>C.H. CARHUAQUERO IV</c:v>
                  </c:pt>
                  <c:pt idx="2">
                    <c:v>C.H. RUNATULLO III</c:v>
                  </c:pt>
                  <c:pt idx="3">
                    <c:v>C.H. RONCADOR</c:v>
                  </c:pt>
                  <c:pt idx="4">
                    <c:v>C.H. HUASAHUASI I</c:v>
                  </c:pt>
                  <c:pt idx="5">
                    <c:v>C.H. HUASAHUASI II</c:v>
                  </c:pt>
                  <c:pt idx="6">
                    <c:v>C.H. LA JOYA</c:v>
                  </c:pt>
                  <c:pt idx="7">
                    <c:v>C.H. RUNATULLO II</c:v>
                  </c:pt>
                  <c:pt idx="8">
                    <c:v>C.H. LAS PIZARRAS</c:v>
                  </c:pt>
                  <c:pt idx="9">
                    <c:v>C.H. YANAPAMPA</c:v>
                  </c:pt>
                  <c:pt idx="10">
                    <c:v>C.H. CANCHAYLLO</c:v>
                  </c:pt>
                  <c:pt idx="11">
                    <c:v>C.H. SANTA CRUZ II</c:v>
                  </c:pt>
                  <c:pt idx="12">
                    <c:v>C.H. SANTA CRUZ I</c:v>
                  </c:pt>
                  <c:pt idx="13">
                    <c:v>C.H. POTRERO</c:v>
                  </c:pt>
                  <c:pt idx="14">
                    <c:v>C.H. CAÑA BRAVA</c:v>
                  </c:pt>
                  <c:pt idx="15">
                    <c:v>C.H. POECHOS II</c:v>
                  </c:pt>
                  <c:pt idx="16">
                    <c:v>C.H. IMPERIAL</c:v>
                  </c:pt>
                  <c:pt idx="17">
                    <c:v>C.H. PURMACANA</c:v>
                  </c:pt>
                  <c:pt idx="18">
                    <c:v>C.E. TRES HERMANAS</c:v>
                  </c:pt>
                  <c:pt idx="19">
                    <c:v>C.E. MARCONA</c:v>
                  </c:pt>
                  <c:pt idx="20">
                    <c:v>C.E. CUPISNIQUE</c:v>
                  </c:pt>
                  <c:pt idx="21">
                    <c:v>C.E. TALARA</c:v>
                  </c:pt>
                  <c:pt idx="22">
                    <c:v>C.S. MOQUEGUA FV</c:v>
                  </c:pt>
                  <c:pt idx="23">
                    <c:v>C.S. TACNA</c:v>
                  </c:pt>
                  <c:pt idx="24">
                    <c:v>C.S. PANAMERICANA</c:v>
                  </c:pt>
                  <c:pt idx="25">
                    <c:v>C.S. RUBI</c:v>
                  </c:pt>
                  <c:pt idx="26">
                    <c:v>C.S. MAJES</c:v>
                  </c:pt>
                  <c:pt idx="27">
                    <c:v>C.S. REPARTICION</c:v>
                  </c:pt>
                  <c:pt idx="28">
                    <c:v>C.T. HUAYCOLORO</c:v>
                  </c:pt>
                  <c:pt idx="29">
                    <c:v>C.T. PARAMONGA</c:v>
                  </c:pt>
                  <c:pt idx="30">
                    <c:v>C.T. LA GRINGA</c:v>
                  </c:pt>
                  <c:pt idx="31">
                    <c:v>C.T. MAPLE ETANOL</c:v>
                  </c:pt>
                </c:lvl>
                <c:lvl>
                  <c:pt idx="0">
                    <c:v>AGUA</c:v>
                  </c:pt>
                  <c:pt idx="18">
                    <c:v>EOLICA</c:v>
                  </c:pt>
                  <c:pt idx="22">
                    <c:v>SOLAR</c:v>
                  </c:pt>
                  <c:pt idx="28">
                    <c:v>BIOMASA</c:v>
                  </c:pt>
                </c:lvl>
              </c:multiLvlStrCache>
            </c:multiLvlStrRef>
          </c:cat>
          <c:val>
            <c:numRef>
              <c:f>'6. FP RER'!$U$6:$U$37</c:f>
              <c:numCache>
                <c:formatCode>General</c:formatCode>
                <c:ptCount val="32"/>
                <c:pt idx="0">
                  <c:v>1</c:v>
                </c:pt>
                <c:pt idx="1">
                  <c:v>0.98791288703820057</c:v>
                </c:pt>
                <c:pt idx="2">
                  <c:v>0.98713584960774481</c:v>
                </c:pt>
                <c:pt idx="3">
                  <c:v>0.97610960939021985</c:v>
                </c:pt>
                <c:pt idx="4">
                  <c:v>0.90053021111158926</c:v>
                </c:pt>
                <c:pt idx="5">
                  <c:v>0.89423864061964464</c:v>
                </c:pt>
                <c:pt idx="6">
                  <c:v>0.84402957832148728</c:v>
                </c:pt>
                <c:pt idx="7">
                  <c:v>0.83688646599843286</c:v>
                </c:pt>
                <c:pt idx="8">
                  <c:v>0.83508460893361591</c:v>
                </c:pt>
                <c:pt idx="9">
                  <c:v>0.83334674465654912</c:v>
                </c:pt>
                <c:pt idx="10">
                  <c:v>0.80918932949065447</c:v>
                </c:pt>
                <c:pt idx="11">
                  <c:v>0.78629539261539294</c:v>
                </c:pt>
                <c:pt idx="12">
                  <c:v>0.75123420986143563</c:v>
                </c:pt>
                <c:pt idx="13">
                  <c:v>0.66816745060046001</c:v>
                </c:pt>
                <c:pt idx="14">
                  <c:v>0.65432838733945142</c:v>
                </c:pt>
                <c:pt idx="15">
                  <c:v>0.64319450919923959</c:v>
                </c:pt>
                <c:pt idx="16">
                  <c:v>0.61180305883695707</c:v>
                </c:pt>
                <c:pt idx="17">
                  <c:v>0.25798362292080923</c:v>
                </c:pt>
                <c:pt idx="18">
                  <c:v>0.47569293293067466</c:v>
                </c:pt>
                <c:pt idx="19">
                  <c:v>0.43257629728328034</c:v>
                </c:pt>
                <c:pt idx="20">
                  <c:v>0.38552667730232776</c:v>
                </c:pt>
                <c:pt idx="21">
                  <c:v>0.3431784357116085</c:v>
                </c:pt>
                <c:pt idx="22">
                  <c:v>0.33957822762182205</c:v>
                </c:pt>
                <c:pt idx="23">
                  <c:v>0.32367204131355931</c:v>
                </c:pt>
                <c:pt idx="24">
                  <c:v>0.30103021716101697</c:v>
                </c:pt>
                <c:pt idx="25">
                  <c:v>0.2964616889256107</c:v>
                </c:pt>
                <c:pt idx="26">
                  <c:v>0.25628344270833336</c:v>
                </c:pt>
                <c:pt idx="27">
                  <c:v>0.1889423003177966</c:v>
                </c:pt>
                <c:pt idx="28">
                  <c:v>0.93316083003434935</c:v>
                </c:pt>
                <c:pt idx="29">
                  <c:v>0.75194253317423965</c:v>
                </c:pt>
                <c:pt idx="30">
                  <c:v>0.51078697411805818</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2017</c:v>
                </c:pt>
              </c:strCache>
            </c:strRef>
          </c:tx>
          <c:spPr>
            <a:solidFill>
              <a:schemeClr val="accent2"/>
            </a:solidFill>
          </c:spPr>
          <c:invertIfNegative val="0"/>
          <c:cat>
            <c:multiLvlStrRef>
              <c:f>'6. FP RER'!$S$6:$T$37</c:f>
              <c:multiLvlStrCache>
                <c:ptCount val="32"/>
                <c:lvl>
                  <c:pt idx="0">
                    <c:v>C.H. YARUCAYA</c:v>
                  </c:pt>
                  <c:pt idx="1">
                    <c:v>C.H. CARHUAQUERO IV</c:v>
                  </c:pt>
                  <c:pt idx="2">
                    <c:v>C.H. RUNATULLO III</c:v>
                  </c:pt>
                  <c:pt idx="3">
                    <c:v>C.H. RONCADOR</c:v>
                  </c:pt>
                  <c:pt idx="4">
                    <c:v>C.H. HUASAHUASI I</c:v>
                  </c:pt>
                  <c:pt idx="5">
                    <c:v>C.H. HUASAHUASI II</c:v>
                  </c:pt>
                  <c:pt idx="6">
                    <c:v>C.H. LA JOYA</c:v>
                  </c:pt>
                  <c:pt idx="7">
                    <c:v>C.H. RUNATULLO II</c:v>
                  </c:pt>
                  <c:pt idx="8">
                    <c:v>C.H. LAS PIZARRAS</c:v>
                  </c:pt>
                  <c:pt idx="9">
                    <c:v>C.H. YANAPAMPA</c:v>
                  </c:pt>
                  <c:pt idx="10">
                    <c:v>C.H. CANCHAYLLO</c:v>
                  </c:pt>
                  <c:pt idx="11">
                    <c:v>C.H. SANTA CRUZ II</c:v>
                  </c:pt>
                  <c:pt idx="12">
                    <c:v>C.H. SANTA CRUZ I</c:v>
                  </c:pt>
                  <c:pt idx="13">
                    <c:v>C.H. POTRERO</c:v>
                  </c:pt>
                  <c:pt idx="14">
                    <c:v>C.H. CAÑA BRAVA</c:v>
                  </c:pt>
                  <c:pt idx="15">
                    <c:v>C.H. POECHOS II</c:v>
                  </c:pt>
                  <c:pt idx="16">
                    <c:v>C.H. IMPERIAL</c:v>
                  </c:pt>
                  <c:pt idx="17">
                    <c:v>C.H. PURMACANA</c:v>
                  </c:pt>
                  <c:pt idx="18">
                    <c:v>C.E. TRES HERMANAS</c:v>
                  </c:pt>
                  <c:pt idx="19">
                    <c:v>C.E. MARCONA</c:v>
                  </c:pt>
                  <c:pt idx="20">
                    <c:v>C.E. CUPISNIQUE</c:v>
                  </c:pt>
                  <c:pt idx="21">
                    <c:v>C.E. TALARA</c:v>
                  </c:pt>
                  <c:pt idx="22">
                    <c:v>C.S. MOQUEGUA FV</c:v>
                  </c:pt>
                  <c:pt idx="23">
                    <c:v>C.S. TACNA</c:v>
                  </c:pt>
                  <c:pt idx="24">
                    <c:v>C.S. PANAMERICANA</c:v>
                  </c:pt>
                  <c:pt idx="25">
                    <c:v>C.S. RUBI</c:v>
                  </c:pt>
                  <c:pt idx="26">
                    <c:v>C.S. MAJES</c:v>
                  </c:pt>
                  <c:pt idx="27">
                    <c:v>C.S. REPARTICION</c:v>
                  </c:pt>
                  <c:pt idx="28">
                    <c:v>C.T. HUAYCOLORO</c:v>
                  </c:pt>
                  <c:pt idx="29">
                    <c:v>C.T. PARAMONGA</c:v>
                  </c:pt>
                  <c:pt idx="30">
                    <c:v>C.T. LA GRINGA</c:v>
                  </c:pt>
                  <c:pt idx="31">
                    <c:v>C.T. MAPLE ETANOL</c:v>
                  </c:pt>
                </c:lvl>
                <c:lvl>
                  <c:pt idx="0">
                    <c:v>AGUA</c:v>
                  </c:pt>
                  <c:pt idx="18">
                    <c:v>EOLICA</c:v>
                  </c:pt>
                  <c:pt idx="22">
                    <c:v>SOLAR</c:v>
                  </c:pt>
                  <c:pt idx="28">
                    <c:v>BIOMASA</c:v>
                  </c:pt>
                </c:lvl>
              </c:multiLvlStrCache>
            </c:multiLvlStrRef>
          </c:cat>
          <c:val>
            <c:numRef>
              <c:f>'6. FP RER'!$V$6:$V$37</c:f>
              <c:numCache>
                <c:formatCode>General</c:formatCode>
                <c:ptCount val="32"/>
                <c:pt idx="1">
                  <c:v>0.97883867876996922</c:v>
                </c:pt>
                <c:pt idx="2">
                  <c:v>0.98370777564652068</c:v>
                </c:pt>
                <c:pt idx="3">
                  <c:v>0.8483412685478362</c:v>
                </c:pt>
                <c:pt idx="4">
                  <c:v>0.86450174632622001</c:v>
                </c:pt>
                <c:pt idx="5">
                  <c:v>0.85688106483823812</c:v>
                </c:pt>
                <c:pt idx="6">
                  <c:v>0.56064728846620082</c:v>
                </c:pt>
                <c:pt idx="7">
                  <c:v>0.88082095954666473</c:v>
                </c:pt>
                <c:pt idx="8">
                  <c:v>0.85708976981814977</c:v>
                </c:pt>
                <c:pt idx="9">
                  <c:v>0.73403934848617114</c:v>
                </c:pt>
                <c:pt idx="10">
                  <c:v>0.77153267637677858</c:v>
                </c:pt>
                <c:pt idx="11">
                  <c:v>0.82230330447522815</c:v>
                </c:pt>
                <c:pt idx="12">
                  <c:v>0.84874656609856125</c:v>
                </c:pt>
                <c:pt idx="14">
                  <c:v>0.87730619910554386</c:v>
                </c:pt>
                <c:pt idx="15">
                  <c:v>0.30446467884887002</c:v>
                </c:pt>
                <c:pt idx="16">
                  <c:v>0.7375525247175142</c:v>
                </c:pt>
                <c:pt idx="17">
                  <c:v>8.3520125145977342E-2</c:v>
                </c:pt>
                <c:pt idx="18">
                  <c:v>0.44213660941711658</c:v>
                </c:pt>
                <c:pt idx="19">
                  <c:v>0.44253874679996463</c:v>
                </c:pt>
                <c:pt idx="20">
                  <c:v>0.23436576302611509</c:v>
                </c:pt>
                <c:pt idx="21">
                  <c:v>0.18496657328659408</c:v>
                </c:pt>
                <c:pt idx="22">
                  <c:v>0.30985359838453391</c:v>
                </c:pt>
                <c:pt idx="23">
                  <c:v>0.29688594191384177</c:v>
                </c:pt>
                <c:pt idx="24">
                  <c:v>0.27084478283898306</c:v>
                </c:pt>
                <c:pt idx="26">
                  <c:v>0.24424754034251411</c:v>
                </c:pt>
                <c:pt idx="27">
                  <c:v>0.2055374005120057</c:v>
                </c:pt>
                <c:pt idx="28">
                  <c:v>0.76373872294501466</c:v>
                </c:pt>
                <c:pt idx="29">
                  <c:v>0.71571796764130979</c:v>
                </c:pt>
                <c:pt idx="30">
                  <c:v>0.41840408470797197</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249850095668E-3"/>
              <c:y val="1.6396734560916101E-2"/>
            </c:manualLayout>
          </c:layout>
          <c:overlay val="0"/>
        </c:title>
        <c:numFmt formatCode="General"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5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2018</c:v>
                </c:pt>
              </c:strCache>
            </c:strRef>
          </c:tx>
          <c:spPr>
            <a:solidFill>
              <a:schemeClr val="accent5">
                <a:lumMod val="75000"/>
              </a:schemeClr>
            </a:solidFill>
          </c:spPr>
          <c:invertIfNegative val="0"/>
          <c:cat>
            <c:strRef>
              <c:f>'7. Generacion empresa'!$L$5:$L$61</c:f>
              <c:strCache>
                <c:ptCount val="57"/>
                <c:pt idx="0">
                  <c:v>SDE PIURA</c:v>
                </c:pt>
                <c:pt idx="1">
                  <c:v>RIO BAÑOS</c:v>
                </c:pt>
                <c:pt idx="2">
                  <c:v>AYEPSA</c:v>
                </c:pt>
                <c:pt idx="3">
                  <c:v>CERRO VERDE</c:v>
                </c:pt>
                <c:pt idx="4">
                  <c:v>AGROAURORA</c:v>
                </c:pt>
                <c:pt idx="5">
                  <c:v>CERRO DEL AGUILA</c:v>
                </c:pt>
                <c:pt idx="6">
                  <c:v>IYEPSA</c:v>
                </c:pt>
                <c:pt idx="7">
                  <c:v>PLANTA  ETEN</c:v>
                </c:pt>
                <c:pt idx="8">
                  <c:v>ELECTRICA SANTA ROSA</c:v>
                </c:pt>
                <c:pt idx="9">
                  <c:v>SANTA ANA</c:v>
                </c:pt>
                <c:pt idx="10">
                  <c:v>SHOUGESA</c:v>
                </c:pt>
                <c:pt idx="11">
                  <c:v>ECELIM</c:v>
                </c:pt>
                <c:pt idx="12">
                  <c:v>GTS REPARTICION</c:v>
                </c:pt>
                <c:pt idx="13">
                  <c:v>HIDROCAÑETE</c:v>
                </c:pt>
                <c:pt idx="14">
                  <c:v>MAJA ENERGIA</c:v>
                </c:pt>
                <c:pt idx="15">
                  <c:v>ELECTRICA YANAPAMPA</c:v>
                </c:pt>
                <c:pt idx="16">
                  <c:v>PETRAMAS</c:v>
                </c:pt>
                <c:pt idx="17">
                  <c:v>EGECSAC</c:v>
                </c:pt>
                <c:pt idx="18">
                  <c:v>GTS MAJES</c:v>
                </c:pt>
                <c:pt idx="19">
                  <c:v>MOQUEGUA FV</c:v>
                </c:pt>
                <c:pt idx="20">
                  <c:v>PANAMERICANA SOLAR</c:v>
                </c:pt>
                <c:pt idx="21">
                  <c:v>TACNA SOLAR</c:v>
                </c:pt>
                <c:pt idx="22">
                  <c:v>GEPSA</c:v>
                </c:pt>
                <c:pt idx="23">
                  <c:v>SINERSA</c:v>
                </c:pt>
                <c:pt idx="24">
                  <c:v>AIPSA</c:v>
                </c:pt>
                <c:pt idx="25">
                  <c:v>P.E. MARCONA</c:v>
                </c:pt>
                <c:pt idx="26">
                  <c:v>RIO DOBLE</c:v>
                </c:pt>
                <c:pt idx="27">
                  <c:v>AGUA AZUL</c:v>
                </c:pt>
                <c:pt idx="28">
                  <c:v>HUAURA POWER</c:v>
                </c:pt>
                <c:pt idx="29">
                  <c:v>HIDROMARAÑON</c:v>
                </c:pt>
                <c:pt idx="30">
                  <c:v>HIDROELECTRICA HUANCHOR</c:v>
                </c:pt>
                <c:pt idx="31">
                  <c:v>EGESUR</c:v>
                </c:pt>
                <c:pt idx="32">
                  <c:v>SDF ENERGIA</c:v>
                </c:pt>
                <c:pt idx="33">
                  <c:v>SANTA CRUZ</c:v>
                </c:pt>
                <c:pt idx="34">
                  <c:v>EMGE HUANZA</c:v>
                </c:pt>
                <c:pt idx="35">
                  <c:v>ENERGÍA EÓLICA</c:v>
                </c:pt>
                <c:pt idx="36">
                  <c:v>SAMAY I</c:v>
                </c:pt>
                <c:pt idx="37">
                  <c:v>EMGE JUNÍN</c:v>
                </c:pt>
                <c:pt idx="38">
                  <c:v>P.E. TRES HERMANAS</c:v>
                </c:pt>
                <c:pt idx="39">
                  <c:v>TERMOCHILCA</c:v>
                </c:pt>
                <c:pt idx="40">
                  <c:v>ENEL GREEN POWER PERU</c:v>
                </c:pt>
                <c:pt idx="41">
                  <c:v>ENEL GENERACION PIURA</c:v>
                </c:pt>
                <c:pt idx="42">
                  <c:v>TERMOSELVA</c:v>
                </c:pt>
                <c:pt idx="43">
                  <c:v>LUZ DEL SUR / INLAND  (*)</c:v>
                </c:pt>
                <c:pt idx="44">
                  <c:v>FENIX POWER</c:v>
                </c:pt>
                <c:pt idx="45">
                  <c:v>SAN GABAN</c:v>
                </c:pt>
                <c:pt idx="46">
                  <c:v>EGASA</c:v>
                </c:pt>
                <c:pt idx="47">
                  <c:v>EGEMSA</c:v>
                </c:pt>
                <c:pt idx="48">
                  <c:v>CHINANGO</c:v>
                </c:pt>
                <c:pt idx="49">
                  <c:v>CELEPSA</c:v>
                </c:pt>
                <c:pt idx="50">
                  <c:v>ENGIE</c:v>
                </c:pt>
                <c:pt idx="51">
                  <c:v>ORAZUL ENERGY PERÚ</c:v>
                </c:pt>
                <c:pt idx="52">
                  <c:v>STATKRAFT</c:v>
                </c:pt>
                <c:pt idx="53">
                  <c:v>EMGE HUALLAGA</c:v>
                </c:pt>
                <c:pt idx="54">
                  <c:v>ENEL GENERACION PERU</c:v>
                </c:pt>
                <c:pt idx="55">
                  <c:v>ELECTROPERU</c:v>
                </c:pt>
                <c:pt idx="56">
                  <c:v>KALLPA</c:v>
                </c:pt>
              </c:strCache>
            </c:strRef>
          </c:cat>
          <c:val>
            <c:numRef>
              <c:f>'7. Generacion empresa'!$M$5:$M$61</c:f>
              <c:numCache>
                <c:formatCode>General</c:formatCode>
                <c:ptCount val="57"/>
                <c:pt idx="6">
                  <c:v>0.01</c:v>
                </c:pt>
                <c:pt idx="7">
                  <c:v>0.16</c:v>
                </c:pt>
                <c:pt idx="8">
                  <c:v>0.26</c:v>
                </c:pt>
                <c:pt idx="9">
                  <c:v>0.57999999999999996</c:v>
                </c:pt>
                <c:pt idx="10">
                  <c:v>1.1399999999999999</c:v>
                </c:pt>
                <c:pt idx="11">
                  <c:v>1.22</c:v>
                </c:pt>
                <c:pt idx="12">
                  <c:v>1.93</c:v>
                </c:pt>
                <c:pt idx="13">
                  <c:v>2.21</c:v>
                </c:pt>
                <c:pt idx="14">
                  <c:v>2.29</c:v>
                </c:pt>
                <c:pt idx="15">
                  <c:v>2.29</c:v>
                </c:pt>
                <c:pt idx="16">
                  <c:v>2.64</c:v>
                </c:pt>
                <c:pt idx="17">
                  <c:v>2.87</c:v>
                </c:pt>
                <c:pt idx="18">
                  <c:v>3.39</c:v>
                </c:pt>
                <c:pt idx="19">
                  <c:v>3.55</c:v>
                </c:pt>
                <c:pt idx="20">
                  <c:v>3.92</c:v>
                </c:pt>
                <c:pt idx="21">
                  <c:v>4.3099999999999996</c:v>
                </c:pt>
                <c:pt idx="22">
                  <c:v>4.6500000000000004</c:v>
                </c:pt>
                <c:pt idx="23">
                  <c:v>5.0999999999999996</c:v>
                </c:pt>
                <c:pt idx="24">
                  <c:v>6.63</c:v>
                </c:pt>
                <c:pt idx="25">
                  <c:v>8.61</c:v>
                </c:pt>
                <c:pt idx="26">
                  <c:v>11.77</c:v>
                </c:pt>
                <c:pt idx="27">
                  <c:v>11.85</c:v>
                </c:pt>
                <c:pt idx="28">
                  <c:v>12.35</c:v>
                </c:pt>
                <c:pt idx="29">
                  <c:v>12.55</c:v>
                </c:pt>
                <c:pt idx="30">
                  <c:v>13.03</c:v>
                </c:pt>
                <c:pt idx="31">
                  <c:v>16.72</c:v>
                </c:pt>
                <c:pt idx="32">
                  <c:v>18.170000000000002</c:v>
                </c:pt>
                <c:pt idx="33">
                  <c:v>19.7</c:v>
                </c:pt>
                <c:pt idx="34">
                  <c:v>22.9</c:v>
                </c:pt>
                <c:pt idx="35">
                  <c:v>22.93</c:v>
                </c:pt>
                <c:pt idx="36">
                  <c:v>23.17</c:v>
                </c:pt>
                <c:pt idx="37">
                  <c:v>24.3</c:v>
                </c:pt>
                <c:pt idx="38">
                  <c:v>26.6</c:v>
                </c:pt>
                <c:pt idx="39">
                  <c:v>30.93</c:v>
                </c:pt>
                <c:pt idx="40">
                  <c:v>32.69</c:v>
                </c:pt>
                <c:pt idx="41">
                  <c:v>40.14</c:v>
                </c:pt>
                <c:pt idx="42">
                  <c:v>47.56</c:v>
                </c:pt>
                <c:pt idx="43">
                  <c:v>60</c:v>
                </c:pt>
                <c:pt idx="44">
                  <c:v>66.099999999999994</c:v>
                </c:pt>
                <c:pt idx="45">
                  <c:v>73.77</c:v>
                </c:pt>
                <c:pt idx="46">
                  <c:v>102.74</c:v>
                </c:pt>
                <c:pt idx="47">
                  <c:v>110.38</c:v>
                </c:pt>
                <c:pt idx="48">
                  <c:v>117.67</c:v>
                </c:pt>
                <c:pt idx="49">
                  <c:v>143.58000000000001</c:v>
                </c:pt>
                <c:pt idx="50">
                  <c:v>222.48</c:v>
                </c:pt>
                <c:pt idx="51">
                  <c:v>227.83</c:v>
                </c:pt>
                <c:pt idx="52">
                  <c:v>242.6</c:v>
                </c:pt>
                <c:pt idx="53">
                  <c:v>277.38</c:v>
                </c:pt>
                <c:pt idx="54">
                  <c:v>475.94</c:v>
                </c:pt>
                <c:pt idx="55">
                  <c:v>554.16999999999996</c:v>
                </c:pt>
                <c:pt idx="56">
                  <c:v>799.8</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empresa'!$L$5:$L$61</c:f>
              <c:strCache>
                <c:ptCount val="57"/>
                <c:pt idx="0">
                  <c:v>SDE PIURA</c:v>
                </c:pt>
                <c:pt idx="1">
                  <c:v>RIO BAÑOS</c:v>
                </c:pt>
                <c:pt idx="2">
                  <c:v>AYEPSA</c:v>
                </c:pt>
                <c:pt idx="3">
                  <c:v>CERRO VERDE</c:v>
                </c:pt>
                <c:pt idx="4">
                  <c:v>AGROAURORA</c:v>
                </c:pt>
                <c:pt idx="5">
                  <c:v>CERRO DEL AGUILA</c:v>
                </c:pt>
                <c:pt idx="6">
                  <c:v>IYEPSA</c:v>
                </c:pt>
                <c:pt idx="7">
                  <c:v>PLANTA  ETEN</c:v>
                </c:pt>
                <c:pt idx="8">
                  <c:v>ELECTRICA SANTA ROSA</c:v>
                </c:pt>
                <c:pt idx="9">
                  <c:v>SANTA ANA</c:v>
                </c:pt>
                <c:pt idx="10">
                  <c:v>SHOUGESA</c:v>
                </c:pt>
                <c:pt idx="11">
                  <c:v>ECELIM</c:v>
                </c:pt>
                <c:pt idx="12">
                  <c:v>GTS REPARTICION</c:v>
                </c:pt>
                <c:pt idx="13">
                  <c:v>HIDROCAÑETE</c:v>
                </c:pt>
                <c:pt idx="14">
                  <c:v>MAJA ENERGIA</c:v>
                </c:pt>
                <c:pt idx="15">
                  <c:v>ELECTRICA YANAPAMPA</c:v>
                </c:pt>
                <c:pt idx="16">
                  <c:v>PETRAMAS</c:v>
                </c:pt>
                <c:pt idx="17">
                  <c:v>EGECSAC</c:v>
                </c:pt>
                <c:pt idx="18">
                  <c:v>GTS MAJES</c:v>
                </c:pt>
                <c:pt idx="19">
                  <c:v>MOQUEGUA FV</c:v>
                </c:pt>
                <c:pt idx="20">
                  <c:v>PANAMERICANA SOLAR</c:v>
                </c:pt>
                <c:pt idx="21">
                  <c:v>TACNA SOLAR</c:v>
                </c:pt>
                <c:pt idx="22">
                  <c:v>GEPSA</c:v>
                </c:pt>
                <c:pt idx="23">
                  <c:v>SINERSA</c:v>
                </c:pt>
                <c:pt idx="24">
                  <c:v>AIPSA</c:v>
                </c:pt>
                <c:pt idx="25">
                  <c:v>P.E. MARCONA</c:v>
                </c:pt>
                <c:pt idx="26">
                  <c:v>RIO DOBLE</c:v>
                </c:pt>
                <c:pt idx="27">
                  <c:v>AGUA AZUL</c:v>
                </c:pt>
                <c:pt idx="28">
                  <c:v>HUAURA POWER</c:v>
                </c:pt>
                <c:pt idx="29">
                  <c:v>HIDROMARAÑON</c:v>
                </c:pt>
                <c:pt idx="30">
                  <c:v>HIDROELECTRICA HUANCHOR</c:v>
                </c:pt>
                <c:pt idx="31">
                  <c:v>EGESUR</c:v>
                </c:pt>
                <c:pt idx="32">
                  <c:v>SDF ENERGIA</c:v>
                </c:pt>
                <c:pt idx="33">
                  <c:v>SANTA CRUZ</c:v>
                </c:pt>
                <c:pt idx="34">
                  <c:v>EMGE HUANZA</c:v>
                </c:pt>
                <c:pt idx="35">
                  <c:v>ENERGÍA EÓLICA</c:v>
                </c:pt>
                <c:pt idx="36">
                  <c:v>SAMAY I</c:v>
                </c:pt>
                <c:pt idx="37">
                  <c:v>EMGE JUNÍN</c:v>
                </c:pt>
                <c:pt idx="38">
                  <c:v>P.E. TRES HERMANAS</c:v>
                </c:pt>
                <c:pt idx="39">
                  <c:v>TERMOCHILCA</c:v>
                </c:pt>
                <c:pt idx="40">
                  <c:v>ENEL GREEN POWER PERU</c:v>
                </c:pt>
                <c:pt idx="41">
                  <c:v>ENEL GENERACION PIURA</c:v>
                </c:pt>
                <c:pt idx="42">
                  <c:v>TERMOSELVA</c:v>
                </c:pt>
                <c:pt idx="43">
                  <c:v>LUZ DEL SUR / INLAND  (*)</c:v>
                </c:pt>
                <c:pt idx="44">
                  <c:v>FENIX POWER</c:v>
                </c:pt>
                <c:pt idx="45">
                  <c:v>SAN GABAN</c:v>
                </c:pt>
                <c:pt idx="46">
                  <c:v>EGASA</c:v>
                </c:pt>
                <c:pt idx="47">
                  <c:v>EGEMSA</c:v>
                </c:pt>
                <c:pt idx="48">
                  <c:v>CHINANGO</c:v>
                </c:pt>
                <c:pt idx="49">
                  <c:v>CELEPSA</c:v>
                </c:pt>
                <c:pt idx="50">
                  <c:v>ENGIE</c:v>
                </c:pt>
                <c:pt idx="51">
                  <c:v>ORAZUL ENERGY PERÚ</c:v>
                </c:pt>
                <c:pt idx="52">
                  <c:v>STATKRAFT</c:v>
                </c:pt>
                <c:pt idx="53">
                  <c:v>EMGE HUALLAGA</c:v>
                </c:pt>
                <c:pt idx="54">
                  <c:v>ENEL GENERACION PERU</c:v>
                </c:pt>
                <c:pt idx="55">
                  <c:v>ELECTROPERU</c:v>
                </c:pt>
                <c:pt idx="56">
                  <c:v>KALLPA</c:v>
                </c:pt>
              </c:strCache>
            </c:strRef>
          </c:cat>
          <c:val>
            <c:numRef>
              <c:f>'7. Generacion empresa'!$N$5:$N$61</c:f>
              <c:numCache>
                <c:formatCode>General</c:formatCode>
                <c:ptCount val="57"/>
                <c:pt idx="0">
                  <c:v>3.75</c:v>
                </c:pt>
                <c:pt idx="1">
                  <c:v>13.55</c:v>
                </c:pt>
                <c:pt idx="2">
                  <c:v>7.31</c:v>
                </c:pt>
                <c:pt idx="5">
                  <c:v>190.25</c:v>
                </c:pt>
                <c:pt idx="6">
                  <c:v>0.14000000000000001</c:v>
                </c:pt>
                <c:pt idx="7">
                  <c:v>0.92</c:v>
                </c:pt>
                <c:pt idx="8">
                  <c:v>0</c:v>
                </c:pt>
                <c:pt idx="10">
                  <c:v>0.22</c:v>
                </c:pt>
                <c:pt idx="11">
                  <c:v>0.67</c:v>
                </c:pt>
                <c:pt idx="12">
                  <c:v>2.95</c:v>
                </c:pt>
                <c:pt idx="13">
                  <c:v>2.14</c:v>
                </c:pt>
                <c:pt idx="14">
                  <c:v>1.99</c:v>
                </c:pt>
                <c:pt idx="15">
                  <c:v>1.7</c:v>
                </c:pt>
                <c:pt idx="16">
                  <c:v>2.2000000000000002</c:v>
                </c:pt>
                <c:pt idx="17">
                  <c:v>3.01</c:v>
                </c:pt>
                <c:pt idx="18">
                  <c:v>3.41</c:v>
                </c:pt>
                <c:pt idx="19">
                  <c:v>3.61</c:v>
                </c:pt>
                <c:pt idx="20">
                  <c:v>3.95</c:v>
                </c:pt>
                <c:pt idx="21">
                  <c:v>4.26</c:v>
                </c:pt>
                <c:pt idx="22">
                  <c:v>4.22</c:v>
                </c:pt>
                <c:pt idx="23">
                  <c:v>16.37</c:v>
                </c:pt>
                <c:pt idx="24">
                  <c:v>5.71</c:v>
                </c:pt>
                <c:pt idx="25">
                  <c:v>10.99</c:v>
                </c:pt>
                <c:pt idx="26">
                  <c:v>11.65</c:v>
                </c:pt>
                <c:pt idx="30">
                  <c:v>12.76</c:v>
                </c:pt>
                <c:pt idx="31">
                  <c:v>15.62</c:v>
                </c:pt>
                <c:pt idx="32">
                  <c:v>16.579999999999998</c:v>
                </c:pt>
                <c:pt idx="33">
                  <c:v>18.55</c:v>
                </c:pt>
                <c:pt idx="34">
                  <c:v>36.36</c:v>
                </c:pt>
                <c:pt idx="35">
                  <c:v>12.37</c:v>
                </c:pt>
                <c:pt idx="36">
                  <c:v>94.85</c:v>
                </c:pt>
                <c:pt idx="37">
                  <c:v>24.83</c:v>
                </c:pt>
                <c:pt idx="38">
                  <c:v>32.82</c:v>
                </c:pt>
                <c:pt idx="41">
                  <c:v>22.34</c:v>
                </c:pt>
                <c:pt idx="42">
                  <c:v>2.09</c:v>
                </c:pt>
                <c:pt idx="43">
                  <c:v>60.14</c:v>
                </c:pt>
                <c:pt idx="44">
                  <c:v>143.9</c:v>
                </c:pt>
                <c:pt idx="45">
                  <c:v>74.400000000000006</c:v>
                </c:pt>
                <c:pt idx="46">
                  <c:v>85.95</c:v>
                </c:pt>
                <c:pt idx="47">
                  <c:v>112.74</c:v>
                </c:pt>
                <c:pt idx="48">
                  <c:v>103.15</c:v>
                </c:pt>
                <c:pt idx="49">
                  <c:v>141.80000000000001</c:v>
                </c:pt>
                <c:pt idx="50">
                  <c:v>589.23</c:v>
                </c:pt>
                <c:pt idx="51">
                  <c:v>217.35</c:v>
                </c:pt>
                <c:pt idx="52">
                  <c:v>218.25</c:v>
                </c:pt>
                <c:pt idx="53">
                  <c:v>227.04</c:v>
                </c:pt>
                <c:pt idx="54">
                  <c:v>434.72</c:v>
                </c:pt>
                <c:pt idx="55">
                  <c:v>563.79</c:v>
                </c:pt>
                <c:pt idx="56">
                  <c:v>295.10000000000002</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4444.7789599999996</c:v>
                </c:pt>
                <c:pt idx="1">
                  <c:v>4236.5890400000008</c:v>
                </c:pt>
                <c:pt idx="2">
                  <c:v>3375.9897900000001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1958.0462900000002</c:v>
                </c:pt>
                <c:pt idx="1">
                  <c:v>2291.3775700000001</c:v>
                </c:pt>
                <c:pt idx="2">
                  <c:v>3001.9400599999994</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174.14297999999999</c:v>
                </c:pt>
                <c:pt idx="1">
                  <c:v>45.283239999999999</c:v>
                </c:pt>
                <c:pt idx="2">
                  <c:v>72.160550000000001</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General" sourceLinked="1"/>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General"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267040216042763"/>
        </c:manualLayout>
      </c:layout>
      <c:barChart>
        <c:barDir val="bar"/>
        <c:grouping val="clustered"/>
        <c:varyColors val="0"/>
        <c:ser>
          <c:idx val="0"/>
          <c:order val="0"/>
          <c:tx>
            <c:strRef>
              <c:f>'9. Pot. Empresa'!$M$6</c:f>
              <c:strCache>
                <c:ptCount val="1"/>
                <c:pt idx="0">
                  <c:v>2018</c:v>
                </c:pt>
              </c:strCache>
            </c:strRef>
          </c:tx>
          <c:spPr>
            <a:solidFill>
              <a:schemeClr val="accent5">
                <a:lumMod val="75000"/>
              </a:schemeClr>
            </a:solidFill>
          </c:spPr>
          <c:invertIfNegative val="0"/>
          <c:cat>
            <c:strRef>
              <c:f>'9. Pot. Empresa'!$L$7:$L$63</c:f>
              <c:strCache>
                <c:ptCount val="57"/>
                <c:pt idx="0">
                  <c:v>SDE PIURA</c:v>
                </c:pt>
                <c:pt idx="1">
                  <c:v>RIO BAÑOS</c:v>
                </c:pt>
                <c:pt idx="2">
                  <c:v>AYEPSA</c:v>
                </c:pt>
                <c:pt idx="3">
                  <c:v>CERRO DEL AGUILA</c:v>
                </c:pt>
                <c:pt idx="4">
                  <c:v>SANTA ANA</c:v>
                </c:pt>
                <c:pt idx="5">
                  <c:v>TERMOCHILCA</c:v>
                </c:pt>
                <c:pt idx="6">
                  <c:v>TACNA SOLAR</c:v>
                </c:pt>
                <c:pt idx="7">
                  <c:v>SHOUGESA</c:v>
                </c:pt>
                <c:pt idx="8">
                  <c:v>SAMAY I</c:v>
                </c:pt>
                <c:pt idx="9">
                  <c:v>PLANTA  ETEN</c:v>
                </c:pt>
                <c:pt idx="10">
                  <c:v>PANAMERICANA SOLAR</c:v>
                </c:pt>
                <c:pt idx="11">
                  <c:v>MOQUEGUA FV</c:v>
                </c:pt>
                <c:pt idx="12">
                  <c:v>IYEPSA</c:v>
                </c:pt>
                <c:pt idx="13">
                  <c:v>GTS REPARTICION</c:v>
                </c:pt>
                <c:pt idx="14">
                  <c:v>GTS MAJES</c:v>
                </c:pt>
                <c:pt idx="15">
                  <c:v>FENIX POWER</c:v>
                </c:pt>
                <c:pt idx="16">
                  <c:v>CERRO VERDE</c:v>
                </c:pt>
                <c:pt idx="17">
                  <c:v>AGROAURORA</c:v>
                </c:pt>
                <c:pt idx="18">
                  <c:v>ELECTRICA SANTA ROSA</c:v>
                </c:pt>
                <c:pt idx="19">
                  <c:v>ECELIM</c:v>
                </c:pt>
                <c:pt idx="20">
                  <c:v>HIDROCAÑETE</c:v>
                </c:pt>
                <c:pt idx="21">
                  <c:v>ELECTRICA YANAPAMPA</c:v>
                </c:pt>
                <c:pt idx="22">
                  <c:v>MAJA ENERGIA</c:v>
                </c:pt>
                <c:pt idx="23">
                  <c:v>PETRAMAS</c:v>
                </c:pt>
                <c:pt idx="24">
                  <c:v>EGECSAC</c:v>
                </c:pt>
                <c:pt idx="25">
                  <c:v>SINERSA</c:v>
                </c:pt>
                <c:pt idx="26">
                  <c:v>GEPSA</c:v>
                </c:pt>
                <c:pt idx="27">
                  <c:v>ENEL GREEN POWER PERU</c:v>
                </c:pt>
                <c:pt idx="28">
                  <c:v>AIPSA</c:v>
                </c:pt>
                <c:pt idx="29">
                  <c:v>RIO DOBLE</c:v>
                </c:pt>
                <c:pt idx="30">
                  <c:v>HUAURA POWER</c:v>
                </c:pt>
                <c:pt idx="31">
                  <c:v>HIDROELECTRICA HUANCHOR</c:v>
                </c:pt>
                <c:pt idx="32">
                  <c:v>HIDROMARAÑON</c:v>
                </c:pt>
                <c:pt idx="33">
                  <c:v>AGUA AZUL</c:v>
                </c:pt>
                <c:pt idx="34">
                  <c:v>P.E. MARCONA</c:v>
                </c:pt>
                <c:pt idx="35">
                  <c:v>SDF ENERGIA</c:v>
                </c:pt>
                <c:pt idx="36">
                  <c:v>SANTA CRUZ</c:v>
                </c:pt>
                <c:pt idx="37">
                  <c:v>EMGE JUNÍN</c:v>
                </c:pt>
                <c:pt idx="38">
                  <c:v>EGESUR</c:v>
                </c:pt>
                <c:pt idx="39">
                  <c:v>ENEL GENERACION PIURA</c:v>
                </c:pt>
                <c:pt idx="40">
                  <c:v>ENERGÍA EÓLICA</c:v>
                </c:pt>
                <c:pt idx="41">
                  <c:v>P.E. TRES HERMANAS</c:v>
                </c:pt>
                <c:pt idx="42">
                  <c:v>TERMOSELVA</c:v>
                </c:pt>
                <c:pt idx="43">
                  <c:v>LUZ DEL SUR / INLAND (*)</c:v>
                </c:pt>
                <c:pt idx="44">
                  <c:v>EMGE HUANZA</c:v>
                </c:pt>
                <c:pt idx="45">
                  <c:v>SAN GABAN</c:v>
                </c:pt>
                <c:pt idx="46">
                  <c:v>EGEMSA</c:v>
                </c:pt>
                <c:pt idx="47">
                  <c:v>CHINANGO</c:v>
                </c:pt>
                <c:pt idx="48">
                  <c:v>EGASA</c:v>
                </c:pt>
                <c:pt idx="49">
                  <c:v>CELEPSA</c:v>
                </c:pt>
                <c:pt idx="50">
                  <c:v>ORAZUL ENERGY PERÚ</c:v>
                </c:pt>
                <c:pt idx="51">
                  <c:v>STATKRAFT</c:v>
                </c:pt>
                <c:pt idx="52">
                  <c:v>EMGE HUALLAGA</c:v>
                </c:pt>
                <c:pt idx="53">
                  <c:v>ENGIE</c:v>
                </c:pt>
                <c:pt idx="54">
                  <c:v>ELECTROPERU</c:v>
                </c:pt>
                <c:pt idx="55">
                  <c:v>ENEL GENERACION PERU</c:v>
                </c:pt>
                <c:pt idx="56">
                  <c:v>KALLPA</c:v>
                </c:pt>
              </c:strCache>
            </c:strRef>
          </c:cat>
          <c:val>
            <c:numRef>
              <c:f>'9. Pot. Empresa'!$M$7:$M$63</c:f>
              <c:numCache>
                <c:formatCode>General</c:formatCode>
                <c:ptCount val="57"/>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c:v>
                </c:pt>
                <c:pt idx="14">
                  <c:v>0</c:v>
                </c:pt>
                <c:pt idx="15">
                  <c:v>0</c:v>
                </c:pt>
                <c:pt idx="16" formatCode="0.00">
                  <c:v>0</c:v>
                </c:pt>
                <c:pt idx="17" formatCode="0.00">
                  <c:v>0</c:v>
                </c:pt>
                <c:pt idx="18" formatCode="0.00">
                  <c:v>0.99741000000000002</c:v>
                </c:pt>
                <c:pt idx="19" formatCode="0.00">
                  <c:v>1.4519200000000001</c:v>
                </c:pt>
                <c:pt idx="20" formatCode="0.00">
                  <c:v>3.2</c:v>
                </c:pt>
                <c:pt idx="21" formatCode="0.00">
                  <c:v>3.6574800000000001</c:v>
                </c:pt>
                <c:pt idx="22" formatCode="0.00">
                  <c:v>3.7359999999999998</c:v>
                </c:pt>
                <c:pt idx="23" formatCode="0.00">
                  <c:v>4.3682099999999995</c:v>
                </c:pt>
                <c:pt idx="24" formatCode="0.00">
                  <c:v>4.7</c:v>
                </c:pt>
                <c:pt idx="25" formatCode="0.00">
                  <c:v>7.7695299999999996</c:v>
                </c:pt>
                <c:pt idx="26" formatCode="0.00">
                  <c:v>8.9586500000000004</c:v>
                </c:pt>
                <c:pt idx="27" formatCode="0.00">
                  <c:v>11.760109999999999</c:v>
                </c:pt>
                <c:pt idx="28" formatCode="0.00">
                  <c:v>13.00605</c:v>
                </c:pt>
                <c:pt idx="29" formatCode="0.00">
                  <c:v>16.785440000000001</c:v>
                </c:pt>
                <c:pt idx="30" formatCode="0.00">
                  <c:v>19.009140000000002</c:v>
                </c:pt>
                <c:pt idx="31" formatCode="0.00">
                  <c:v>19.404</c:v>
                </c:pt>
                <c:pt idx="32" formatCode="0.00">
                  <c:v>19.47803</c:v>
                </c:pt>
                <c:pt idx="33" formatCode="0.00">
                  <c:v>20.382480000000001</c:v>
                </c:pt>
                <c:pt idx="34" formatCode="0.00">
                  <c:v>23.36393</c:v>
                </c:pt>
                <c:pt idx="35" formatCode="0.00">
                  <c:v>26.884260000000001</c:v>
                </c:pt>
                <c:pt idx="36" formatCode="0.00">
                  <c:v>28.15119</c:v>
                </c:pt>
                <c:pt idx="37" formatCode="0.00">
                  <c:v>37.096400000000003</c:v>
                </c:pt>
                <c:pt idx="38" formatCode="0.00">
                  <c:v>42.62209</c:v>
                </c:pt>
                <c:pt idx="39" formatCode="0.00">
                  <c:v>51.039430000000003</c:v>
                </c:pt>
                <c:pt idx="40" formatCode="0.00">
                  <c:v>60.1006</c:v>
                </c:pt>
                <c:pt idx="41" formatCode="0.00">
                  <c:v>78.918340000000001</c:v>
                </c:pt>
                <c:pt idx="42" formatCode="0.00">
                  <c:v>84.815160000000006</c:v>
                </c:pt>
                <c:pt idx="43" formatCode="0.00">
                  <c:v>89.974540000000005</c:v>
                </c:pt>
                <c:pt idx="44" formatCode="0.00">
                  <c:v>94.394300000000001</c:v>
                </c:pt>
                <c:pt idx="45" formatCode="0.00">
                  <c:v>110.90493000000001</c:v>
                </c:pt>
                <c:pt idx="46" formatCode="0.00">
                  <c:v>163.39222999999998</c:v>
                </c:pt>
                <c:pt idx="47" formatCode="0.00">
                  <c:v>192.19821999999999</c:v>
                </c:pt>
                <c:pt idx="48" formatCode="0.00">
                  <c:v>199.45930999999999</c:v>
                </c:pt>
                <c:pt idx="49" formatCode="0.00">
                  <c:v>215.80619999999999</c:v>
                </c:pt>
                <c:pt idx="50" formatCode="0.00">
                  <c:v>318.08104000000003</c:v>
                </c:pt>
                <c:pt idx="51" formatCode="0.00">
                  <c:v>360.40575999999999</c:v>
                </c:pt>
                <c:pt idx="52" formatCode="0.00">
                  <c:v>455.95588999999995</c:v>
                </c:pt>
                <c:pt idx="53" formatCode="0.00">
                  <c:v>583.04831999999999</c:v>
                </c:pt>
                <c:pt idx="54" formatCode="0.00">
                  <c:v>846.13872000000003</c:v>
                </c:pt>
                <c:pt idx="55" formatCode="0.00">
                  <c:v>886.87415999999996</c:v>
                </c:pt>
                <c:pt idx="56" formatCode="0.00">
                  <c:v>1468.67876</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2017</c:v>
                </c:pt>
              </c:strCache>
            </c:strRef>
          </c:tx>
          <c:spPr>
            <a:solidFill>
              <a:srgbClr val="FF6600"/>
            </a:solidFill>
          </c:spPr>
          <c:invertIfNegative val="0"/>
          <c:cat>
            <c:strRef>
              <c:f>'9. Pot. Empresa'!$L$7:$L$63</c:f>
              <c:strCache>
                <c:ptCount val="57"/>
                <c:pt idx="0">
                  <c:v>SDE PIURA</c:v>
                </c:pt>
                <c:pt idx="1">
                  <c:v>RIO BAÑOS</c:v>
                </c:pt>
                <c:pt idx="2">
                  <c:v>AYEPSA</c:v>
                </c:pt>
                <c:pt idx="3">
                  <c:v>CERRO DEL AGUILA</c:v>
                </c:pt>
                <c:pt idx="4">
                  <c:v>SANTA ANA</c:v>
                </c:pt>
                <c:pt idx="5">
                  <c:v>TERMOCHILCA</c:v>
                </c:pt>
                <c:pt idx="6">
                  <c:v>TACNA SOLAR</c:v>
                </c:pt>
                <c:pt idx="7">
                  <c:v>SHOUGESA</c:v>
                </c:pt>
                <c:pt idx="8">
                  <c:v>SAMAY I</c:v>
                </c:pt>
                <c:pt idx="9">
                  <c:v>PLANTA  ETEN</c:v>
                </c:pt>
                <c:pt idx="10">
                  <c:v>PANAMERICANA SOLAR</c:v>
                </c:pt>
                <c:pt idx="11">
                  <c:v>MOQUEGUA FV</c:v>
                </c:pt>
                <c:pt idx="12">
                  <c:v>IYEPSA</c:v>
                </c:pt>
                <c:pt idx="13">
                  <c:v>GTS REPARTICION</c:v>
                </c:pt>
                <c:pt idx="14">
                  <c:v>GTS MAJES</c:v>
                </c:pt>
                <c:pt idx="15">
                  <c:v>FENIX POWER</c:v>
                </c:pt>
                <c:pt idx="16">
                  <c:v>CERRO VERDE</c:v>
                </c:pt>
                <c:pt idx="17">
                  <c:v>AGROAURORA</c:v>
                </c:pt>
                <c:pt idx="18">
                  <c:v>ELECTRICA SANTA ROSA</c:v>
                </c:pt>
                <c:pt idx="19">
                  <c:v>ECELIM</c:v>
                </c:pt>
                <c:pt idx="20">
                  <c:v>HIDROCAÑETE</c:v>
                </c:pt>
                <c:pt idx="21">
                  <c:v>ELECTRICA YANAPAMPA</c:v>
                </c:pt>
                <c:pt idx="22">
                  <c:v>MAJA ENERGIA</c:v>
                </c:pt>
                <c:pt idx="23">
                  <c:v>PETRAMAS</c:v>
                </c:pt>
                <c:pt idx="24">
                  <c:v>EGECSAC</c:v>
                </c:pt>
                <c:pt idx="25">
                  <c:v>SINERSA</c:v>
                </c:pt>
                <c:pt idx="26">
                  <c:v>GEPSA</c:v>
                </c:pt>
                <c:pt idx="27">
                  <c:v>ENEL GREEN POWER PERU</c:v>
                </c:pt>
                <c:pt idx="28">
                  <c:v>AIPSA</c:v>
                </c:pt>
                <c:pt idx="29">
                  <c:v>RIO DOBLE</c:v>
                </c:pt>
                <c:pt idx="30">
                  <c:v>HUAURA POWER</c:v>
                </c:pt>
                <c:pt idx="31">
                  <c:v>HIDROELECTRICA HUANCHOR</c:v>
                </c:pt>
                <c:pt idx="32">
                  <c:v>HIDROMARAÑON</c:v>
                </c:pt>
                <c:pt idx="33">
                  <c:v>AGUA AZUL</c:v>
                </c:pt>
                <c:pt idx="34">
                  <c:v>P.E. MARCONA</c:v>
                </c:pt>
                <c:pt idx="35">
                  <c:v>SDF ENERGIA</c:v>
                </c:pt>
                <c:pt idx="36">
                  <c:v>SANTA CRUZ</c:v>
                </c:pt>
                <c:pt idx="37">
                  <c:v>EMGE JUNÍN</c:v>
                </c:pt>
                <c:pt idx="38">
                  <c:v>EGESUR</c:v>
                </c:pt>
                <c:pt idx="39">
                  <c:v>ENEL GENERACION PIURA</c:v>
                </c:pt>
                <c:pt idx="40">
                  <c:v>ENERGÍA EÓLICA</c:v>
                </c:pt>
                <c:pt idx="41">
                  <c:v>P.E. TRES HERMANAS</c:v>
                </c:pt>
                <c:pt idx="42">
                  <c:v>TERMOSELVA</c:v>
                </c:pt>
                <c:pt idx="43">
                  <c:v>LUZ DEL SUR / INLAND (*)</c:v>
                </c:pt>
                <c:pt idx="44">
                  <c:v>EMGE HUANZA</c:v>
                </c:pt>
                <c:pt idx="45">
                  <c:v>SAN GABAN</c:v>
                </c:pt>
                <c:pt idx="46">
                  <c:v>EGEMSA</c:v>
                </c:pt>
                <c:pt idx="47">
                  <c:v>CHINANGO</c:v>
                </c:pt>
                <c:pt idx="48">
                  <c:v>EGASA</c:v>
                </c:pt>
                <c:pt idx="49">
                  <c:v>CELEPSA</c:v>
                </c:pt>
                <c:pt idx="50">
                  <c:v>ORAZUL ENERGY PERÚ</c:v>
                </c:pt>
                <c:pt idx="51">
                  <c:v>STATKRAFT</c:v>
                </c:pt>
                <c:pt idx="52">
                  <c:v>EMGE HUALLAGA</c:v>
                </c:pt>
                <c:pt idx="53">
                  <c:v>ENGIE</c:v>
                </c:pt>
                <c:pt idx="54">
                  <c:v>ELECTROPERU</c:v>
                </c:pt>
                <c:pt idx="55">
                  <c:v>ENEL GENERACION PERU</c:v>
                </c:pt>
                <c:pt idx="56">
                  <c:v>KALLPA</c:v>
                </c:pt>
              </c:strCache>
            </c:strRef>
          </c:cat>
          <c:val>
            <c:numRef>
              <c:f>'9. Pot. Empresa'!$N$7:$N$63</c:f>
              <c:numCache>
                <c:formatCode>General</c:formatCode>
                <c:ptCount val="57"/>
                <c:pt idx="0">
                  <c:v>26.13278</c:v>
                </c:pt>
                <c:pt idx="1">
                  <c:v>20.343129999999999</c:v>
                </c:pt>
                <c:pt idx="2">
                  <c:v>11.60938</c:v>
                </c:pt>
                <c:pt idx="3" formatCode="0.00">
                  <c:v>335.36574000000002</c:v>
                </c:pt>
                <c:pt idx="5">
                  <c:v>0</c:v>
                </c:pt>
                <c:pt idx="6" formatCode="0.00">
                  <c:v>0</c:v>
                </c:pt>
                <c:pt idx="7" formatCode="0.00">
                  <c:v>0</c:v>
                </c:pt>
                <c:pt idx="8" formatCode="0.00">
                  <c:v>0</c:v>
                </c:pt>
                <c:pt idx="9" formatCode="0.00">
                  <c:v>213.15367000000001</c:v>
                </c:pt>
                <c:pt idx="10">
                  <c:v>0</c:v>
                </c:pt>
                <c:pt idx="11" formatCode="0.00">
                  <c:v>0</c:v>
                </c:pt>
                <c:pt idx="12" formatCode="0.00">
                  <c:v>0</c:v>
                </c:pt>
                <c:pt idx="13" formatCode="0.00">
                  <c:v>0</c:v>
                </c:pt>
                <c:pt idx="14">
                  <c:v>0</c:v>
                </c:pt>
                <c:pt idx="15">
                  <c:v>549.01656000000003</c:v>
                </c:pt>
                <c:pt idx="16" formatCode="0.00">
                  <c:v>0</c:v>
                </c:pt>
                <c:pt idx="17" formatCode="0.00">
                  <c:v>0</c:v>
                </c:pt>
                <c:pt idx="18">
                  <c:v>0</c:v>
                </c:pt>
                <c:pt idx="19" formatCode="0.00">
                  <c:v>3.0008999999999997</c:v>
                </c:pt>
                <c:pt idx="20" formatCode="0.00">
                  <c:v>4</c:v>
                </c:pt>
                <c:pt idx="21" formatCode="0.00">
                  <c:v>3.4839199999999999</c:v>
                </c:pt>
                <c:pt idx="22" formatCode="0.00">
                  <c:v>3.4870000000000001</c:v>
                </c:pt>
                <c:pt idx="23" formatCode="0.00">
                  <c:v>2.9626999999999999</c:v>
                </c:pt>
                <c:pt idx="24" formatCode="0.00">
                  <c:v>4.2699999999999996</c:v>
                </c:pt>
                <c:pt idx="25" formatCode="0.00">
                  <c:v>24.399010000000001</c:v>
                </c:pt>
                <c:pt idx="26" formatCode="0.00">
                  <c:v>0</c:v>
                </c:pt>
                <c:pt idx="28" formatCode="0.00">
                  <c:v>0</c:v>
                </c:pt>
                <c:pt idx="29" formatCode="0.00">
                  <c:v>15.29265</c:v>
                </c:pt>
                <c:pt idx="31" formatCode="0.00">
                  <c:v>19.276</c:v>
                </c:pt>
                <c:pt idx="34" formatCode="0.00">
                  <c:v>7.2201500000000003</c:v>
                </c:pt>
                <c:pt idx="35" formatCode="0.00">
                  <c:v>26.262339999999998</c:v>
                </c:pt>
                <c:pt idx="36" formatCode="0.00">
                  <c:v>27.347740000000002</c:v>
                </c:pt>
                <c:pt idx="37" formatCode="0.00">
                  <c:v>37.722000000000001</c:v>
                </c:pt>
                <c:pt idx="38" formatCode="0.00">
                  <c:v>39.208089999999999</c:v>
                </c:pt>
                <c:pt idx="39" formatCode="0.00">
                  <c:v>84.227099999999993</c:v>
                </c:pt>
                <c:pt idx="40" formatCode="0.00">
                  <c:v>0</c:v>
                </c:pt>
                <c:pt idx="41" formatCode="0.00">
                  <c:v>28.030809999999999</c:v>
                </c:pt>
                <c:pt idx="42" formatCode="0.00">
                  <c:v>0</c:v>
                </c:pt>
                <c:pt idx="43" formatCode="0.00">
                  <c:v>91.014450000000011</c:v>
                </c:pt>
                <c:pt idx="44" formatCode="0.00">
                  <c:v>46.829799999999999</c:v>
                </c:pt>
                <c:pt idx="45" formatCode="0.00">
                  <c:v>110.84282999999999</c:v>
                </c:pt>
                <c:pt idx="46" formatCode="0.00">
                  <c:v>169.55522999999999</c:v>
                </c:pt>
                <c:pt idx="47" formatCode="0.00">
                  <c:v>191.80975000000001</c:v>
                </c:pt>
                <c:pt idx="48" formatCode="0.00">
                  <c:v>249.23653000000004</c:v>
                </c:pt>
                <c:pt idx="49" formatCode="0.00">
                  <c:v>214.69425000000001</c:v>
                </c:pt>
                <c:pt idx="50" formatCode="0.00">
                  <c:v>346.10371000000004</c:v>
                </c:pt>
                <c:pt idx="51" formatCode="0.00">
                  <c:v>336.50511</c:v>
                </c:pt>
                <c:pt idx="52" formatCode="0.00">
                  <c:v>469.67327999999998</c:v>
                </c:pt>
                <c:pt idx="53" formatCode="0.00">
                  <c:v>1017.04333</c:v>
                </c:pt>
                <c:pt idx="54" formatCode="0.00">
                  <c:v>863.36112000000003</c:v>
                </c:pt>
                <c:pt idx="55" formatCode="0.00">
                  <c:v>530.43045000000006</c:v>
                </c:pt>
                <c:pt idx="56" formatCode="0.00">
                  <c:v>406.57538</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00"/>
          <c:min val="0"/>
        </c:scaling>
        <c:delete val="0"/>
        <c:axPos val="b"/>
        <c:majorGridlines/>
        <c:title>
          <c:tx>
            <c:rich>
              <a:bodyPr/>
              <a:lstStyle/>
              <a:p>
                <a:pPr>
                  <a:defRPr/>
                </a:pPr>
                <a:r>
                  <a:rPr lang="es-PE"/>
                  <a:t>MW</a:t>
                </a:r>
              </a:p>
            </c:rich>
          </c:tx>
          <c:layout>
            <c:manualLayout>
              <c:xMode val="edge"/>
              <c:yMode val="edge"/>
              <c:x val="0.84154737496158138"/>
              <c:y val="0.97763792574635422"/>
            </c:manualLayout>
          </c:layout>
          <c:overlay val="0"/>
        </c:title>
        <c:numFmt formatCode="General" sourceLinked="1"/>
        <c:majorTickMark val="out"/>
        <c:minorTickMark val="none"/>
        <c:tickLblPos val="nextTo"/>
        <c:txPr>
          <a:bodyPr/>
          <a:lstStyle/>
          <a:p>
            <a:pPr>
              <a:defRPr sz="900" b="1"/>
            </a:pPr>
            <a:endParaRPr lang="es-PE"/>
          </a:p>
        </c:txPr>
        <c:crossAx val="351364992"/>
        <c:crosses val="autoZero"/>
        <c:crossBetween val="between"/>
        <c:majorUnit val="400"/>
      </c:valAx>
    </c:plotArea>
    <c:legend>
      <c:legendPos val="r"/>
      <c:layout>
        <c:manualLayout>
          <c:xMode val="edge"/>
          <c:yMode val="edge"/>
          <c:x val="0.65664099747654348"/>
          <c:y val="0.39830739581538593"/>
          <c:w val="0.22095413152862417"/>
          <c:h val="6.0980304677881472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chemeClr val="accent1"/>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chemeClr val="accent1"/>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4240963051"/>
          <c:y val="0.8356266822192577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chemeClr val="accent5">
                  <a:lumMod val="75000"/>
                </a:schemeClr>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4.173841607633004E-2"/>
                  <c:y val="-0.1053267435475013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2591.7975482355673</c:v>
                </c:pt>
                <c:pt idx="1">
                  <c:v>978.20122656254603</c:v>
                </c:pt>
                <c:pt idx="2">
                  <c:v>80.772747453247092</c:v>
                </c:pt>
                <c:pt idx="3">
                  <c:v>117.98338915602703</c:v>
                </c:pt>
                <c:pt idx="4">
                  <c:v>8.5823673511289993</c:v>
                </c:pt>
                <c:pt idx="5">
                  <c:v>56.178714554427003</c:v>
                </c:pt>
                <c:pt idx="6">
                  <c:v>18.18949984</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971.89974104249984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20.235010845000001</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43.589716535000001</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10.4942919425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62.462496864999991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46.187362507500005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c:spPr>
          <c:cat>
            <c:multiLvlStrRef>
              <c:f>'12.Caudales'!$J$4:$K$116</c:f>
              <c:multiLvlStrCache>
                <c:ptCount val="11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lvl>
                <c:lvl>
                  <c:pt idx="0">
                    <c:v>2016</c:v>
                  </c:pt>
                  <c:pt idx="52">
                    <c:v>2017</c:v>
                  </c:pt>
                  <c:pt idx="104">
                    <c:v>2018</c:v>
                  </c:pt>
                </c:lvl>
              </c:multiLvlStrCache>
            </c:multiLvlStrRef>
          </c:cat>
          <c:val>
            <c:numRef>
              <c:f>'12.Caudales'!$N$4:$N$116</c:f>
              <c:numCache>
                <c:formatCode>0.0</c:formatCode>
                <c:ptCount val="113"/>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'12.Caudales'!$J$4:$K$116</c:f>
              <c:multiLvlStrCache>
                <c:ptCount val="11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lvl>
                <c:lvl>
                  <c:pt idx="0">
                    <c:v>2016</c:v>
                  </c:pt>
                  <c:pt idx="52">
                    <c:v>2017</c:v>
                  </c:pt>
                  <c:pt idx="104">
                    <c:v>2018</c:v>
                  </c:pt>
                </c:lvl>
              </c:multiLvlStrCache>
            </c:multiLvlStrRef>
          </c:cat>
          <c:val>
            <c:numRef>
              <c:f>'12.Caudales'!$O$4:$O$116</c:f>
              <c:numCache>
                <c:formatCode>0.0</c:formatCode>
                <c:ptCount val="113"/>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'12.Caudales'!$M$4:$M$116</c:f>
              <c:numCache>
                <c:formatCode>0.0</c:formatCode>
                <c:ptCount val="113"/>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'13.Caudales'!$N$4:$O$116</c:f>
              <c:multiLvlStrCache>
                <c:ptCount val="11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lvl>
                <c:lvl>
                  <c:pt idx="0">
                    <c:v>2016</c:v>
                  </c:pt>
                  <c:pt idx="52">
                    <c:v>2017</c:v>
                  </c:pt>
                  <c:pt idx="104">
                    <c:v>2018</c:v>
                  </c:pt>
                </c:lvl>
              </c:multiLvlStrCache>
            </c:multiLvlStrRef>
          </c:cat>
          <c:val>
            <c:numRef>
              <c:f>'13.Caudales'!$Q$4:$Q$116</c:f>
              <c:numCache>
                <c:formatCode>0.0</c:formatCode>
                <c:ptCount val="113"/>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chemeClr val="accent5">
                <a:lumMod val="75000"/>
              </a:schemeClr>
            </a:solidFill>
            <a:ln w="25400">
              <a:noFill/>
            </a:ln>
          </c:spPr>
          <c:cat>
            <c:multiLvlStrRef>
              <c:f>'13.Caudales'!$N$4:$O$116</c:f>
              <c:multiLvlStrCache>
                <c:ptCount val="11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lvl>
                <c:lvl>
                  <c:pt idx="0">
                    <c:v>2016</c:v>
                  </c:pt>
                  <c:pt idx="52">
                    <c:v>2017</c:v>
                  </c:pt>
                  <c:pt idx="104">
                    <c:v>2018</c:v>
                  </c:pt>
                </c:lvl>
              </c:multiLvlStrCache>
            </c:multiLvlStrRef>
          </c:cat>
          <c:val>
            <c:numRef>
              <c:f>'13.Caudales'!$R$4:$R$116</c:f>
              <c:numCache>
                <c:formatCode>0.0</c:formatCode>
                <c:ptCount val="113"/>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1"/>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chemeClr val="accent5">
                <a:lumMod val="75000"/>
              </a:schemeClr>
            </a:solidFill>
          </c:spPr>
          <c:cat>
            <c:multiLvlStrRef>
              <c:f>'13.Caudales'!$N$4:$O$116</c:f>
              <c:multiLvlStrCache>
                <c:ptCount val="11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lvl>
                <c:lvl>
                  <c:pt idx="0">
                    <c:v>2016</c:v>
                  </c:pt>
                  <c:pt idx="52">
                    <c:v>2017</c:v>
                  </c:pt>
                  <c:pt idx="104">
                    <c:v>2018</c:v>
                  </c:pt>
                </c:lvl>
              </c:multiLvlStrCache>
            </c:multiLvlStrRef>
          </c:cat>
          <c:val>
            <c:numRef>
              <c:f>'13.Caudales'!$S$4:$S$116</c:f>
              <c:numCache>
                <c:formatCode>0.0</c:formatCode>
                <c:ptCount val="113"/>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schemeClr>
            </a:solidFill>
            <a:ln w="25400">
              <a:noFill/>
            </a:ln>
          </c:spPr>
          <c:cat>
            <c:multiLvlStrRef>
              <c:f>'13.Caudales'!$N$4:$O$116</c:f>
              <c:multiLvlStrCache>
                <c:ptCount val="11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lvl>
                <c:lvl>
                  <c:pt idx="0">
                    <c:v>2016</c:v>
                  </c:pt>
                  <c:pt idx="52">
                    <c:v>2017</c:v>
                  </c:pt>
                  <c:pt idx="104">
                    <c:v>2018</c:v>
                  </c:pt>
                </c:lvl>
              </c:multiLvlStrCache>
            </c:multiLvlStrRef>
          </c:cat>
          <c:val>
            <c:numRef>
              <c:f>'13.Caudales'!$T$4:$T$116</c:f>
              <c:numCache>
                <c:formatCode>0.0</c:formatCode>
                <c:ptCount val="113"/>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'13.Caudales'!$U$4:$U$116</c:f>
              <c:numCache>
                <c:formatCode>0.0</c:formatCode>
                <c:ptCount val="113"/>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60671699061892082"/>
          <c:y val="0.19744335381727918"/>
          <c:w val="0.33978052701922146"/>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6.513494735125705E-2"/>
          <c:y val="0.15493728093999826"/>
          <c:w val="0.87360906593863497"/>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'13.Caudales'!$N$4:$O$116</c:f>
              <c:multiLvlStrCache>
                <c:ptCount val="11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lvl>
                <c:lvl>
                  <c:pt idx="0">
                    <c:v>2016</c:v>
                  </c:pt>
                  <c:pt idx="52">
                    <c:v>2017</c:v>
                  </c:pt>
                  <c:pt idx="104">
                    <c:v>2018</c:v>
                  </c:pt>
                </c:lvl>
              </c:multiLvlStrCache>
            </c:multiLvlStrRef>
          </c:cat>
          <c:val>
            <c:numRef>
              <c:f>'13.Caudales'!$V$4:$V$116</c:f>
              <c:numCache>
                <c:formatCode>0.0</c:formatCode>
                <c:ptCount val="113"/>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33.130000000000003</c:v>
                </c:pt>
                <c:pt idx="112">
                  <c:v>15.852976190476195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'13.Caudales'!$N$4:$O$116</c:f>
              <c:multiLvlStrCache>
                <c:ptCount val="11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lvl>
                <c:lvl>
                  <c:pt idx="0">
                    <c:v>2016</c:v>
                  </c:pt>
                  <c:pt idx="52">
                    <c:v>2017</c:v>
                  </c:pt>
                  <c:pt idx="104">
                    <c:v>2018</c:v>
                  </c:pt>
                </c:lvl>
              </c:multiLvlStrCache>
            </c:multiLvlStrRef>
          </c:cat>
          <c:val>
            <c:numRef>
              <c:f>'13.Caudales'!$W$4:$W$116</c:f>
              <c:numCache>
                <c:formatCode>0.0</c:formatCode>
                <c:ptCount val="113"/>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'13.Caudales'!$Y$4:$Y$116</c:f>
              <c:numCache>
                <c:formatCode>0.0</c:formatCode>
                <c:ptCount val="113"/>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'13.Caudales'!$X$4:$X$116</c:f>
              <c:numCache>
                <c:formatCode>0.0</c:formatCode>
                <c:ptCount val="113"/>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max val="500"/>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7226152658814226"/>
          <c:w val="0.6785949544844444"/>
          <c:h val="0.18013152242763911"/>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Julio 2017
INFSGI-MES-07-2017
10/08/2017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31.380768994319606</c:v>
                </c:pt>
                <c:pt idx="1">
                  <c:v>30.65486825314678</c:v>
                </c:pt>
                <c:pt idx="2">
                  <c:v>30.176715897703449</c:v>
                </c:pt>
                <c:pt idx="3">
                  <c:v>29.981937507529391</c:v>
                </c:pt>
                <c:pt idx="4">
                  <c:v>29.589522878152298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CARABAYLLO 220</c:v>
                </c:pt>
                <c:pt idx="2">
                  <c:v>SANTA ROSA 220</c:v>
                </c:pt>
                <c:pt idx="3">
                  <c:v>SAN JUAN 220</c:v>
                </c:pt>
                <c:pt idx="4">
                  <c:v>INDEPENDENCIA 220</c:v>
                </c:pt>
                <c:pt idx="5">
                  <c:v>POMACOCHA 220</c:v>
                </c:pt>
                <c:pt idx="6">
                  <c:v>OROYA NUEVA 50</c:v>
                </c:pt>
              </c:strCache>
            </c:strRef>
          </c:cat>
          <c:val>
            <c:numRef>
              <c:f>'14. CMg'!$C$27:$I$27</c:f>
              <c:numCache>
                <c:formatCode>0.00</c:formatCode>
                <c:ptCount val="7"/>
                <c:pt idx="0">
                  <c:v>29.760607269717053</c:v>
                </c:pt>
                <c:pt idx="1">
                  <c:v>29.759574848771965</c:v>
                </c:pt>
                <c:pt idx="2">
                  <c:v>29.676460665412712</c:v>
                </c:pt>
                <c:pt idx="3">
                  <c:v>29.483600532903285</c:v>
                </c:pt>
                <c:pt idx="4">
                  <c:v>29.100217856275837</c:v>
                </c:pt>
                <c:pt idx="5">
                  <c:v>28.318546790350577</c:v>
                </c:pt>
                <c:pt idx="6">
                  <c:v>27.389922017831541</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COTARUSE 220</c:v>
                </c:pt>
                <c:pt idx="6">
                  <c:v>SAN GABAN 138</c:v>
                </c:pt>
              </c:strCache>
            </c:strRef>
          </c:cat>
          <c:val>
            <c:numRef>
              <c:f>'14. CMg'!$C$46:$I$46</c:f>
              <c:numCache>
                <c:formatCode>0.00</c:formatCode>
                <c:ptCount val="7"/>
                <c:pt idx="0">
                  <c:v>30.630341060613468</c:v>
                </c:pt>
                <c:pt idx="1">
                  <c:v>29.798760575698015</c:v>
                </c:pt>
                <c:pt idx="2">
                  <c:v>29.697778402494894</c:v>
                </c:pt>
                <c:pt idx="3">
                  <c:v>29.573737345030025</c:v>
                </c:pt>
                <c:pt idx="4">
                  <c:v>28.759663311949627</c:v>
                </c:pt>
                <c:pt idx="5">
                  <c:v>28.57519010679059</c:v>
                </c:pt>
                <c:pt idx="6">
                  <c:v>26.660763031443089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FEBRERO
 2016</c:v>
                </c:pt>
              </c:strCache>
            </c:strRef>
          </c:tx>
          <c:spPr>
            <a:solidFill>
              <a:schemeClr val="accent6"/>
            </a:solidFill>
          </c:spPr>
          <c:invertIfNegative val="0"/>
          <c:cat>
            <c:strRef>
              <c:f>'16. Congestiones'!$C$7:$C$11</c:f>
              <c:strCache>
                <c:ptCount val="5"/>
                <c:pt idx="0">
                  <c:v>Enlace Centro - Sur</c:v>
                </c:pt>
                <c:pt idx="1">
                  <c:v>S.E. San Juan  - S.E. Los Industriales 220kV</c:v>
                </c:pt>
                <c:pt idx="2">
                  <c:v>S.E. Pomacocha - S.E. San Suan</c:v>
                </c:pt>
                <c:pt idx="3">
                  <c:v>S.E. Independencia</c:v>
                </c:pt>
                <c:pt idx="4">
                  <c:v>Carhuamayo - Oroya Nueva</c:v>
                </c:pt>
              </c:strCache>
            </c:strRef>
          </c:cat>
          <c:val>
            <c:numRef>
              <c:f>'16. Congestiones'!$F$7:$F$11</c:f>
              <c:numCache>
                <c:formatCode>#,##0.00</c:formatCode>
                <c:ptCount val="5"/>
                <c:pt idx="0">
                  <c:v>175.59999999999994</c:v>
                </c:pt>
                <c:pt idx="1">
                  <c:v>5.4499999999999993</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FEBRERO
 2017</c:v>
                </c:pt>
              </c:strCache>
            </c:strRef>
          </c:tx>
          <c:invertIfNegative val="0"/>
          <c:cat>
            <c:strRef>
              <c:f>'16. Congestiones'!$C$7:$C$11</c:f>
              <c:strCache>
                <c:ptCount val="5"/>
                <c:pt idx="0">
                  <c:v>Enlace Centro - Sur</c:v>
                </c:pt>
                <c:pt idx="1">
                  <c:v>S.E. San Juan  - S.E. Los Industriales 220kV</c:v>
                </c:pt>
                <c:pt idx="2">
                  <c:v>S.E. Pomacocha - S.E. San Suan</c:v>
                </c:pt>
                <c:pt idx="3">
                  <c:v>S.E. Independencia</c:v>
                </c:pt>
                <c:pt idx="4">
                  <c:v>Carhuamayo - Oroya Nueva</c:v>
                </c:pt>
              </c:strCache>
            </c:strRef>
          </c:cat>
          <c:val>
            <c:numRef>
              <c:f>'16. Congestiones'!$E$7:$E$11</c:f>
              <c:numCache>
                <c:formatCode>#,##0.00</c:formatCode>
                <c:ptCount val="5"/>
                <c:pt idx="0">
                  <c:v>595.1</c:v>
                </c:pt>
                <c:pt idx="1">
                  <c:v>32.25</c:v>
                </c:pt>
                <c:pt idx="2">
                  <c:v>8.0500000000000007</c:v>
                </c:pt>
                <c:pt idx="3">
                  <c:v>25.883333333333333</c:v>
                </c:pt>
                <c:pt idx="4">
                  <c:v>6.716666666666665</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FEBRERO
 2018</c:v>
                </c:pt>
              </c:strCache>
            </c:strRef>
          </c:tx>
          <c:invertIfNegative val="0"/>
          <c:cat>
            <c:strRef>
              <c:f>'16. Congestiones'!$C$7:$C$11</c:f>
              <c:strCache>
                <c:ptCount val="5"/>
                <c:pt idx="0">
                  <c:v>Enlace Centro - Sur</c:v>
                </c:pt>
                <c:pt idx="1">
                  <c:v>S.E. San Juan  - S.E. Los Industriales 220kV</c:v>
                </c:pt>
                <c:pt idx="2">
                  <c:v>S.E. Pomacocha - S.E. San Suan</c:v>
                </c:pt>
                <c:pt idx="3">
                  <c:v>S.E. Independencia</c:v>
                </c:pt>
                <c:pt idx="4">
                  <c:v>Carhuamayo - Oroya Nueva</c:v>
                </c:pt>
              </c:strCache>
            </c:strRef>
          </c:cat>
          <c:val>
            <c:numRef>
              <c:f>'16. Congestiones'!$D$7:$D$11</c:f>
              <c:numCache>
                <c:formatCode>#,##0.00</c:formatCode>
                <c:ptCount val="5"/>
                <c:pt idx="2">
                  <c:v>8.4000000000000021</c:v>
                </c:pt>
                <c:pt idx="3">
                  <c:v>48.933333333333344</c:v>
                </c:pt>
                <c:pt idx="4">
                  <c:v>12.800000000000002</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crossAx val="353040256"/>
        <c:crosses val="autoZero"/>
        <c:auto val="1"/>
        <c:lblAlgn val="ctr"/>
        <c:lblOffset val="100"/>
        <c:noMultiLvlLbl val="0"/>
      </c:catAx>
      <c:valAx>
        <c:axId val="353040256"/>
        <c:scaling>
          <c:orientation val="minMax"/>
          <c:max val="650"/>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plosion val="9"/>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7.1250612015371972E-2"/>
                  <c:y val="-3.2521240358639051E-3"/>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7.6483175637709788E-2"/>
                  <c:y val="7.5129721922105056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CC-4AD3-904F-2124A98CD904}"/>
                </c:ext>
              </c:extLst>
            </c:dLbl>
            <c:dLbl>
              <c:idx val="2"/>
              <c:layout>
                <c:manualLayout>
                  <c:x val="0.74468634905030584"/>
                  <c:y val="-0.27454656576369291"/>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4.0473339364244364E-3"/>
                  <c:y val="0.13412575722169293"/>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664869594621683"/>
                      <c:h val="0.14490706620409483"/>
                    </c:manualLayout>
                  </c15:layout>
                </c:ext>
                <c:ext xmlns:c16="http://schemas.microsoft.com/office/drawing/2014/chart" uri="{C3380CC4-5D6E-409C-BE32-E72D297353CC}">
                  <c16:uniqueId val="{00000005-E0CC-4AD3-904F-2124A98CD904}"/>
                </c:ext>
              </c:extLst>
            </c:dLbl>
            <c:dLbl>
              <c:idx val="4"/>
              <c:layout>
                <c:manualLayout>
                  <c:x val="-6.8489763354147373E-2"/>
                  <c:y val="-4.67642351177157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10981237796610241"/>
                  <c:y val="-6.6977301164495559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9.4544604882023139E-2"/>
                  <c:y val="-1.5884317760837961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31</c:v>
                </c:pt>
                <c:pt idx="1">
                  <c:v>11</c:v>
                </c:pt>
                <c:pt idx="2">
                  <c:v>0</c:v>
                </c:pt>
                <c:pt idx="3">
                  <c:v>4</c:v>
                </c:pt>
                <c:pt idx="4">
                  <c:v>11</c:v>
                </c:pt>
                <c:pt idx="5">
                  <c:v>3</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69207103194976"/>
          <c:y val="0.15411433058476062"/>
          <c:w val="0.81102439577256447"/>
          <c:h val="0.43461511274475156"/>
        </c:manualLayout>
      </c:layout>
      <c:barChart>
        <c:barDir val="col"/>
        <c:grouping val="stacked"/>
        <c:varyColors val="0"/>
        <c:ser>
          <c:idx val="0"/>
          <c:order val="0"/>
          <c:tx>
            <c:strRef>
              <c:f>'17. Eventos'!$B$6</c:f>
              <c:strCache>
                <c:ptCount val="1"/>
                <c:pt idx="0">
                  <c:v>FNA</c:v>
                </c:pt>
              </c:strCache>
            </c:strRef>
          </c:tx>
          <c:spPr>
            <a:solidFill>
              <a:srgbClr val="6DA6D9"/>
            </a:solidFill>
            <a:effectLst>
              <a:outerShdw blurRad="50800" dist="50800" dir="5400000" algn="ctr" rotWithShape="0">
                <a:srgbClr val="6DA6D9"/>
              </a:outerShdw>
            </a:effectLst>
          </c:spPr>
          <c:invertIfNegative val="0"/>
          <c:cat>
            <c:strRef>
              <c:f>'17. Eventos'!$A$7:$A$11</c:f>
              <c:strCache>
                <c:ptCount val="5"/>
                <c:pt idx="0">
                  <c:v>LINEA DE TRANSMISION</c:v>
                </c:pt>
                <c:pt idx="1">
                  <c:v>BARRA</c:v>
                </c:pt>
                <c:pt idx="2">
                  <c:v>CELDA</c:v>
                </c:pt>
                <c:pt idx="3">
                  <c:v>TRANSFORMADOR 2D</c:v>
                </c:pt>
                <c:pt idx="4">
                  <c:v>SUBESTACION</c:v>
                </c:pt>
              </c:strCache>
            </c:strRef>
          </c:cat>
          <c:val>
            <c:numRef>
              <c:f>'17. Eventos'!$B$7:$B$11</c:f>
              <c:numCache>
                <c:formatCode>General</c:formatCode>
                <c:ptCount val="5"/>
                <c:pt idx="0">
                  <c:v>31</c:v>
                </c:pt>
              </c:numCache>
            </c:numRef>
          </c:val>
          <c:extLst>
            <c:ext xmlns:c16="http://schemas.microsoft.com/office/drawing/2014/chart" uri="{C3380CC4-5D6E-409C-BE32-E72D297353CC}">
              <c16:uniqueId val="{00000000-3A39-4F5B-963C-EC345192568E}"/>
            </c:ext>
          </c:extLst>
        </c:ser>
        <c:ser>
          <c:idx val="1"/>
          <c:order val="1"/>
          <c:tx>
            <c:strRef>
              <c:f>'17. Eventos'!$C$6</c:f>
              <c:strCache>
                <c:ptCount val="1"/>
                <c:pt idx="0">
                  <c:v>FEC</c:v>
                </c:pt>
              </c:strCache>
            </c:strRef>
          </c:tx>
          <c:invertIfNegative val="0"/>
          <c:cat>
            <c:strRef>
              <c:f>'17. Eventos'!$A$7:$A$11</c:f>
              <c:strCache>
                <c:ptCount val="5"/>
                <c:pt idx="0">
                  <c:v>LINEA DE TRANSMISION</c:v>
                </c:pt>
                <c:pt idx="1">
                  <c:v>BARRA</c:v>
                </c:pt>
                <c:pt idx="2">
                  <c:v>CELDA</c:v>
                </c:pt>
                <c:pt idx="3">
                  <c:v>TRANSFORMADOR 2D</c:v>
                </c:pt>
                <c:pt idx="4">
                  <c:v>SUBESTACION</c:v>
                </c:pt>
              </c:strCache>
            </c:strRef>
          </c:cat>
          <c:val>
            <c:numRef>
              <c:f>'17. Eventos'!$C$7:$C$11</c:f>
              <c:numCache>
                <c:formatCode>General</c:formatCode>
                <c:ptCount val="5"/>
                <c:pt idx="0">
                  <c:v>10</c:v>
                </c:pt>
                <c:pt idx="1">
                  <c:v>1</c:v>
                </c:pt>
              </c:numCache>
            </c:numRef>
          </c:val>
          <c:extLst>
            <c:ext xmlns:c16="http://schemas.microsoft.com/office/drawing/2014/chart" uri="{C3380CC4-5D6E-409C-BE32-E72D297353CC}">
              <c16:uniqueId val="{00000001-3A39-4F5B-963C-EC345192568E}"/>
            </c:ext>
          </c:extLst>
        </c:ser>
        <c:ser>
          <c:idx val="2"/>
          <c:order val="2"/>
          <c:tx>
            <c:strRef>
              <c:f>'17. Eventos'!$D$6</c:f>
              <c:strCache>
                <c:ptCount val="1"/>
                <c:pt idx="0">
                  <c:v>EXT</c:v>
                </c:pt>
              </c:strCache>
            </c:strRef>
          </c:tx>
          <c:spPr>
            <a:solidFill>
              <a:srgbClr val="FF0000"/>
            </a:solidFill>
          </c:spPr>
          <c:invertIfNegative val="0"/>
          <c:cat>
            <c:strRef>
              <c:f>'17. Eventos'!$A$7:$A$11</c:f>
              <c:strCache>
                <c:ptCount val="5"/>
                <c:pt idx="0">
                  <c:v>LINEA DE TRANSMISION</c:v>
                </c:pt>
                <c:pt idx="1">
                  <c:v>BARRA</c:v>
                </c:pt>
                <c:pt idx="2">
                  <c:v>CELDA</c:v>
                </c:pt>
                <c:pt idx="3">
                  <c:v>TRANSFORMADOR 2D</c:v>
                </c:pt>
                <c:pt idx="4">
                  <c:v>SUBESTACION</c:v>
                </c:pt>
              </c:strCache>
            </c:strRef>
          </c:cat>
          <c:val>
            <c:numRef>
              <c:f>'17. Eventos'!$D$7:$D$11</c:f>
              <c:numCache>
                <c:formatCode>General</c:formatCode>
                <c:ptCount val="5"/>
              </c:numCache>
            </c:numRef>
          </c:val>
          <c:extLst>
            <c:ext xmlns:c16="http://schemas.microsoft.com/office/drawing/2014/chart" uri="{C3380CC4-5D6E-409C-BE32-E72D297353CC}">
              <c16:uniqueId val="{00000002-3A39-4F5B-963C-EC345192568E}"/>
            </c:ext>
          </c:extLst>
        </c:ser>
        <c:ser>
          <c:idx val="3"/>
          <c:order val="3"/>
          <c:tx>
            <c:strRef>
              <c:f>'17. Eventos'!$E$6</c:f>
              <c:strCache>
                <c:ptCount val="1"/>
                <c:pt idx="0">
                  <c:v>OTR</c:v>
                </c:pt>
              </c:strCache>
            </c:strRef>
          </c:tx>
          <c:invertIfNegative val="0"/>
          <c:cat>
            <c:strRef>
              <c:f>'17. Eventos'!$A$7:$A$11</c:f>
              <c:strCache>
                <c:ptCount val="5"/>
                <c:pt idx="0">
                  <c:v>LINEA DE TRANSMISION</c:v>
                </c:pt>
                <c:pt idx="1">
                  <c:v>BARRA</c:v>
                </c:pt>
                <c:pt idx="2">
                  <c:v>CELDA</c:v>
                </c:pt>
                <c:pt idx="3">
                  <c:v>TRANSFORMADOR 2D</c:v>
                </c:pt>
                <c:pt idx="4">
                  <c:v>SUBESTACION</c:v>
                </c:pt>
              </c:strCache>
            </c:strRef>
          </c:cat>
          <c:val>
            <c:numRef>
              <c:f>'17. Eventos'!$E$7:$E$11</c:f>
              <c:numCache>
                <c:formatCode>General</c:formatCode>
                <c:ptCount val="5"/>
                <c:pt idx="0">
                  <c:v>3</c:v>
                </c:pt>
                <c:pt idx="4">
                  <c:v>1</c:v>
                </c:pt>
              </c:numCache>
            </c:numRef>
          </c:val>
          <c:extLst>
            <c:ext xmlns:c16="http://schemas.microsoft.com/office/drawing/2014/chart" uri="{C3380CC4-5D6E-409C-BE32-E72D297353CC}">
              <c16:uniqueId val="{00000003-3A39-4F5B-963C-EC345192568E}"/>
            </c:ext>
          </c:extLst>
        </c:ser>
        <c:ser>
          <c:idx val="4"/>
          <c:order val="4"/>
          <c:tx>
            <c:strRef>
              <c:f>'17. Eventos'!$F$6</c:f>
              <c:strCache>
                <c:ptCount val="1"/>
                <c:pt idx="0">
                  <c:v>FNI</c:v>
                </c:pt>
              </c:strCache>
            </c:strRef>
          </c:tx>
          <c:invertIfNegative val="0"/>
          <c:cat>
            <c:strRef>
              <c:f>'17. Eventos'!$A$7:$A$11</c:f>
              <c:strCache>
                <c:ptCount val="5"/>
                <c:pt idx="0">
                  <c:v>LINEA DE TRANSMISION</c:v>
                </c:pt>
                <c:pt idx="1">
                  <c:v>BARRA</c:v>
                </c:pt>
                <c:pt idx="2">
                  <c:v>CELDA</c:v>
                </c:pt>
                <c:pt idx="3">
                  <c:v>TRANSFORMADOR 2D</c:v>
                </c:pt>
                <c:pt idx="4">
                  <c:v>SUBESTACION</c:v>
                </c:pt>
              </c:strCache>
            </c:strRef>
          </c:cat>
          <c:val>
            <c:numRef>
              <c:f>'17. Eventos'!$F$7:$F$11</c:f>
              <c:numCache>
                <c:formatCode>General</c:formatCode>
                <c:ptCount val="5"/>
                <c:pt idx="0">
                  <c:v>8</c:v>
                </c:pt>
                <c:pt idx="2">
                  <c:v>1</c:v>
                </c:pt>
                <c:pt idx="4">
                  <c:v>2</c:v>
                </c:pt>
              </c:numCache>
            </c:numRef>
          </c:val>
          <c:extLst>
            <c:ext xmlns:c16="http://schemas.microsoft.com/office/drawing/2014/chart" uri="{C3380CC4-5D6E-409C-BE32-E72D297353CC}">
              <c16:uniqueId val="{00000004-3A39-4F5B-963C-EC345192568E}"/>
            </c:ext>
          </c:extLst>
        </c:ser>
        <c:ser>
          <c:idx val="5"/>
          <c:order val="5"/>
          <c:tx>
            <c:strRef>
              <c:f>'17. Eventos'!$G$6</c:f>
              <c:strCache>
                <c:ptCount val="1"/>
                <c:pt idx="0">
                  <c:v>FEP</c:v>
                </c:pt>
              </c:strCache>
            </c:strRef>
          </c:tx>
          <c:invertIfNegative val="0"/>
          <c:cat>
            <c:strRef>
              <c:f>'17. Eventos'!$A$7:$A$11</c:f>
              <c:strCache>
                <c:ptCount val="5"/>
                <c:pt idx="0">
                  <c:v>LINEA DE TRANSMISION</c:v>
                </c:pt>
                <c:pt idx="1">
                  <c:v>BARRA</c:v>
                </c:pt>
                <c:pt idx="2">
                  <c:v>CELDA</c:v>
                </c:pt>
                <c:pt idx="3">
                  <c:v>TRANSFORMADOR 2D</c:v>
                </c:pt>
                <c:pt idx="4">
                  <c:v>SUBESTACION</c:v>
                </c:pt>
              </c:strCache>
            </c:strRef>
          </c:cat>
          <c:val>
            <c:numRef>
              <c:f>'17. Eventos'!$G$7:$G$11</c:f>
              <c:numCache>
                <c:formatCode>General</c:formatCode>
                <c:ptCount val="5"/>
                <c:pt idx="0">
                  <c:v>2</c:v>
                </c:pt>
                <c:pt idx="3">
                  <c:v>1</c:v>
                </c:pt>
              </c:numCache>
            </c:numRef>
          </c:val>
          <c:extLst>
            <c:ext xmlns:c16="http://schemas.microsoft.com/office/drawing/2014/chart" uri="{C3380CC4-5D6E-409C-BE32-E72D297353CC}">
              <c16:uniqueId val="{00000005-3A39-4F5B-963C-EC345192568E}"/>
            </c:ext>
          </c:extLst>
        </c:ser>
        <c:ser>
          <c:idx val="6"/>
          <c:order val="6"/>
          <c:tx>
            <c:strRef>
              <c:f>'17. Eventos'!$H$6</c:f>
              <c:strCache>
                <c:ptCount val="1"/>
                <c:pt idx="0">
                  <c:v>FHU</c:v>
                </c:pt>
              </c:strCache>
            </c:strRef>
          </c:tx>
          <c:invertIfNegative val="0"/>
          <c:cat>
            <c:strRef>
              <c:f>'17. Eventos'!$A$7:$A$11</c:f>
              <c:strCache>
                <c:ptCount val="5"/>
                <c:pt idx="0">
                  <c:v>LINEA DE TRANSMISION</c:v>
                </c:pt>
                <c:pt idx="1">
                  <c:v>BARRA</c:v>
                </c:pt>
                <c:pt idx="2">
                  <c:v>CELDA</c:v>
                </c:pt>
                <c:pt idx="3">
                  <c:v>TRANSFORMADOR 2D</c:v>
                </c:pt>
                <c:pt idx="4">
                  <c:v>SUBESTACION</c:v>
                </c:pt>
              </c:strCache>
            </c:strRef>
          </c:cat>
          <c:val>
            <c:numRef>
              <c:f>'17. Eventos'!$H$7:$H$11</c:f>
              <c:numCache>
                <c:formatCode>General</c:formatCode>
                <c:ptCount val="5"/>
              </c:numCache>
            </c:numRef>
          </c:val>
          <c:extLst>
            <c:ext xmlns:c16="http://schemas.microsoft.com/office/drawing/2014/chart" uri="{C3380CC4-5D6E-409C-BE32-E72D297353CC}">
              <c16:uniqueId val="{00000006-3A39-4F5B-963C-EC345192568E}"/>
            </c:ext>
          </c:extLst>
        </c:ser>
        <c:dLbls>
          <c:showLegendKey val="0"/>
          <c:showVal val="0"/>
          <c:showCatName val="0"/>
          <c:showSerName val="0"/>
          <c:showPercent val="0"/>
          <c:showBubbleSize val="0"/>
        </c:dLbls>
        <c:gapWidth val="150"/>
        <c:overlap val="100"/>
        <c:axId val="352867840"/>
        <c:axId val="352869376"/>
      </c:barChart>
      <c:catAx>
        <c:axId val="352867840"/>
        <c:scaling>
          <c:orientation val="minMax"/>
        </c:scaling>
        <c:delete val="0"/>
        <c:axPos val="b"/>
        <c:numFmt formatCode="General" sourceLinked="0"/>
        <c:majorTickMark val="out"/>
        <c:minorTickMark val="none"/>
        <c:tickLblPos val="nextTo"/>
        <c:txPr>
          <a:bodyPr/>
          <a:lstStyle/>
          <a:p>
            <a:pPr>
              <a:defRPr sz="600"/>
            </a:pPr>
            <a:endParaRPr lang="es-PE"/>
          </a:p>
        </c:txPr>
        <c:crossAx val="352869376"/>
        <c:crosses val="autoZero"/>
        <c:auto val="1"/>
        <c:lblAlgn val="ctr"/>
        <c:lblOffset val="100"/>
        <c:noMultiLvlLbl val="0"/>
      </c:catAx>
      <c:valAx>
        <c:axId val="352869376"/>
        <c:scaling>
          <c:orientation val="minMax"/>
        </c:scaling>
        <c:delete val="0"/>
        <c:axPos val="l"/>
        <c:majorGridlines/>
        <c:title>
          <c:tx>
            <c:rich>
              <a:bodyPr rot="0" vert="horz"/>
              <a:lstStyle/>
              <a:p>
                <a:pPr>
                  <a:defRPr sz="700"/>
                </a:pPr>
                <a:r>
                  <a:rPr lang="en-US" sz="700"/>
                  <a:t>N° DE FALLAS</a:t>
                </a:r>
              </a:p>
            </c:rich>
          </c:tx>
          <c:layout>
            <c:manualLayout>
              <c:xMode val="edge"/>
              <c:yMode val="edge"/>
              <c:x val="2.4597092847016402E-2"/>
              <c:y val="3.8461376330487934E-2"/>
            </c:manualLayout>
          </c:layout>
          <c:overlay val="0"/>
        </c:title>
        <c:numFmt formatCode="General" sourceLinked="1"/>
        <c:majorTickMark val="out"/>
        <c:minorTickMark val="none"/>
        <c:tickLblPos val="nextTo"/>
        <c:crossAx val="352867840"/>
        <c:crosses val="autoZero"/>
        <c:crossBetween val="between"/>
      </c:valAx>
    </c:plotArea>
    <c:legend>
      <c:legendPos val="r"/>
      <c:layout>
        <c:manualLayout>
          <c:xMode val="edge"/>
          <c:yMode val="edge"/>
          <c:x val="0.22390875865547152"/>
          <c:y val="5.7345558014543156E-2"/>
          <c:w val="0.72708896216522545"/>
          <c:h val="7.1763471867969358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4817540936162034E-2"/>
          <c:y val="9.4498598583222973E-2"/>
          <c:w val="0.63968374324652277"/>
          <c:h val="0.75611868754961753"/>
        </c:manualLayout>
      </c:layout>
      <c:barChart>
        <c:barDir val="col"/>
        <c:grouping val="stacked"/>
        <c:varyColors val="0"/>
        <c:ser>
          <c:idx val="0"/>
          <c:order val="0"/>
          <c:tx>
            <c:strRef>
              <c:f>'2. Oferta de generación'!$B$32:$C$32</c:f>
              <c:strCache>
                <c:ptCount val="2"/>
                <c:pt idx="0">
                  <c:v>HIDROELÉCTRICA</c:v>
                </c:pt>
              </c:strCache>
            </c:strRef>
          </c:tx>
          <c:invertIfNegative val="0"/>
          <c:cat>
            <c:strRef>
              <c:f>'2. Oferta de generación'!$D$31:$E$31</c:f>
              <c:strCache>
                <c:ptCount val="2"/>
                <c:pt idx="0">
                  <c:v>FEBRERO 2018</c:v>
                </c:pt>
                <c:pt idx="1">
                  <c:v>FEBRERO 2017</c:v>
                </c:pt>
              </c:strCache>
            </c:strRef>
          </c:cat>
          <c:val>
            <c:numRef>
              <c:f>'2. Oferta de generación'!$D$32:$E$32</c:f>
              <c:numCache>
                <c:formatCode>#,##0.0</c:formatCode>
                <c:ptCount val="2"/>
                <c:pt idx="0">
                  <c:v>4882.6042474999995</c:v>
                </c:pt>
                <c:pt idx="1">
                  <c:v>4948.1372474999989</c:v>
                </c:pt>
              </c:numCache>
            </c:numRef>
          </c:val>
          <c:extLst>
            <c:ext xmlns:c16="http://schemas.microsoft.com/office/drawing/2014/chart" uri="{C3380CC4-5D6E-409C-BE32-E72D297353CC}">
              <c16:uniqueId val="{00000004-54B0-402D-913D-0304413B844F}"/>
            </c:ext>
          </c:extLst>
        </c:ser>
        <c:ser>
          <c:idx val="1"/>
          <c:order val="1"/>
          <c:tx>
            <c:strRef>
              <c:f>'2. Oferta de generación'!$B$33:$C$33</c:f>
              <c:strCache>
                <c:ptCount val="2"/>
                <c:pt idx="0">
                  <c:v>TERMOELÉCTRICA</c:v>
                </c:pt>
              </c:strCache>
            </c:strRef>
          </c:tx>
          <c:spPr>
            <a:solidFill>
              <a:schemeClr val="accent2"/>
            </a:solidFill>
          </c:spPr>
          <c:invertIfNegative val="0"/>
          <c:cat>
            <c:strRef>
              <c:f>'2. Oferta de generación'!$D$31:$E$31</c:f>
              <c:strCache>
                <c:ptCount val="2"/>
                <c:pt idx="0">
                  <c:v>FEBRERO 2018</c:v>
                </c:pt>
                <c:pt idx="1">
                  <c:v>FEBRERO 2017</c:v>
                </c:pt>
              </c:strCache>
            </c:strRef>
          </c:cat>
          <c:val>
            <c:numRef>
              <c:f>'2. Oferta de generación'!$D$33:$E$33</c:f>
              <c:numCache>
                <c:formatCode>#,##0.0</c:formatCode>
                <c:ptCount val="2"/>
                <c:pt idx="0">
                  <c:v>7286.2885000000006</c:v>
                </c:pt>
                <c:pt idx="1">
                  <c:v>7480.9135000000024</c:v>
                </c:pt>
              </c:numCache>
            </c:numRef>
          </c:val>
          <c:extLst>
            <c:ext xmlns:c16="http://schemas.microsoft.com/office/drawing/2014/chart" uri="{C3380CC4-5D6E-409C-BE32-E72D297353CC}">
              <c16:uniqueId val="{00000005-54B0-402D-913D-0304413B844F}"/>
            </c:ext>
          </c:extLst>
        </c:ser>
        <c:ser>
          <c:idx val="2"/>
          <c:order val="2"/>
          <c:tx>
            <c:strRef>
              <c:f>'2. Oferta de generación'!$B$34:$C$34</c:f>
              <c:strCache>
                <c:ptCount val="2"/>
                <c:pt idx="0">
                  <c:v>EÓLICA</c:v>
                </c:pt>
              </c:strCache>
            </c:strRef>
          </c:tx>
          <c:spPr>
            <a:solidFill>
              <a:srgbClr val="6DA6D9"/>
            </a:solidFill>
          </c:spPr>
          <c:invertIfNegative val="0"/>
          <c:cat>
            <c:strRef>
              <c:f>'2. Oferta de generación'!$D$31:$E$31</c:f>
              <c:strCache>
                <c:ptCount val="2"/>
                <c:pt idx="0">
                  <c:v>FEBRERO 2018</c:v>
                </c:pt>
                <c:pt idx="1">
                  <c:v>FEBRERO 2017</c:v>
                </c:pt>
              </c:strCache>
            </c:strRef>
          </c:cat>
          <c:val>
            <c:numRef>
              <c:f>'2. Oferta de generación'!$D$34:$E$34</c:f>
              <c:numCache>
                <c:formatCode>#,##0.0</c:formatCode>
                <c:ptCount val="2"/>
                <c:pt idx="0">
                  <c:v>243.16</c:v>
                </c:pt>
                <c:pt idx="1">
                  <c:v>243.16</c:v>
                </c:pt>
              </c:numCache>
            </c:numRef>
          </c:val>
          <c:extLst>
            <c:ext xmlns:c16="http://schemas.microsoft.com/office/drawing/2014/chart" uri="{C3380CC4-5D6E-409C-BE32-E72D297353CC}">
              <c16:uniqueId val="{00000006-54B0-402D-913D-0304413B844F}"/>
            </c:ext>
          </c:extLst>
        </c:ser>
        <c:ser>
          <c:idx val="3"/>
          <c:order val="3"/>
          <c:tx>
            <c:strRef>
              <c:f>'2. Oferta de generación'!$B$35:$C$35</c:f>
              <c:strCache>
                <c:ptCount val="2"/>
                <c:pt idx="0">
                  <c:v>SOLAR</c:v>
                </c:pt>
              </c:strCache>
            </c:strRef>
          </c:tx>
          <c:invertIfNegative val="0"/>
          <c:cat>
            <c:strRef>
              <c:f>'2. Oferta de generación'!$D$31:$E$31</c:f>
              <c:strCache>
                <c:ptCount val="2"/>
                <c:pt idx="0">
                  <c:v>FEBRERO 2018</c:v>
                </c:pt>
                <c:pt idx="1">
                  <c:v>FEBRERO 2017</c:v>
                </c:pt>
              </c:strCache>
            </c:strRef>
          </c:cat>
          <c:val>
            <c:numRef>
              <c:f>'2. Oferta de generación'!$D$35:$E$35</c:f>
              <c:numCache>
                <c:formatCode>#,##0.0</c:formatCode>
                <c:ptCount val="2"/>
                <c:pt idx="0">
                  <c:v>240.48400000000001</c:v>
                </c:pt>
                <c:pt idx="1">
                  <c:v>96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b"/>
        <c:numFmt formatCode="General" sourceLinked="1"/>
        <c:majorTickMark val="out"/>
        <c:minorTickMark val="none"/>
        <c:tickLblPos val="nextTo"/>
        <c:crossAx val="363951616"/>
        <c:crosses val="autoZero"/>
        <c:auto val="1"/>
        <c:lblAlgn val="ctr"/>
        <c:lblOffset val="100"/>
        <c:noMultiLvlLbl val="0"/>
      </c:catAx>
      <c:valAx>
        <c:axId val="363951616"/>
        <c:scaling>
          <c:orientation val="minMax"/>
        </c:scaling>
        <c:delete val="0"/>
        <c:axPos val="l"/>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crossAx val="363950080"/>
        <c:crosses val="autoZero"/>
        <c:crossBetween val="between"/>
      </c:valAx>
    </c:plotArea>
    <c:legend>
      <c:legendPos val="r"/>
      <c:layout>
        <c:manualLayout>
          <c:xMode val="edge"/>
          <c:yMode val="edge"/>
          <c:x val="0.78598738032030491"/>
          <c:y val="0.33306767186314951"/>
          <c:w val="0.17414791695684137"/>
          <c:h val="0.2840182758459659"/>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8581869765562986"/>
        </c:manualLayout>
      </c:layout>
      <c:barChart>
        <c:barDir val="col"/>
        <c:grouping val="clustered"/>
        <c:varyColors val="0"/>
        <c:ser>
          <c:idx val="0"/>
          <c:order val="0"/>
          <c:invertIfNegative val="0"/>
          <c:cat>
            <c:strRef>
              <c:f>'17. Eventos'!$A$7:$A$11</c:f>
              <c:strCache>
                <c:ptCount val="5"/>
                <c:pt idx="0">
                  <c:v>LINEA DE TRANSMISION</c:v>
                </c:pt>
                <c:pt idx="1">
                  <c:v>BARRA</c:v>
                </c:pt>
                <c:pt idx="2">
                  <c:v>CELDA</c:v>
                </c:pt>
                <c:pt idx="3">
                  <c:v>TRANSFORMADOR 2D</c:v>
                </c:pt>
                <c:pt idx="4">
                  <c:v>SUBESTACION</c:v>
                </c:pt>
              </c:strCache>
            </c:strRef>
          </c:cat>
          <c:val>
            <c:numRef>
              <c:f>'17. Eventos'!$J$7:$J$11</c:f>
              <c:numCache>
                <c:formatCode>#,##0.00</c:formatCode>
                <c:ptCount val="5"/>
                <c:pt idx="0">
                  <c:v>399.89</c:v>
                </c:pt>
                <c:pt idx="1">
                  <c:v>44</c:v>
                </c:pt>
                <c:pt idx="2">
                  <c:v>1.97</c:v>
                </c:pt>
                <c:pt idx="3">
                  <c:v>3.34</c:v>
                </c:pt>
                <c:pt idx="4">
                  <c:v>16.540000000000003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6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1000">
                <a:latin typeface="Arial" panose="020B0604020202020204" pitchFamily="34" charset="0"/>
                <a:cs typeface="Arial" panose="020B0604020202020204" pitchFamily="34" charset="0"/>
              </a:rPr>
              <a:t>Ingreso de potencia efectiva en el SEIN</a:t>
            </a:r>
          </a:p>
        </c:rich>
      </c:tx>
      <c:layout>
        <c:manualLayout>
          <c:xMode val="edge"/>
          <c:yMode val="edge"/>
          <c:x val="0.29679568128557782"/>
          <c:y val="4.4575032967473761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generación'!$L$10</c:f>
              <c:strCache>
                <c:ptCount val="1"/>
                <c:pt idx="0">
                  <c:v>Central Solar</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Lbls>
            <c:delete val="1"/>
          </c:dLbls>
          <c:cat>
            <c:strRef>
              <c:f>'2. Oferta de generación'!$L$10</c:f>
              <c:strCache>
                <c:ptCount val="1"/>
                <c:pt idx="0">
                  <c:v>Central Solar</c:v>
                </c:pt>
              </c:strCache>
            </c:strRef>
          </c:cat>
          <c:val>
            <c:numRef>
              <c:f>'2. Oferta de generación'!$M$10</c:f>
              <c:numCache>
                <c:formatCode>General</c:formatCode>
                <c:ptCount val="1"/>
                <c:pt idx="0">
                  <c:v>144.48400000000001</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ax val="1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62763061609918"/>
          <c:y val="8.9140691524104934E-2"/>
          <c:w val="0.8659701942606548"/>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4298.6414537870287</c:v>
                </c:pt>
                <c:pt idx="1">
                  <c:v>3391.1096351957549</c:v>
                </c:pt>
                <c:pt idx="2">
                  <c:v>89.574163277960253</c:v>
                </c:pt>
                <c:pt idx="3">
                  <c:v>40.6380799874999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5460.3550577695269</c:v>
                </c:pt>
                <c:pt idx="1">
                  <c:v>2510.8897713439965</c:v>
                </c:pt>
                <c:pt idx="2">
                  <c:v>116.55151657847537</c:v>
                </c:pt>
                <c:pt idx="3">
                  <c:v>35.836086751442998</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5703.8502989775025</c:v>
                </c:pt>
                <c:pt idx="1">
                  <c:v>2215.2562357749998</c:v>
                </c:pt>
                <c:pt idx="2">
                  <c:v>149.83550424499998</c:v>
                </c:pt>
                <c:pt idx="3">
                  <c:v>105.84624135749999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4.7930990771615285E-2"/>
              <c:y val="1.1469689702406416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3762AF"/>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5703.8502989775025</c:v>
                </c:pt>
                <c:pt idx="1">
                  <c:v>1987.52508923</c:v>
                </c:pt>
                <c:pt idx="2">
                  <c:v>79.716689404999997</c:v>
                </c:pt>
                <c:pt idx="3">
                  <c:v>56.915968597500004</c:v>
                </c:pt>
                <c:pt idx="4">
                  <c:v>0</c:v>
                </c:pt>
                <c:pt idx="5">
                  <c:v>20.235010845000001</c:v>
                </c:pt>
                <c:pt idx="6">
                  <c:v>1.69624942</c:v>
                </c:pt>
                <c:pt idx="7">
                  <c:v>1.2727732775</c:v>
                </c:pt>
                <c:pt idx="8">
                  <c:v>46.623146307500001</c:v>
                </c:pt>
                <c:pt idx="9">
                  <c:v>13.479742937499999</c:v>
                </c:pt>
                <c:pt idx="10">
                  <c:v>7.7915657550000006</c:v>
                </c:pt>
                <c:pt idx="11">
                  <c:v>105.84624135749999</c:v>
                </c:pt>
                <c:pt idx="12">
                  <c:v>149.83550424499998</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5460.3550577695269</c:v>
                </c:pt>
                <c:pt idx="1">
                  <c:v>2150.2490754097703</c:v>
                </c:pt>
                <c:pt idx="2">
                  <c:v>52.133962388949747</c:v>
                </c:pt>
                <c:pt idx="3">
                  <c:v>2.090280714151</c:v>
                </c:pt>
                <c:pt idx="4">
                  <c:v>9.7034091828799998</c:v>
                </c:pt>
                <c:pt idx="5">
                  <c:v>149.62773490930186</c:v>
                </c:pt>
                <c:pt idx="6">
                  <c:v>20.947398869992597</c:v>
                </c:pt>
                <c:pt idx="7">
                  <c:v>0.16153103818100001</c:v>
                </c:pt>
                <c:pt idx="8">
                  <c:v>106.767567644569</c:v>
                </c:pt>
                <c:pt idx="9">
                  <c:v>12.830361061200001</c:v>
                </c:pt>
                <c:pt idx="10">
                  <c:v>6.3784501249999996</c:v>
                </c:pt>
                <c:pt idx="11">
                  <c:v>35.836086751442998</c:v>
                </c:pt>
                <c:pt idx="12">
                  <c:v>116.55151657847537</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4298.6414537870287</c:v>
                </c:pt>
                <c:pt idx="1">
                  <c:v>2824.8906249034972</c:v>
                </c:pt>
                <c:pt idx="2">
                  <c:v>89.913481854151001</c:v>
                </c:pt>
                <c:pt idx="3">
                  <c:v>115.4461213700322</c:v>
                </c:pt>
                <c:pt idx="4">
                  <c:v>16.321305017836</c:v>
                </c:pt>
                <c:pt idx="5">
                  <c:v>89.054315965921504</c:v>
                </c:pt>
                <c:pt idx="6">
                  <c:v>57.218693789935394</c:v>
                </c:pt>
                <c:pt idx="7">
                  <c:v>2.4482585346077701</c:v>
                </c:pt>
                <c:pt idx="8">
                  <c:v>172.17849812815712</c:v>
                </c:pt>
                <c:pt idx="9">
                  <c:v>15.104226123116401</c:v>
                </c:pt>
                <c:pt idx="10">
                  <c:v>8.5341095085000003</c:v>
                </c:pt>
                <c:pt idx="11">
                  <c:v>40.6380799874999</c:v>
                </c:pt>
                <c:pt idx="12">
                  <c:v>89.574163277960253</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Setiembre 2017
INFSGI-MES-09-2017
05/10/2017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0.00</c:formatCode>
                <c:ptCount val="5"/>
                <c:pt idx="0">
                  <c:v>177.61203547444751</c:v>
                </c:pt>
                <c:pt idx="1">
                  <c:v>89.574163277960253</c:v>
                </c:pt>
                <c:pt idx="2">
                  <c:v>40.6380799874999</c:v>
                </c:pt>
                <c:pt idx="3">
                  <c:v>15.104226123116401</c:v>
                </c:pt>
                <c:pt idx="4">
                  <c:v>8.5341095085000003</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0.00</c:formatCode>
                <c:ptCount val="5"/>
                <c:pt idx="0">
                  <c:v>239.96144392806588</c:v>
                </c:pt>
                <c:pt idx="1">
                  <c:v>116.55151657847537</c:v>
                </c:pt>
                <c:pt idx="2">
                  <c:v>35.836086751442998</c:v>
                </c:pt>
                <c:pt idx="3">
                  <c:v>12.830361061200001</c:v>
                </c:pt>
                <c:pt idx="4">
                  <c:v>6.3784501249999996</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0C0"/>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0.00</c:formatCode>
                <c:ptCount val="5"/>
                <c:pt idx="0">
                  <c:v>217.30572136000001</c:v>
                </c:pt>
                <c:pt idx="1">
                  <c:v>149.83550424499998</c:v>
                </c:pt>
                <c:pt idx="2">
                  <c:v>105.84624135749999</c:v>
                </c:pt>
                <c:pt idx="3">
                  <c:v>13.479742937499999</c:v>
                </c:pt>
                <c:pt idx="4">
                  <c:v>7.7915657550000006</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4.420840571627694E-2"/>
              <c:y val="4.1607671212256621E-2"/>
            </c:manualLayout>
          </c:layout>
          <c:overlay val="0"/>
        </c:title>
        <c:numFmt formatCode="0.00" sourceLinked="1"/>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4.4542228260826482E-2"/>
                  <c:y val="-6.97491613066041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5,82%</a:t>
                    </a:r>
                  </a:p>
                </c:rich>
              </c:tx>
              <c:numFmt formatCode="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0.00</c:formatCode>
                <c:ptCount val="6"/>
                <c:pt idx="0">
                  <c:v>3691.291494187501</c:v>
                </c:pt>
                <c:pt idx="1">
                  <c:v>109.10575714000001</c:v>
                </c:pt>
                <c:pt idx="2">
                  <c:v>62.462496864999991</c:v>
                </c:pt>
                <c:pt idx="3">
                  <c:v>46.187362507500005</c:v>
                </c:pt>
                <c:pt idx="4">
                  <c:v>6.6318301625</c:v>
                </c:pt>
                <c:pt idx="5">
                  <c:v>3.8624617800000007</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5062022700270093E-2"/>
          <c:y val="0.15413722949669401"/>
          <c:w val="0.85399674255071778"/>
          <c:h val="0.31539921760078976"/>
        </c:manualLayout>
      </c:layout>
      <c:barChart>
        <c:barDir val="col"/>
        <c:grouping val="clustered"/>
        <c:varyColors val="0"/>
        <c:ser>
          <c:idx val="0"/>
          <c:order val="0"/>
          <c:tx>
            <c:strRef>
              <c:f>'6. FP RER'!$O$5</c:f>
              <c:strCache>
                <c:ptCount val="1"/>
                <c:pt idx="0">
                  <c:v>Producción (GWh)</c:v>
                </c:pt>
              </c:strCache>
            </c:strRef>
          </c:tx>
          <c:invertIfNegative val="0"/>
          <c:cat>
            <c:strRef>
              <c:f>'6. FP RER'!$L$6:$L$23</c:f>
              <c:strCache>
                <c:ptCount val="18"/>
                <c:pt idx="0">
                  <c:v>C.H. RUNATULLO III</c:v>
                </c:pt>
                <c:pt idx="1">
                  <c:v>C.H. YARUCAYA</c:v>
                </c:pt>
                <c:pt idx="2">
                  <c:v>C.H. POTRERO</c:v>
                </c:pt>
                <c:pt idx="3">
                  <c:v>C.H. LAS PIZARRAS</c:v>
                </c:pt>
                <c:pt idx="4">
                  <c:v>C.H. RUNATULLO II</c:v>
                </c:pt>
                <c:pt idx="5">
                  <c:v>C.H. CARHUAQUERO IV</c:v>
                </c:pt>
                <c:pt idx="6">
                  <c:v>C.H. HUASAHUASI II</c:v>
                </c:pt>
                <c:pt idx="7">
                  <c:v>C.H. HUASAHUASI I</c:v>
                </c:pt>
                <c:pt idx="8">
                  <c:v>C.H. POECHOS II</c:v>
                </c:pt>
                <c:pt idx="9">
                  <c:v>C.H. LA JOYA</c:v>
                </c:pt>
                <c:pt idx="10">
                  <c:v>C.H. SANTA CRUZ II</c:v>
                </c:pt>
                <c:pt idx="11">
                  <c:v>C.H. SANTA CRUZ I</c:v>
                </c:pt>
                <c:pt idx="12">
                  <c:v>C.H. CANCHAYLLO</c:v>
                </c:pt>
                <c:pt idx="13">
                  <c:v>C.H. YANAPAMPA</c:v>
                </c:pt>
                <c:pt idx="14">
                  <c:v>C.H. RONCADOR</c:v>
                </c:pt>
                <c:pt idx="15">
                  <c:v>C.H. CAÑA BRAVA</c:v>
                </c:pt>
                <c:pt idx="16">
                  <c:v>C.H. IMPERIAL</c:v>
                </c:pt>
                <c:pt idx="17">
                  <c:v>C.H. PURMACANA</c:v>
                </c:pt>
              </c:strCache>
            </c:strRef>
          </c:cat>
          <c:val>
            <c:numRef>
              <c:f>'6. FP RER'!$O$6:$O$23</c:f>
              <c:numCache>
                <c:formatCode>0.00</c:formatCode>
                <c:ptCount val="18"/>
                <c:pt idx="0">
                  <c:v>13.207422449999999</c:v>
                </c:pt>
                <c:pt idx="1">
                  <c:v>12.348326535</c:v>
                </c:pt>
                <c:pt idx="2">
                  <c:v>11.852313370000001</c:v>
                </c:pt>
                <c:pt idx="3">
                  <c:v>11.770244052500001</c:v>
                </c:pt>
                <c:pt idx="4">
                  <c:v>11.09259926</c:v>
                </c:pt>
                <c:pt idx="5">
                  <c:v>6.6159434375000004</c:v>
                </c:pt>
                <c:pt idx="6">
                  <c:v>6.2916226075000008</c:v>
                </c:pt>
                <c:pt idx="7">
                  <c:v>6.0790917950000001</c:v>
                </c:pt>
                <c:pt idx="8">
                  <c:v>5.1009950675000004</c:v>
                </c:pt>
                <c:pt idx="9">
                  <c:v>4.6508904300000005</c:v>
                </c:pt>
                <c:pt idx="10">
                  <c:v>3.8740400875000001</c:v>
                </c:pt>
                <c:pt idx="11">
                  <c:v>3.4549798224999999</c:v>
                </c:pt>
                <c:pt idx="12">
                  <c:v>2.8683672500000004</c:v>
                </c:pt>
                <c:pt idx="13">
                  <c:v>2.2873479625000002</c:v>
                </c:pt>
                <c:pt idx="14">
                  <c:v>2.2851489999999997</c:v>
                </c:pt>
                <c:pt idx="15">
                  <c:v>2.275415755</c:v>
                </c:pt>
                <c:pt idx="16">
                  <c:v>2.2131999999999996</c:v>
                </c:pt>
                <c:pt idx="17">
                  <c:v>0.25669575750000001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val>
            <c:numRef>
              <c:f>'6. FP RER'!$P$6:$P$23</c:f>
              <c:numCache>
                <c:formatCode>0.00</c:formatCode>
                <c:ptCount val="18"/>
                <c:pt idx="0">
                  <c:v>0.9841713798376136</c:v>
                </c:pt>
                <c:pt idx="1">
                  <c:v>1</c:v>
                </c:pt>
                <c:pt idx="2">
                  <c:v>0.88630005458841843</c:v>
                </c:pt>
                <c:pt idx="3">
                  <c:v>0.91225229821583598</c:v>
                </c:pt>
                <c:pt idx="4">
                  <c:v>0.82658207996518596</c:v>
                </c:pt>
                <c:pt idx="5">
                  <c:v>0.98648836922356609</c:v>
                </c:pt>
                <c:pt idx="6">
                  <c:v>0.91609918220284681</c:v>
                </c:pt>
                <c:pt idx="7">
                  <c:v>0.91840279716582085</c:v>
                </c:pt>
                <c:pt idx="8">
                  <c:v>0.79318353913208439</c:v>
                </c:pt>
                <c:pt idx="9">
                  <c:v>0.89302811635944712</c:v>
                </c:pt>
                <c:pt idx="10">
                  <c:v>0.77694617336911187</c:v>
                </c:pt>
                <c:pt idx="11">
                  <c:v>0.73869813528410644</c:v>
                </c:pt>
                <c:pt idx="12">
                  <c:v>0.82242844813744376</c:v>
                </c:pt>
                <c:pt idx="13">
                  <c:v>0.86831418644466718</c:v>
                </c:pt>
                <c:pt idx="14">
                  <c:v>0.97716073139025705</c:v>
                </c:pt>
                <c:pt idx="15">
                  <c:v>0.597184365026875</c:v>
                </c:pt>
                <c:pt idx="16">
                  <c:v>0.83167989417989419</c:v>
                </c:pt>
                <c:pt idx="17">
                  <c:v>0.21340096892458099</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Factor</a:t>
                </a:r>
                <a:r>
                  <a:rPr lang="es-PA" sz="800" baseline="0">
                    <a:latin typeface="Arial" panose="020B0604020202020204" pitchFamily="34" charset="0"/>
                    <a:cs typeface="Arial" panose="020B0604020202020204" pitchFamily="34" charset="0"/>
                  </a:rPr>
                  <a:t> de Planta</a:t>
                </a:r>
                <a:endParaRPr lang="es-PA" sz="800">
                  <a:latin typeface="Arial" panose="020B0604020202020204" pitchFamily="34" charset="0"/>
                  <a:cs typeface="Arial" panose="020B0604020202020204" pitchFamily="34" charset="0"/>
                </a:endParaRPr>
              </a:p>
            </c:rich>
          </c:tx>
          <c:layout>
            <c:manualLayout>
              <c:xMode val="edge"/>
              <c:yMode val="edge"/>
              <c:x val="0.85854942532626366"/>
              <c:y val="3.8413333173692846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100852</xdr:colOff>
      <xdr:row>0</xdr:row>
      <xdr:rowOff>40821</xdr:rowOff>
    </xdr:from>
    <xdr:to>
      <xdr:col>11</xdr:col>
      <xdr:colOff>1109381</xdr:colOff>
      <xdr:row>72</xdr:row>
      <xdr:rowOff>89647</xdr:rowOff>
    </xdr:to>
    <xdr:pic>
      <xdr:nvPicPr>
        <xdr:cNvPr id="2" name="Picture 1">
          <a:extLst>
            <a:ext uri="{FF2B5EF4-FFF2-40B4-BE49-F238E27FC236}">
              <a16:creationId xmlns:a16="http://schemas.microsoft.com/office/drawing/2014/main" id="{C3ABA9EF-4C1B-4663-926D-480C60E28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852" y="40821"/>
          <a:ext cx="7104529" cy="10537532"/>
        </a:xfrm>
        <a:prstGeom prst="rect">
          <a:avLst/>
        </a:prstGeom>
        <a:solidFill>
          <a:srgbClr val="002060"/>
        </a:solidFill>
        <a:extLst/>
      </xdr:spPr>
    </xdr:pic>
    <xdr:clientData/>
  </xdr:twoCellAnchor>
  <xdr:twoCellAnchor>
    <xdr:from>
      <xdr:col>0</xdr:col>
      <xdr:colOff>179574</xdr:colOff>
      <xdr:row>58</xdr:row>
      <xdr:rowOff>143650</xdr:rowOff>
    </xdr:from>
    <xdr:to>
      <xdr:col>6</xdr:col>
      <xdr:colOff>417238</xdr:colOff>
      <xdr:row>71</xdr:row>
      <xdr:rowOff>6112</xdr:rowOff>
    </xdr:to>
    <xdr:sp macro="" textlink="">
      <xdr:nvSpPr>
        <xdr:cNvPr id="3" name="TextBox 2">
          <a:extLst>
            <a:ext uri="{FF2B5EF4-FFF2-40B4-BE49-F238E27FC236}">
              <a16:creationId xmlns:a16="http://schemas.microsoft.com/office/drawing/2014/main" id="{55D3BBEA-5B90-42B5-94DC-0D73BC60F760}"/>
            </a:ext>
          </a:extLst>
        </xdr:cNvPr>
        <xdr:cNvSpPr txBox="1"/>
      </xdr:nvSpPr>
      <xdr:spPr>
        <a:xfrm>
          <a:off x="179574" y="8592885"/>
          <a:ext cx="3397723" cy="1756256"/>
        </a:xfrm>
        <a:prstGeom prst="rect">
          <a:avLst/>
        </a:prstGeom>
        <a:solidFill>
          <a:srgbClr val="002060"/>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PE" sz="1400" b="1">
              <a:solidFill>
                <a:schemeClr val="bg1"/>
              </a:solidFill>
              <a:effectLst/>
              <a:latin typeface="Arial" panose="020B0604020202020204" pitchFamily="34" charset="0"/>
              <a:ea typeface="+mn-ea"/>
              <a:cs typeface="Arial" panose="020B0604020202020204" pitchFamily="34" charset="0"/>
            </a:rPr>
            <a:t>OPERACIÓN</a:t>
          </a:r>
          <a:r>
            <a:rPr lang="es-PE" sz="1400" b="1" baseline="0">
              <a:solidFill>
                <a:schemeClr val="bg1"/>
              </a:solidFill>
              <a:effectLst/>
              <a:latin typeface="Arial" panose="020B0604020202020204" pitchFamily="34" charset="0"/>
              <a:ea typeface="+mn-ea"/>
              <a:cs typeface="Arial" panose="020B0604020202020204" pitchFamily="34" charset="0"/>
            </a:rPr>
            <a:t>  MENSUAL DEL SEIN</a:t>
          </a:r>
        </a:p>
        <a:p>
          <a:pPr algn="l"/>
          <a:endParaRPr lang="es-PE" sz="1200">
            <a:solidFill>
              <a:schemeClr val="bg1"/>
            </a:solidFill>
            <a:effectLst/>
            <a:latin typeface="Arial" panose="020B0604020202020204" pitchFamily="34" charset="0"/>
            <a:cs typeface="Arial" panose="020B0604020202020204" pitchFamily="34" charset="0"/>
          </a:endParaRPr>
        </a:p>
        <a:p>
          <a:pPr algn="l"/>
          <a:r>
            <a:rPr lang="es-PE" sz="3600" b="1">
              <a:solidFill>
                <a:schemeClr val="bg1"/>
              </a:solidFill>
              <a:effectLst/>
              <a:latin typeface="Arial" panose="020B0604020202020204" pitchFamily="34" charset="0"/>
              <a:ea typeface="+mn-ea"/>
              <a:cs typeface="Arial" panose="020B0604020202020204" pitchFamily="34" charset="0"/>
            </a:rPr>
            <a:t>FEBRERO</a:t>
          </a:r>
        </a:p>
        <a:p>
          <a:pPr algn="l"/>
          <a:r>
            <a:rPr lang="es-PE" sz="3600" b="1">
              <a:solidFill>
                <a:schemeClr val="bg1"/>
              </a:solidFill>
              <a:effectLst/>
              <a:latin typeface="Arial" panose="020B0604020202020204" pitchFamily="34" charset="0"/>
              <a:ea typeface="+mn-ea"/>
              <a:cs typeface="Arial" panose="020B0604020202020204" pitchFamily="34" charset="0"/>
            </a:rPr>
            <a:t>2018</a:t>
          </a:r>
          <a:endParaRPr lang="es-PE" sz="360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189698</xdr:colOff>
      <xdr:row>0</xdr:row>
      <xdr:rowOff>118463</xdr:rowOff>
    </xdr:from>
    <xdr:to>
      <xdr:col>11</xdr:col>
      <xdr:colOff>1020222</xdr:colOff>
      <xdr:row>4</xdr:row>
      <xdr:rowOff>73640</xdr:rowOff>
    </xdr:to>
    <xdr:sp macro="" textlink="">
      <xdr:nvSpPr>
        <xdr:cNvPr id="4" name="Rectangle 3">
          <a:extLst>
            <a:ext uri="{FF2B5EF4-FFF2-40B4-BE49-F238E27FC236}">
              <a16:creationId xmlns:a16="http://schemas.microsoft.com/office/drawing/2014/main" id="{ED8D6CDF-F98A-4AAA-9BD7-C88E28EEF327}"/>
            </a:ext>
          </a:extLst>
        </xdr:cNvPr>
        <xdr:cNvSpPr/>
      </xdr:nvSpPr>
      <xdr:spPr>
        <a:xfrm>
          <a:off x="189698" y="118463"/>
          <a:ext cx="6926524" cy="537883"/>
        </a:xfrm>
        <a:prstGeom prst="rect">
          <a:avLst/>
        </a:prstGeom>
        <a:solidFill>
          <a:srgbClr val="00206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72000" rIns="91440" bIns="0" numCol="1" spcCol="0" rtlCol="0" fromWordArt="0" anchor="ctr" anchorCtr="0" forceAA="0" compatLnSpc="1">
          <a:prstTxWarp prst="textNoShape">
            <a:avLst/>
          </a:prstTxWarp>
          <a:noAutofit/>
        </a:bodyPr>
        <a:lstStyle/>
        <a:p>
          <a:pPr algn="ctr">
            <a:lnSpc>
              <a:spcPct val="115000"/>
            </a:lnSpc>
            <a:spcAft>
              <a:spcPts val="0"/>
            </a:spcAft>
          </a:pPr>
          <a:r>
            <a:rPr lang="en-GB" sz="1800" b="1">
              <a:solidFill>
                <a:schemeClr val="bg1"/>
              </a:solidFill>
              <a:effectLst/>
              <a:latin typeface="Arial" panose="020B0604020202020204" pitchFamily="34" charset="0"/>
              <a:ea typeface="Tahoma" panose="020B0604030504040204" pitchFamily="34" charset="0"/>
              <a:cs typeface="Arial" panose="020B0604020202020204" pitchFamily="34" charset="0"/>
            </a:rPr>
            <a:t>INFORME DE LA OPERACIÓN</a:t>
          </a:r>
          <a:r>
            <a:rPr lang="en-GB" sz="1800" b="1" baseline="0">
              <a:solidFill>
                <a:schemeClr val="bg1"/>
              </a:solidFill>
              <a:effectLst/>
              <a:latin typeface="Arial" panose="020B0604020202020204" pitchFamily="34" charset="0"/>
              <a:ea typeface="Tahoma" panose="020B0604030504040204" pitchFamily="34" charset="0"/>
              <a:cs typeface="Arial" panose="020B0604020202020204" pitchFamily="34" charset="0"/>
            </a:rPr>
            <a:t> MENSUAL DEL SEIN </a:t>
          </a:r>
          <a:endParaRPr lang="en-GB" sz="1800">
            <a:solidFill>
              <a:schemeClr val="bg1"/>
            </a:solidFill>
            <a:effectLst/>
            <a:latin typeface="Arial" panose="020B0604020202020204" pitchFamily="34" charset="0"/>
            <a:ea typeface="Tahoma" panose="020B060403050404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63</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112797</xdr:rowOff>
    </xdr:from>
    <xdr:to>
      <xdr:col>8</xdr:col>
      <xdr:colOff>472109</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182218</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121035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49500</xdr:colOff>
      <xdr:row>2</xdr:row>
      <xdr:rowOff>99391</xdr:rowOff>
    </xdr:from>
    <xdr:to>
      <xdr:col>11</xdr:col>
      <xdr:colOff>596348</xdr:colOff>
      <xdr:row>61</xdr:row>
      <xdr:rowOff>143290</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49500" y="571500"/>
          <a:ext cx="6402652" cy="8649529"/>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CAJAMARCA 220</a:t>
          </a:r>
        </a:p>
        <a:p>
          <a:pPr algn="ctr"/>
          <a:r>
            <a:rPr lang="es-PE" sz="600" b="1">
              <a:solidFill>
                <a:schemeClr val="tx1"/>
              </a:solidFill>
              <a:latin typeface="Arial" panose="020B0604020202020204" pitchFamily="34" charset="0"/>
              <a:cs typeface="Arial" panose="020B0604020202020204" pitchFamily="34" charset="0"/>
            </a:rPr>
            <a:t>(29,59</a:t>
          </a:r>
          <a:r>
            <a:rPr lang="es-PE" sz="600" b="1" baseline="0">
              <a:solidFill>
                <a:schemeClr val="tx1"/>
              </a:solidFill>
              <a:latin typeface="Arial" panose="020B0604020202020204" pitchFamily="34" charset="0"/>
              <a:cs typeface="Arial" panose="020B0604020202020204" pitchFamily="34" charset="0"/>
            </a:rPr>
            <a:t> USD/MWh)</a:t>
          </a: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487976" y="2879271"/>
          <a:ext cx="972196" cy="363375"/>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CHICLAYO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(30,65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345852</xdr:colOff>
      <xdr:row>29</xdr:row>
      <xdr:rowOff>26102</xdr:rowOff>
    </xdr:from>
    <xdr:to>
      <xdr:col>6</xdr:col>
      <xdr:colOff>304800</xdr:colOff>
      <xdr:row>31</xdr:row>
      <xdr:rowOff>130628</xdr:rowOff>
    </xdr:to>
    <xdr:sp macro="" textlink="">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35909" y="4320516"/>
          <a:ext cx="1003977" cy="387555"/>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CHIMBOTE138</a:t>
          </a:r>
        </a:p>
        <a:p>
          <a:pPr algn="ctr"/>
          <a:r>
            <a:rPr lang="es-PE" sz="600" b="1">
              <a:solidFill>
                <a:schemeClr val="tx1"/>
              </a:solidFill>
              <a:latin typeface="Arial" panose="020B0604020202020204" pitchFamily="34" charset="0"/>
              <a:cs typeface="Arial" panose="020B0604020202020204" pitchFamily="34" charset="0"/>
            </a:rPr>
            <a:t>(29,98</a:t>
          </a:r>
          <a:r>
            <a:rPr lang="es-PE" sz="600" b="1" baseline="0">
              <a:solidFill>
                <a:schemeClr val="tx1"/>
              </a:solidFill>
              <a:latin typeface="Arial" panose="020B0604020202020204" pitchFamily="34" charset="0"/>
              <a:cs typeface="Arial" panose="020B0604020202020204" pitchFamily="34" charset="0"/>
            </a:rPr>
            <a:t> </a:t>
          </a:r>
          <a:r>
            <a:rPr lang="es-PE" sz="600" b="1">
              <a:solidFill>
                <a:schemeClr val="tx1"/>
              </a:solidFill>
              <a:latin typeface="Arial" panose="020B0604020202020204" pitchFamily="34" charset="0"/>
              <a:cs typeface="Arial" panose="020B0604020202020204" pitchFamily="34" charset="0"/>
            </a:rPr>
            <a:t>USD/MWh)</a:t>
          </a:r>
        </a:p>
      </xdr:txBody>
    </xdr:sp>
    <xdr:clientData/>
  </xdr:twoCellAnchor>
  <xdr:twoCellAnchor>
    <xdr:from>
      <xdr:col>2</xdr:col>
      <xdr:colOff>103904</xdr:colOff>
      <xdr:row>14</xdr:row>
      <xdr:rowOff>95106</xdr:rowOff>
    </xdr:from>
    <xdr:to>
      <xdr:col>4</xdr:col>
      <xdr:colOff>97972</xdr:colOff>
      <xdr:row>17</xdr:row>
      <xdr:rowOff>59872</xdr:rowOff>
    </xdr:to>
    <xdr:sp macro="" textlink="">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PIURA OESTE 220</a:t>
          </a:r>
        </a:p>
        <a:p>
          <a:pPr algn="ctr"/>
          <a:r>
            <a:rPr lang="es-PE" sz="600" b="1">
              <a:solidFill>
                <a:schemeClr val="tx1"/>
              </a:solidFill>
              <a:latin typeface="Arial" panose="020B0604020202020204" pitchFamily="34" charset="0"/>
              <a:cs typeface="Arial" panose="020B0604020202020204" pitchFamily="34" charset="0"/>
            </a:rPr>
            <a:t>(31,38 USD/MWh)</a:t>
          </a:r>
        </a:p>
      </xdr:txBody>
    </xdr:sp>
    <xdr:clientData/>
  </xdr:twoCellAnchor>
  <xdr:twoCellAnchor>
    <xdr:from>
      <xdr:col>7</xdr:col>
      <xdr:colOff>309300</xdr:colOff>
      <xdr:row>50</xdr:row>
      <xdr:rowOff>120443</xdr:rowOff>
    </xdr:from>
    <xdr:to>
      <xdr:col>9</xdr:col>
      <xdr:colOff>266700</xdr:colOff>
      <xdr:row>53</xdr:row>
      <xdr:rowOff>5443</xdr:rowOff>
    </xdr:to>
    <xdr:sp macro="" textlink="">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3966900" y="7408429"/>
          <a:ext cx="1002429" cy="374857"/>
        </a:xfrm>
        <a:prstGeom prst="wedgeRoundRectCallout">
          <a:avLst>
            <a:gd name="adj1" fmla="val -29846"/>
            <a:gd name="adj2" fmla="val -13013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COTARUSE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(28,58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191814</xdr:colOff>
      <xdr:row>39</xdr:row>
      <xdr:rowOff>108858</xdr:rowOff>
    </xdr:from>
    <xdr:to>
      <xdr:col>10</xdr:col>
      <xdr:colOff>195941</xdr:colOff>
      <xdr:row>42</xdr:row>
      <xdr:rowOff>74965</xdr:rowOff>
    </xdr:to>
    <xdr:sp macro="" textlink="">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371928" y="5818415"/>
          <a:ext cx="1049156" cy="390650"/>
        </a:xfrm>
        <a:prstGeom prst="wedgeRoundRectCallout">
          <a:avLst>
            <a:gd name="adj1" fmla="val -21224"/>
            <a:gd name="adj2" fmla="val 14181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DOLORESPATA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(28,76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250764</xdr:colOff>
      <xdr:row>25</xdr:row>
      <xdr:rowOff>38100</xdr:rowOff>
    </xdr:from>
    <xdr:to>
      <xdr:col>6</xdr:col>
      <xdr:colOff>185057</xdr:colOff>
      <xdr:row>28</xdr:row>
      <xdr:rowOff>1657</xdr:rowOff>
    </xdr:to>
    <xdr:sp macro="" textlink="">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40821" y="3766457"/>
          <a:ext cx="979322" cy="388100"/>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TRUJILLO 220</a:t>
          </a:r>
        </a:p>
        <a:p>
          <a:pPr algn="ctr"/>
          <a:r>
            <a:rPr lang="es-PE" sz="600" b="1">
              <a:solidFill>
                <a:schemeClr val="tx1"/>
              </a:solidFill>
              <a:latin typeface="Arial" panose="020B0604020202020204" pitchFamily="34" charset="0"/>
              <a:cs typeface="Arial" panose="020B0604020202020204" pitchFamily="34" charset="0"/>
            </a:rPr>
            <a:t>(30,18</a:t>
          </a:r>
          <a:r>
            <a:rPr lang="es-PE" sz="600" b="1" baseline="0">
              <a:solidFill>
                <a:schemeClr val="tx1"/>
              </a:solidFill>
              <a:latin typeface="Arial" panose="020B0604020202020204" pitchFamily="34" charset="0"/>
              <a:cs typeface="Arial" panose="020B0604020202020204" pitchFamily="34" charset="0"/>
            </a:rPr>
            <a:t> USD/MWh)</a:t>
          </a: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74157</xdr:colOff>
      <xdr:row>54</xdr:row>
      <xdr:rowOff>16565</xdr:rowOff>
    </xdr:from>
    <xdr:to>
      <xdr:col>11</xdr:col>
      <xdr:colOff>375557</xdr:colOff>
      <xdr:row>56</xdr:row>
      <xdr:rowOff>97971</xdr:rowOff>
    </xdr:to>
    <xdr:sp macro="" textlink="">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299300" y="7957694"/>
          <a:ext cx="938214" cy="407977"/>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PUNO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(29,80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54428</xdr:colOff>
      <xdr:row>35</xdr:row>
      <xdr:rowOff>76200</xdr:rowOff>
    </xdr:from>
    <xdr:to>
      <xdr:col>5</xdr:col>
      <xdr:colOff>44375</xdr:colOff>
      <xdr:row>38</xdr:row>
      <xdr:rowOff>55645</xdr:rowOff>
    </xdr:to>
    <xdr:sp macro="" textlink="">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21971" y="5219700"/>
          <a:ext cx="1034975" cy="403988"/>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CARABAYLLO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(29,76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277587</xdr:colOff>
      <xdr:row>54</xdr:row>
      <xdr:rowOff>122605</xdr:rowOff>
    </xdr:from>
    <xdr:to>
      <xdr:col>9</xdr:col>
      <xdr:colOff>165726</xdr:colOff>
      <xdr:row>57</xdr:row>
      <xdr:rowOff>48986</xdr:rowOff>
    </xdr:to>
    <xdr:sp macro="" textlink="">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35187" y="8063734"/>
          <a:ext cx="933168" cy="416238"/>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SOCABAYA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(29,70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244244</xdr:colOff>
      <xdr:row>41</xdr:row>
      <xdr:rowOff>70757</xdr:rowOff>
    </xdr:from>
    <xdr:to>
      <xdr:col>11</xdr:col>
      <xdr:colOff>587828</xdr:colOff>
      <xdr:row>44</xdr:row>
      <xdr:rowOff>27868</xdr:rowOff>
    </xdr:to>
    <xdr:sp macro="" textlink="">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469387" y="6063343"/>
          <a:ext cx="980398" cy="381654"/>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SAN GABAN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(26,66 USD/MWh)</a:t>
          </a:r>
          <a:br>
            <a:rPr lang="es-PE" sz="600" b="1">
              <a:solidFill>
                <a:sysClr val="windowText" lastClr="000000"/>
              </a:solidFill>
              <a:latin typeface="Arial" panose="020B0604020202020204" pitchFamily="34" charset="0"/>
              <a:cs typeface="Arial" panose="020B0604020202020204" pitchFamily="34" charset="0"/>
            </a:rPr>
          </a:br>
          <a:br>
            <a:rPr lang="es-PE" sz="600" b="1">
              <a:solidFill>
                <a:sysClr val="windowText" lastClr="000000"/>
              </a:solidFill>
              <a:latin typeface="Arial" panose="020B0604020202020204" pitchFamily="34" charset="0"/>
              <a:cs typeface="Arial" panose="020B0604020202020204" pitchFamily="34" charset="0"/>
            </a:rPr>
          </a:br>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CHAVARRÍA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(29,76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359386</xdr:colOff>
      <xdr:row>47</xdr:row>
      <xdr:rowOff>128091</xdr:rowOff>
    </xdr:from>
    <xdr:to>
      <xdr:col>7</xdr:col>
      <xdr:colOff>338587</xdr:colOff>
      <xdr:row>50</xdr:row>
      <xdr:rowOff>110750</xdr:rowOff>
    </xdr:to>
    <xdr:sp macro="" textlink="">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2971957" y="6969762"/>
          <a:ext cx="1024230" cy="428974"/>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INDEPENDENCIA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(29,10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190500</xdr:colOff>
      <xdr:row>34</xdr:row>
      <xdr:rowOff>96497</xdr:rowOff>
    </xdr:from>
    <xdr:to>
      <xdr:col>7</xdr:col>
      <xdr:colOff>100091</xdr:colOff>
      <xdr:row>37</xdr:row>
      <xdr:rowOff>3229</xdr:rowOff>
    </xdr:to>
    <xdr:sp macro="" textlink="">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805839" y="4926802"/>
          <a:ext cx="955727" cy="332935"/>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OROYA NUEVA 50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(27,39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37308</xdr:colOff>
      <xdr:row>48</xdr:row>
      <xdr:rowOff>103014</xdr:rowOff>
    </xdr:from>
    <xdr:to>
      <xdr:col>11</xdr:col>
      <xdr:colOff>429986</xdr:colOff>
      <xdr:row>51</xdr:row>
      <xdr:rowOff>32658</xdr:rowOff>
    </xdr:to>
    <xdr:sp macro="" textlink="">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262451" y="7086200"/>
          <a:ext cx="1029492" cy="397729"/>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TINTAYA NUEVA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(30,63 USD/MWh)</a:t>
          </a:r>
          <a:endParaRPr lang="es-PE" sz="600">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238412</xdr:colOff>
      <xdr:row>38</xdr:row>
      <xdr:rowOff>39012</xdr:rowOff>
    </xdr:from>
    <xdr:to>
      <xdr:col>8</xdr:col>
      <xdr:colOff>146958</xdr:colOff>
      <xdr:row>41</xdr:row>
      <xdr:rowOff>43542</xdr:rowOff>
    </xdr:to>
    <xdr:sp macro="" textlink="">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373498" y="5607055"/>
          <a:ext cx="953574" cy="429073"/>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POMACOCHA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(28,32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419336</xdr:colOff>
      <xdr:row>41</xdr:row>
      <xdr:rowOff>118773</xdr:rowOff>
    </xdr:from>
    <xdr:to>
      <xdr:col>7</xdr:col>
      <xdr:colOff>440870</xdr:colOff>
      <xdr:row>44</xdr:row>
      <xdr:rowOff>76199</xdr:rowOff>
    </xdr:to>
    <xdr:sp macro="" textlink="">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31907" y="6111359"/>
          <a:ext cx="1066563"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SAN JUAN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(29,48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ysClr val="windowText" lastClr="000000"/>
              </a:solidFill>
              <a:latin typeface="Arial" panose="020B0604020202020204" pitchFamily="34" charset="0"/>
              <a:cs typeface="Arial" panose="020B0604020202020204" pitchFamily="34" charset="0"/>
            </a:rPr>
            <a:t>SANTA ROSA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(29,68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250371</xdr:colOff>
      <xdr:row>58</xdr:row>
      <xdr:rowOff>17070</xdr:rowOff>
    </xdr:from>
    <xdr:to>
      <xdr:col>10</xdr:col>
      <xdr:colOff>212271</xdr:colOff>
      <xdr:row>60</xdr:row>
      <xdr:rowOff>65314</xdr:rowOff>
    </xdr:to>
    <xdr:sp macro="" textlink="">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30485" y="8611341"/>
          <a:ext cx="1006929" cy="374816"/>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MOQUEGUA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(29,57 USD/MWh)</a:t>
          </a:r>
          <a:endParaRPr lang="es-PE" sz="6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13</xdr:row>
      <xdr:rowOff>135639</xdr:rowOff>
    </xdr:from>
    <xdr:to>
      <xdr:col>7</xdr:col>
      <xdr:colOff>654327</xdr:colOff>
      <xdr:row>53</xdr:row>
      <xdr:rowOff>66261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0.48902</cdr:x>
      <cdr:y>0.59982</cdr:y>
    </cdr:from>
    <cdr:to>
      <cdr:x>0.59062</cdr:x>
      <cdr:y>0.68569</cdr:y>
    </cdr:to>
    <cdr:sp macro="" textlink="">
      <cdr:nvSpPr>
        <cdr:cNvPr id="5" name="TextBox 1"/>
        <cdr:cNvSpPr txBox="1"/>
      </cdr:nvSpPr>
      <cdr:spPr>
        <a:xfrm xmlns:a="http://schemas.openxmlformats.org/drawingml/2006/main">
          <a:off x="4477124"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0.84398</cdr:x>
      <cdr:y>0.59982</cdr:y>
    </cdr:from>
    <cdr:to>
      <cdr:x>0.94557</cdr:x>
      <cdr:y>0.68569</cdr:y>
    </cdr:to>
    <cdr:sp macro="" textlink="">
      <cdr:nvSpPr>
        <cdr:cNvPr id="7" name="TextBox 1"/>
        <cdr:cNvSpPr txBox="1"/>
      </cdr:nvSpPr>
      <cdr:spPr>
        <a:xfrm xmlns:a="http://schemas.openxmlformats.org/drawingml/2006/main">
          <a:off x="7726829"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155380</xdr:colOff>
      <xdr:row>17</xdr:row>
      <xdr:rowOff>61581</xdr:rowOff>
    </xdr:from>
    <xdr:to>
      <xdr:col>3</xdr:col>
      <xdr:colOff>111672</xdr:colOff>
      <xdr:row>32</xdr:row>
      <xdr:rowOff>119062</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300656</xdr:colOff>
      <xdr:row>17</xdr:row>
      <xdr:rowOff>56625</xdr:rowOff>
    </xdr:from>
    <xdr:to>
      <xdr:col>9</xdr:col>
      <xdr:colOff>654844</xdr:colOff>
      <xdr:row>34</xdr:row>
      <xdr:rowOff>0</xdr:rowOff>
    </xdr:to>
    <xdr:graphicFrame macro="">
      <xdr:nvGraphicFramePr>
        <xdr:cNvPr id="3" name="Chart 2">
          <a:extLst>
            <a:ext uri="{FF2B5EF4-FFF2-40B4-BE49-F238E27FC236}">
              <a16:creationId xmlns:a16="http://schemas.microsoft.com/office/drawing/2014/main" id="{0C1AFE6C-4365-4A87-BD3D-A2294714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773906</xdr:colOff>
      <xdr:row>38</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endParaRPr lang="en-GB" sz="120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Jaime Guerra Montes de Oca</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Tomás Montesinos Yépez</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Jorge Izquierdo Ríos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r>
            <a:rPr lang="en-GB" sz="1100" baseline="0">
              <a:effectLst/>
              <a:latin typeface="Arial" panose="020B0604020202020204" pitchFamily="34" charset="0"/>
              <a:ea typeface="Wingdings-Regular"/>
              <a:cs typeface="Arial" panose="020B0604020202020204" pitchFamily="34" charset="0"/>
            </a:rPr>
            <a:t> SINAC</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Anexos: 548 - 627  </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40341</xdr:colOff>
      <xdr:row>54</xdr:row>
      <xdr:rowOff>85725</xdr:rowOff>
    </xdr:from>
    <xdr:to>
      <xdr:col>7</xdr:col>
      <xdr:colOff>161925</xdr:colOff>
      <xdr:row>60</xdr:row>
      <xdr:rowOff>123825</xdr:rowOff>
    </xdr:to>
    <xdr:pic>
      <xdr:nvPicPr>
        <xdr:cNvPr id="3" name="Picture 2">
          <a:extLst>
            <a:ext uri="{FF2B5EF4-FFF2-40B4-BE49-F238E27FC236}">
              <a16:creationId xmlns:a16="http://schemas.microsoft.com/office/drawing/2014/main" id="{E87B2844-74B3-4DAE-B79A-B76A72481A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1966" y="7820025"/>
          <a:ext cx="2217084" cy="8953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161192</xdr:colOff>
      <xdr:row>37</xdr:row>
      <xdr:rowOff>131886</xdr:rowOff>
    </xdr:from>
    <xdr:to>
      <xdr:col>9</xdr:col>
      <xdr:colOff>564630</xdr:colOff>
      <xdr:row>56</xdr:row>
      <xdr:rowOff>2963</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267894</xdr:colOff>
      <xdr:row>10</xdr:row>
      <xdr:rowOff>101202</xdr:rowOff>
    </xdr:from>
    <xdr:to>
      <xdr:col>8</xdr:col>
      <xdr:colOff>422671</xdr:colOff>
      <xdr:row>24</xdr:row>
      <xdr:rowOff>44053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287125</xdr:colOff>
      <xdr:row>11</xdr:row>
      <xdr:rowOff>18776</xdr:rowOff>
    </xdr:from>
    <xdr:to>
      <xdr:col>2</xdr:col>
      <xdr:colOff>126391</xdr:colOff>
      <xdr:row>12</xdr:row>
      <xdr:rowOff>51290</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953875" y="2334084"/>
          <a:ext cx="506016" cy="17905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8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21</xdr:row>
      <xdr:rowOff>58869</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14</xdr:row>
      <xdr:rowOff>136922</xdr:rowOff>
    </xdr:from>
    <xdr:to>
      <xdr:col>10</xdr:col>
      <xdr:colOff>445077</xdr:colOff>
      <xdr:row>32</xdr:row>
      <xdr:rowOff>51289</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139212</xdr:colOff>
      <xdr:row>36</xdr:row>
      <xdr:rowOff>80597</xdr:rowOff>
    </xdr:from>
    <xdr:to>
      <xdr:col>10</xdr:col>
      <xdr:colOff>410308</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108701</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156130</xdr:colOff>
      <xdr:row>4</xdr:row>
      <xdr:rowOff>26276</xdr:rowOff>
    </xdr:from>
    <xdr:to>
      <xdr:col>9</xdr:col>
      <xdr:colOff>479534</xdr:colOff>
      <xdr:row>63</xdr:row>
      <xdr:rowOff>39414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874EE-413F-4297-BCA5-BC7D6A269D57}">
  <sheetPr>
    <tabColor theme="4"/>
  </sheetPr>
  <dimension ref="A1:M66"/>
  <sheetViews>
    <sheetView showGridLines="0" tabSelected="1" view="pageBreakPreview" zoomScaleNormal="70" zoomScaleSheetLayoutView="100" zoomScalePageLayoutView="85" workbookViewId="0">
      <selection activeCell="K12" sqref="K12"/>
    </sheetView>
  </sheetViews>
  <sheetFormatPr defaultRowHeight="11.25"/>
  <cols>
    <col min="9" max="9" width="14.6640625" customWidth="1"/>
    <col min="12" max="12" width="20.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c r="A5" s="1"/>
      <c r="B5" s="1"/>
      <c r="C5" s="1"/>
      <c r="D5" s="1"/>
      <c r="E5" s="1"/>
      <c r="F5" s="1"/>
      <c r="G5" s="1"/>
      <c r="H5" s="1"/>
      <c r="I5" s="1"/>
      <c r="J5" s="1"/>
      <c r="K5" s="1"/>
      <c r="L5" s="1"/>
      <c r="M5" s="1"/>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c r="B8" s="1"/>
      <c r="C8" s="1"/>
      <c r="D8" s="1"/>
      <c r="E8" s="1"/>
      <c r="F8" s="1"/>
      <c r="G8" s="1"/>
      <c r="H8" s="1"/>
      <c r="I8" s="1"/>
      <c r="J8" s="1"/>
      <c r="K8" s="1"/>
      <c r="L8" s="1"/>
      <c r="M8" s="1"/>
    </row>
    <row r="9" spans="1:13">
      <c r="A9" s="1"/>
      <c r="B9" s="1"/>
      <c r="C9" s="1"/>
      <c r="D9" s="1"/>
      <c r="E9" s="1"/>
      <c r="F9" s="1"/>
      <c r="G9" s="1"/>
      <c r="H9" s="1"/>
      <c r="I9" s="1"/>
      <c r="J9" s="1"/>
      <c r="K9" s="1"/>
      <c r="L9" s="1"/>
      <c r="M9" s="1"/>
    </row>
    <row r="10" spans="1:13">
      <c r="A10" s="1"/>
      <c r="B10" s="1"/>
      <c r="C10" s="1"/>
      <c r="D10" s="1"/>
      <c r="E10" s="1"/>
      <c r="F10" s="1"/>
      <c r="G10" s="1"/>
      <c r="H10" s="1"/>
      <c r="I10" s="1"/>
      <c r="J10" s="1"/>
      <c r="K10" s="1"/>
      <c r="L10" s="1"/>
      <c r="M10" s="1"/>
    </row>
    <row r="11" spans="1:13">
      <c r="A11" s="1"/>
      <c r="B11" s="1"/>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row r="20" spans="1:13">
      <c r="A20" s="1"/>
      <c r="B20" s="1"/>
      <c r="C20" s="1"/>
      <c r="D20" s="1"/>
      <c r="E20" s="1"/>
      <c r="F20" s="1"/>
      <c r="G20" s="1"/>
      <c r="H20" s="1"/>
      <c r="I20" s="1"/>
      <c r="J20" s="1"/>
      <c r="K20" s="1"/>
      <c r="L20" s="1"/>
      <c r="M20" s="1"/>
    </row>
    <row r="21" spans="1:13">
      <c r="A21" s="1"/>
      <c r="B21" s="1"/>
      <c r="C21" s="1"/>
      <c r="D21" s="1"/>
      <c r="E21" s="1"/>
      <c r="F21" s="1"/>
      <c r="G21" s="1"/>
      <c r="H21" s="1"/>
      <c r="I21" s="1"/>
      <c r="J21" s="1"/>
      <c r="K21" s="1"/>
      <c r="L21" s="1"/>
      <c r="M21" s="1"/>
    </row>
    <row r="22" spans="1:13">
      <c r="A22" s="1"/>
      <c r="B22" s="1"/>
      <c r="C22" s="1"/>
      <c r="D22" s="1"/>
      <c r="E22" s="1"/>
      <c r="F22" s="1"/>
      <c r="G22" s="1"/>
      <c r="H22" s="1"/>
      <c r="I22" s="1"/>
      <c r="J22" s="1"/>
      <c r="K22" s="1"/>
      <c r="L22" s="1"/>
      <c r="M22" s="1"/>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row r="26" spans="1:13">
      <c r="A26" s="1"/>
      <c r="B26" s="1"/>
      <c r="C26" s="1"/>
      <c r="D26" s="1"/>
      <c r="E26" s="1"/>
      <c r="F26" s="1"/>
      <c r="G26" s="1"/>
      <c r="H26" s="1"/>
      <c r="I26" s="1"/>
      <c r="J26" s="1"/>
      <c r="K26" s="1"/>
      <c r="L26" s="1"/>
      <c r="M26" s="1"/>
    </row>
    <row r="27" spans="1:13">
      <c r="A27" s="1"/>
      <c r="B27" s="1"/>
      <c r="C27" s="1"/>
      <c r="D27" s="1"/>
      <c r="E27" s="1"/>
      <c r="F27" s="1"/>
      <c r="G27" s="1"/>
      <c r="H27" s="1"/>
      <c r="I27" s="1"/>
      <c r="J27" s="1"/>
      <c r="K27" s="1"/>
      <c r="L27" s="1"/>
      <c r="M27" s="1"/>
    </row>
    <row r="28" spans="1:13">
      <c r="A28" s="1"/>
      <c r="B28" s="1"/>
      <c r="C28" s="1"/>
      <c r="D28" s="1"/>
      <c r="E28" s="1"/>
      <c r="F28" s="1"/>
      <c r="G28" s="1"/>
      <c r="H28" s="1"/>
      <c r="I28" s="1"/>
      <c r="J28" s="1"/>
      <c r="K28" s="1"/>
      <c r="L28" s="1"/>
      <c r="M28" s="1"/>
    </row>
    <row r="29" spans="1:13">
      <c r="A29" s="1"/>
      <c r="B29" s="1"/>
      <c r="C29" s="1"/>
      <c r="D29" s="1"/>
      <c r="E29" s="1"/>
      <c r="F29" s="1"/>
      <c r="G29" s="1"/>
      <c r="H29" s="1"/>
      <c r="I29" s="1"/>
      <c r="J29" s="1"/>
      <c r="K29" s="1"/>
      <c r="L29" s="1"/>
      <c r="M29" s="1"/>
    </row>
    <row r="30" spans="1:13">
      <c r="A30" s="1"/>
      <c r="B30" s="1"/>
      <c r="C30" s="1"/>
      <c r="D30" s="1"/>
      <c r="E30" s="1"/>
      <c r="F30" s="1"/>
      <c r="G30" s="1"/>
      <c r="H30" s="1"/>
      <c r="I30" s="1"/>
      <c r="J30" s="1"/>
      <c r="K30" s="1"/>
      <c r="L30" s="1"/>
      <c r="M30" s="1"/>
    </row>
    <row r="31" spans="1:13">
      <c r="A31" s="1"/>
      <c r="B31" s="1"/>
      <c r="C31" s="1"/>
      <c r="D31" s="1"/>
      <c r="E31" s="1"/>
      <c r="F31" s="1"/>
      <c r="G31" s="1"/>
      <c r="H31" s="1"/>
      <c r="I31" s="1"/>
      <c r="J31" s="1"/>
      <c r="K31" s="1"/>
      <c r="L31" s="1"/>
      <c r="M31" s="1"/>
    </row>
    <row r="32" spans="1:13">
      <c r="A32" s="1"/>
      <c r="B32" s="1"/>
      <c r="C32" s="1"/>
      <c r="D32" s="1"/>
      <c r="E32" s="1"/>
      <c r="F32" s="1"/>
      <c r="G32" s="1"/>
      <c r="H32" s="1"/>
      <c r="I32" s="1"/>
      <c r="J32" s="1"/>
      <c r="K32" s="1"/>
      <c r="L32" s="1"/>
      <c r="M32" s="1"/>
    </row>
    <row r="33" spans="1:13">
      <c r="A33" s="1"/>
      <c r="B33" s="1"/>
      <c r="C33" s="1"/>
      <c r="D33" s="1"/>
      <c r="E33" s="1"/>
      <c r="F33" s="1"/>
      <c r="G33" s="1"/>
      <c r="H33" s="1"/>
      <c r="I33" s="1"/>
      <c r="J33" s="1"/>
      <c r="K33" s="1"/>
      <c r="L33" s="1"/>
      <c r="M33" s="1"/>
    </row>
    <row r="34" spans="1:13">
      <c r="A34" s="1"/>
      <c r="B34" s="1"/>
      <c r="C34" s="1"/>
      <c r="D34" s="1"/>
      <c r="E34" s="1"/>
      <c r="F34" s="1"/>
      <c r="G34" s="1"/>
      <c r="H34" s="1"/>
      <c r="I34" s="1"/>
      <c r="J34" s="1"/>
      <c r="K34" s="1"/>
      <c r="L34" s="1"/>
      <c r="M34" s="1"/>
    </row>
    <row r="35" spans="1:13">
      <c r="A35" s="1"/>
      <c r="B35" s="1"/>
      <c r="C35" s="1"/>
      <c r="D35" s="1"/>
      <c r="E35" s="1"/>
      <c r="F35" s="1"/>
      <c r="G35" s="1"/>
      <c r="H35" s="1"/>
      <c r="I35" s="1"/>
      <c r="J35" s="1"/>
      <c r="K35" s="1"/>
      <c r="L35" s="1"/>
      <c r="M35" s="1"/>
    </row>
    <row r="36" spans="1:13">
      <c r="A36" s="1"/>
      <c r="B36" s="1"/>
      <c r="C36" s="1"/>
      <c r="D36" s="1"/>
      <c r="E36" s="1"/>
      <c r="F36" s="1"/>
      <c r="G36" s="1"/>
      <c r="H36" s="1"/>
      <c r="I36" s="1"/>
      <c r="J36" s="1"/>
      <c r="K36" s="1"/>
      <c r="L36" s="1"/>
      <c r="M36" s="1"/>
    </row>
    <row r="37" spans="1:13">
      <c r="A37" s="1"/>
      <c r="B37" s="1"/>
      <c r="C37" s="1"/>
      <c r="D37" s="1"/>
      <c r="E37" s="1"/>
      <c r="F37" s="1"/>
      <c r="G37" s="1"/>
      <c r="H37" s="1"/>
      <c r="I37" s="1"/>
      <c r="J37" s="1"/>
      <c r="K37" s="1"/>
      <c r="L37" s="1"/>
      <c r="M37" s="1"/>
    </row>
    <row r="38" spans="1:13">
      <c r="A38" s="1"/>
      <c r="B38" s="1"/>
      <c r="C38" s="1"/>
      <c r="D38" s="1"/>
      <c r="E38" s="1"/>
      <c r="F38" s="1"/>
      <c r="G38" s="1"/>
      <c r="H38" s="1"/>
      <c r="I38" s="1"/>
      <c r="J38" s="1"/>
      <c r="K38" s="1"/>
      <c r="L38" s="1"/>
      <c r="M38" s="1"/>
    </row>
    <row r="39" spans="1:13">
      <c r="A39" s="1"/>
      <c r="B39" s="1"/>
      <c r="C39" s="1"/>
      <c r="D39" s="1"/>
      <c r="E39" s="1"/>
      <c r="F39" s="1"/>
      <c r="G39" s="1"/>
      <c r="H39" s="1"/>
      <c r="I39" s="1"/>
      <c r="J39" s="1"/>
      <c r="K39" s="1"/>
      <c r="L39" s="1"/>
      <c r="M39" s="1"/>
    </row>
    <row r="40" spans="1:13">
      <c r="A40" s="1"/>
      <c r="B40" s="1"/>
      <c r="C40" s="1"/>
      <c r="D40" s="1"/>
      <c r="E40" s="1"/>
      <c r="F40" s="1"/>
      <c r="G40" s="1"/>
      <c r="H40" s="1"/>
      <c r="I40" s="1"/>
      <c r="J40" s="1"/>
      <c r="K40" s="1"/>
      <c r="L40" s="1"/>
      <c r="M40" s="1"/>
    </row>
    <row r="41" spans="1:13">
      <c r="A41" s="1"/>
      <c r="B41" s="1"/>
      <c r="C41" s="1"/>
      <c r="D41" s="1"/>
      <c r="E41" s="1"/>
      <c r="F41" s="1"/>
      <c r="G41" s="1"/>
      <c r="H41" s="1"/>
      <c r="I41" s="1"/>
      <c r="J41" s="1"/>
      <c r="K41" s="1"/>
      <c r="L41" s="1"/>
      <c r="M41" s="1"/>
    </row>
    <row r="42" spans="1:13">
      <c r="A42" s="1"/>
      <c r="B42" s="1"/>
      <c r="C42" s="1"/>
      <c r="D42" s="1"/>
      <c r="E42" s="1"/>
      <c r="F42" s="1"/>
      <c r="G42" s="1"/>
      <c r="H42" s="1"/>
      <c r="I42" s="1"/>
      <c r="J42" s="1"/>
      <c r="K42" s="1"/>
      <c r="L42" s="1"/>
      <c r="M42" s="1"/>
    </row>
    <row r="43" spans="1:13">
      <c r="A43" s="1"/>
      <c r="B43" s="1"/>
      <c r="C43" s="1"/>
      <c r="D43" s="1"/>
      <c r="E43" s="1"/>
      <c r="F43" s="1"/>
      <c r="G43" s="1"/>
      <c r="H43" s="1"/>
      <c r="I43" s="1"/>
      <c r="J43" s="1"/>
      <c r="K43" s="1"/>
      <c r="L43" s="1"/>
      <c r="M43" s="1"/>
    </row>
    <row r="44" spans="1:13">
      <c r="A44" s="1"/>
      <c r="B44" s="1"/>
      <c r="C44" s="1"/>
      <c r="D44" s="1"/>
      <c r="E44" s="1"/>
      <c r="F44" s="1"/>
      <c r="G44" s="1"/>
      <c r="H44" s="1"/>
      <c r="I44" s="1"/>
      <c r="J44" s="1"/>
      <c r="K44" s="1"/>
      <c r="L44" s="1"/>
      <c r="M44" s="1"/>
    </row>
    <row r="45" spans="1:13">
      <c r="A45" s="1"/>
      <c r="B45" s="1"/>
      <c r="C45" s="1"/>
      <c r="D45" s="1"/>
      <c r="E45" s="1"/>
      <c r="F45" s="1"/>
      <c r="G45" s="1"/>
      <c r="H45" s="1"/>
      <c r="I45" s="1"/>
      <c r="J45" s="1"/>
      <c r="K45" s="1"/>
      <c r="L45" s="1"/>
      <c r="M45" s="1"/>
    </row>
    <row r="46" spans="1:13">
      <c r="A46" s="1"/>
      <c r="B46" s="1"/>
      <c r="C46" s="1"/>
      <c r="D46" s="1"/>
      <c r="E46" s="1"/>
      <c r="F46" s="1"/>
      <c r="G46" s="1"/>
      <c r="H46" s="1"/>
      <c r="I46" s="1"/>
      <c r="J46" s="1"/>
      <c r="K46" s="1"/>
      <c r="L46" s="1"/>
      <c r="M46" s="1"/>
    </row>
    <row r="47" spans="1:13">
      <c r="A47" s="1"/>
      <c r="B47" s="1"/>
      <c r="C47" s="1"/>
      <c r="D47" s="1"/>
      <c r="E47" s="1"/>
      <c r="F47" s="1"/>
      <c r="G47" s="1"/>
      <c r="H47" s="1"/>
      <c r="I47" s="1"/>
      <c r="J47" s="1"/>
      <c r="K47" s="1"/>
      <c r="L47" s="1"/>
      <c r="M47" s="1"/>
    </row>
    <row r="48" spans="1:13">
      <c r="A48" s="1"/>
      <c r="B48" s="1"/>
      <c r="C48" s="1"/>
      <c r="D48" s="1"/>
      <c r="E48" s="1"/>
      <c r="F48" s="1"/>
      <c r="G48" s="1"/>
      <c r="H48" s="1"/>
      <c r="I48" s="1"/>
      <c r="J48" s="1"/>
      <c r="K48" s="1"/>
      <c r="L48" s="1"/>
      <c r="M48" s="1"/>
    </row>
    <row r="49" spans="1:13">
      <c r="A49" s="1"/>
      <c r="B49" s="1"/>
      <c r="C49" s="1"/>
      <c r="D49" s="1"/>
      <c r="E49" s="1"/>
      <c r="F49" s="1"/>
      <c r="G49" s="1"/>
      <c r="H49" s="1"/>
      <c r="I49" s="1"/>
      <c r="J49" s="1"/>
      <c r="K49" s="1"/>
      <c r="L49" s="1"/>
      <c r="M49" s="1"/>
    </row>
    <row r="50" spans="1:13">
      <c r="A50" s="1"/>
      <c r="B50" s="1"/>
      <c r="C50" s="1"/>
      <c r="D50" s="1"/>
      <c r="E50" s="1"/>
      <c r="F50" s="1"/>
      <c r="G50" s="1"/>
      <c r="H50" s="1"/>
      <c r="I50" s="1"/>
      <c r="J50" s="1"/>
      <c r="K50" s="1"/>
      <c r="L50" s="1"/>
      <c r="M50" s="1"/>
    </row>
    <row r="51" spans="1:13">
      <c r="A51" s="1"/>
      <c r="B51" s="1"/>
      <c r="C51" s="1"/>
      <c r="D51" s="1"/>
      <c r="E51" s="1"/>
      <c r="F51" s="1"/>
      <c r="G51" s="1"/>
      <c r="H51" s="1"/>
      <c r="I51" s="1"/>
      <c r="J51" s="1"/>
      <c r="K51" s="1"/>
      <c r="L51" s="1"/>
      <c r="M51" s="1"/>
    </row>
    <row r="52" spans="1:13">
      <c r="A52" s="1"/>
      <c r="B52" s="1"/>
      <c r="C52" s="1"/>
      <c r="D52" s="1"/>
      <c r="E52" s="1"/>
      <c r="F52" s="1"/>
      <c r="G52" s="1"/>
      <c r="H52" s="1"/>
      <c r="I52" s="1"/>
      <c r="J52" s="1"/>
      <c r="K52" s="1"/>
      <c r="L52" s="1"/>
      <c r="M52" s="1"/>
    </row>
    <row r="53" spans="1:13">
      <c r="A53" s="1"/>
      <c r="B53" s="1"/>
      <c r="C53" s="1"/>
      <c r="D53" s="1"/>
      <c r="E53" s="1"/>
      <c r="F53" s="1"/>
      <c r="G53" s="1"/>
      <c r="H53" s="1"/>
      <c r="I53" s="1"/>
      <c r="J53" s="1"/>
      <c r="K53" s="1"/>
      <c r="L53" s="1"/>
      <c r="M53" s="1"/>
    </row>
    <row r="54" spans="1:13">
      <c r="A54" s="1"/>
      <c r="B54" s="1"/>
      <c r="C54" s="1"/>
      <c r="D54" s="1"/>
      <c r="E54" s="1"/>
      <c r="F54" s="1"/>
      <c r="G54" s="1"/>
      <c r="H54" s="1"/>
      <c r="I54" s="1"/>
      <c r="J54" s="1"/>
      <c r="K54" s="1"/>
      <c r="L54" s="1"/>
      <c r="M54" s="1"/>
    </row>
    <row r="55" spans="1:13">
      <c r="A55" s="1"/>
      <c r="B55" s="1"/>
      <c r="C55" s="1"/>
      <c r="D55" s="1"/>
      <c r="E55" s="1"/>
      <c r="F55" s="1"/>
      <c r="G55" s="1"/>
      <c r="H55" s="1"/>
      <c r="I55" s="1"/>
      <c r="J55" s="1"/>
      <c r="K55" s="1"/>
      <c r="L55" s="1"/>
      <c r="M55" s="1"/>
    </row>
    <row r="56" spans="1:13">
      <c r="A56" s="1"/>
      <c r="B56" s="1"/>
      <c r="C56" s="1"/>
      <c r="D56" s="1"/>
      <c r="E56" s="1"/>
      <c r="F56" s="1"/>
      <c r="G56" s="1"/>
      <c r="H56" s="1"/>
      <c r="I56" s="1"/>
      <c r="J56" s="1"/>
      <c r="K56" s="1"/>
      <c r="L56" s="1"/>
      <c r="M56" s="1"/>
    </row>
    <row r="57" spans="1:13">
      <c r="A57" s="1"/>
      <c r="B57" s="1"/>
      <c r="C57" s="1"/>
      <c r="D57" s="1"/>
      <c r="E57" s="1"/>
      <c r="F57" s="1"/>
      <c r="G57" s="1"/>
      <c r="H57" s="1"/>
      <c r="I57" s="1"/>
      <c r="J57" s="1"/>
      <c r="K57" s="1"/>
      <c r="L57" s="1"/>
      <c r="M57" s="1"/>
    </row>
    <row r="58" spans="1:13">
      <c r="A58" s="1"/>
      <c r="B58" s="1"/>
      <c r="C58" s="1"/>
      <c r="D58" s="1"/>
      <c r="E58" s="1"/>
      <c r="F58" s="1"/>
      <c r="G58" s="1"/>
      <c r="H58" s="1"/>
      <c r="I58" s="1"/>
      <c r="J58" s="1"/>
      <c r="K58" s="1"/>
      <c r="L58" s="1"/>
      <c r="M58" s="1"/>
    </row>
    <row r="59" spans="1:13">
      <c r="A59" s="1"/>
      <c r="B59" s="1"/>
      <c r="C59" s="1"/>
      <c r="D59" s="1"/>
      <c r="E59" s="1"/>
      <c r="F59" s="1"/>
      <c r="G59" s="1"/>
      <c r="H59" s="1"/>
      <c r="I59" s="1"/>
      <c r="J59" s="1"/>
      <c r="K59" s="1"/>
      <c r="L59" s="1"/>
      <c r="M59" s="1"/>
    </row>
    <row r="60" spans="1:13">
      <c r="A60" s="1"/>
      <c r="B60" s="1"/>
      <c r="C60" s="1"/>
      <c r="D60" s="1"/>
      <c r="E60" s="1"/>
      <c r="F60" s="1"/>
      <c r="G60" s="1"/>
      <c r="H60" s="1"/>
      <c r="I60" s="1"/>
      <c r="J60" s="1"/>
      <c r="K60" s="1"/>
      <c r="L60" s="1"/>
      <c r="M60" s="1"/>
    </row>
    <row r="61" spans="1:13">
      <c r="A61" s="1"/>
      <c r="B61" s="1"/>
      <c r="C61" s="1"/>
      <c r="D61" s="1"/>
      <c r="E61" s="1"/>
      <c r="F61" s="1"/>
      <c r="G61" s="1"/>
      <c r="H61" s="1"/>
      <c r="I61" s="1"/>
      <c r="J61" s="1"/>
      <c r="K61" s="1"/>
      <c r="L61" s="1"/>
      <c r="M61" s="1"/>
    </row>
    <row r="62" spans="1:13">
      <c r="A62" s="1"/>
      <c r="B62" s="1"/>
      <c r="C62" s="1"/>
      <c r="D62" s="1"/>
      <c r="E62" s="1"/>
      <c r="F62" s="1"/>
      <c r="G62" s="1"/>
      <c r="H62" s="1"/>
      <c r="I62" s="1"/>
      <c r="J62" s="1"/>
      <c r="K62" s="1"/>
      <c r="L62" s="1"/>
      <c r="M62" s="1"/>
    </row>
    <row r="63" spans="1:13">
      <c r="A63" s="1"/>
      <c r="B63" s="1"/>
      <c r="C63" s="1"/>
      <c r="D63" s="1"/>
      <c r="E63" s="1"/>
      <c r="F63" s="1"/>
      <c r="G63" s="1"/>
      <c r="H63" s="1"/>
      <c r="I63" s="1"/>
      <c r="J63" s="1"/>
      <c r="K63" s="1"/>
      <c r="L63" s="1"/>
      <c r="M63" s="1"/>
    </row>
    <row r="64" spans="1:13">
      <c r="A64" s="1"/>
      <c r="B64" s="1"/>
      <c r="C64" s="1"/>
      <c r="D64" s="1"/>
      <c r="E64" s="1"/>
      <c r="F64" s="1"/>
      <c r="G64" s="1"/>
      <c r="H64" s="1"/>
      <c r="I64" s="1"/>
      <c r="J64" s="1"/>
      <c r="K64" s="1"/>
      <c r="L64" s="1"/>
      <c r="M64" s="1"/>
    </row>
    <row r="65" spans="1:13">
      <c r="A65" s="1"/>
      <c r="B65" s="1"/>
      <c r="C65" s="1"/>
      <c r="D65" s="1"/>
      <c r="E65" s="1"/>
      <c r="F65" s="1"/>
      <c r="G65" s="1"/>
      <c r="H65" s="1"/>
      <c r="I65" s="1"/>
      <c r="J65" s="1"/>
      <c r="K65" s="1"/>
      <c r="L65" s="1"/>
      <c r="M65" s="1"/>
    </row>
    <row r="66" spans="1:13">
      <c r="A66" s="1"/>
      <c r="B66" s="1"/>
      <c r="C66" s="1"/>
      <c r="D66" s="1"/>
      <c r="E66" s="1"/>
      <c r="F66" s="1"/>
      <c r="G66" s="1"/>
      <c r="H66" s="1"/>
      <c r="I66" s="1"/>
      <c r="J66" s="1"/>
      <c r="K66" s="1"/>
      <c r="L66" s="1"/>
      <c r="M66" s="1"/>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2"/>
  <sheetViews>
    <sheetView showGridLines="0" view="pageBreakPreview" zoomScale="145" zoomScaleNormal="100" zoomScaleSheetLayoutView="145" zoomScalePageLayoutView="145" workbookViewId="0">
      <selection activeCell="N32" sqref="N32"/>
    </sheetView>
  </sheetViews>
  <sheetFormatPr defaultRowHeight="11.25"/>
  <cols>
    <col min="1" max="1" width="15" style="3" customWidth="1"/>
    <col min="2" max="4" width="10" style="3" customWidth="1"/>
    <col min="5" max="5" width="11" style="3" customWidth="1"/>
    <col min="6" max="6" width="9.33203125" style="3" customWidth="1"/>
    <col min="7" max="8" width="10" style="3" customWidth="1"/>
    <col min="9" max="9" width="9.6640625" style="3" customWidth="1"/>
    <col min="10" max="11" width="10.6640625" style="3" customWidth="1"/>
    <col min="12" max="16384" width="9.33203125" style="3"/>
  </cols>
  <sheetData>
    <row r="1" spans="1:12" ht="11.25" customHeight="1"/>
    <row r="2" spans="1:12" ht="11.25" customHeight="1">
      <c r="A2" s="879" t="s">
        <v>295</v>
      </c>
      <c r="B2" s="879"/>
      <c r="C2" s="879"/>
      <c r="D2" s="879"/>
      <c r="E2" s="879"/>
      <c r="F2" s="879"/>
      <c r="G2" s="879"/>
      <c r="H2" s="879"/>
      <c r="I2" s="879"/>
      <c r="J2" s="879"/>
      <c r="K2" s="879"/>
    </row>
    <row r="3" spans="1:12" ht="11.25" customHeight="1">
      <c r="A3" s="84"/>
      <c r="B3" s="84"/>
      <c r="C3" s="84"/>
      <c r="D3" s="84"/>
      <c r="E3" s="84"/>
      <c r="F3" s="84"/>
      <c r="G3" s="84"/>
      <c r="H3" s="84"/>
      <c r="I3" s="84"/>
      <c r="J3" s="84"/>
      <c r="K3" s="84"/>
      <c r="L3" s="45"/>
    </row>
    <row r="4" spans="1:12" ht="11.25" customHeight="1">
      <c r="A4" s="880" t="s">
        <v>545</v>
      </c>
      <c r="B4" s="880"/>
      <c r="C4" s="880"/>
      <c r="D4" s="880"/>
      <c r="E4" s="880"/>
      <c r="F4" s="880"/>
      <c r="G4" s="880"/>
      <c r="H4" s="880"/>
      <c r="I4" s="880"/>
      <c r="J4" s="880"/>
      <c r="K4" s="880"/>
      <c r="L4" s="45"/>
    </row>
    <row r="5" spans="1:12" ht="11.25" customHeight="1">
      <c r="A5" s="84"/>
      <c r="B5" s="85"/>
      <c r="C5" s="86"/>
      <c r="D5" s="87"/>
      <c r="E5" s="87"/>
      <c r="F5" s="87"/>
      <c r="G5" s="87"/>
      <c r="H5" s="88"/>
      <c r="I5" s="83"/>
      <c r="J5" s="83"/>
      <c r="K5" s="89"/>
      <c r="L5" s="10"/>
    </row>
    <row r="6" spans="1:12" ht="12.75" customHeight="1">
      <c r="A6" s="862" t="s">
        <v>240</v>
      </c>
      <c r="B6" s="859" t="s">
        <v>298</v>
      </c>
      <c r="C6" s="860"/>
      <c r="D6" s="860"/>
      <c r="E6" s="860" t="s">
        <v>34</v>
      </c>
      <c r="F6" s="860"/>
      <c r="G6" s="861" t="s">
        <v>297</v>
      </c>
      <c r="H6" s="861"/>
      <c r="I6" s="861"/>
      <c r="J6" s="861"/>
      <c r="K6" s="861"/>
      <c r="L6" s="20"/>
    </row>
    <row r="7" spans="1:12" ht="12.75" customHeight="1">
      <c r="A7" s="862"/>
      <c r="B7" s="423">
        <f>+'5. RER'!B5</f>
        <v>43072</v>
      </c>
      <c r="C7" s="423">
        <f>+'5. RER'!C5</f>
        <v>43102</v>
      </c>
      <c r="D7" s="423">
        <f>+'5. RER'!D5</f>
        <v>43132</v>
      </c>
      <c r="E7" s="423">
        <f>+'5. RER'!E5</f>
        <v>42767</v>
      </c>
      <c r="F7" s="881" t="s">
        <v>138</v>
      </c>
      <c r="G7" s="424">
        <v>2018</v>
      </c>
      <c r="H7" s="424">
        <v>2017</v>
      </c>
      <c r="I7" s="881" t="s">
        <v>43</v>
      </c>
      <c r="J7" s="424">
        <v>2016</v>
      </c>
      <c r="K7" s="881" t="s">
        <v>36</v>
      </c>
      <c r="L7" s="17"/>
    </row>
    <row r="8" spans="1:12" ht="12.75" customHeight="1">
      <c r="A8" s="862"/>
      <c r="B8" s="425">
        <v>43087.822916666664</v>
      </c>
      <c r="C8" s="425">
        <v>43126.822916666664</v>
      </c>
      <c r="D8" s="425">
        <v>43144.8125</v>
      </c>
      <c r="E8" s="425">
        <v>42767.833333333336</v>
      </c>
      <c r="F8" s="882"/>
      <c r="G8" s="426">
        <v>43144.8125</v>
      </c>
      <c r="H8" s="426">
        <v>42760.802083333336</v>
      </c>
      <c r="I8" s="882"/>
      <c r="J8" s="426">
        <v>42416.8125</v>
      </c>
      <c r="K8" s="882"/>
      <c r="L8" s="19"/>
    </row>
    <row r="9" spans="1:12" ht="12.75" customHeight="1">
      <c r="A9" s="862"/>
      <c r="B9" s="427">
        <v>43087.822916666664</v>
      </c>
      <c r="C9" s="427">
        <v>43126.822916666664</v>
      </c>
      <c r="D9" s="427">
        <v>43144.8125</v>
      </c>
      <c r="E9" s="427">
        <v>42767.833333333336</v>
      </c>
      <c r="F9" s="882"/>
      <c r="G9" s="427">
        <v>43144.8125</v>
      </c>
      <c r="H9" s="428">
        <v>42760.802083333336</v>
      </c>
      <c r="I9" s="882"/>
      <c r="J9" s="429">
        <v>42416.8125</v>
      </c>
      <c r="K9" s="882"/>
      <c r="L9" s="18"/>
    </row>
    <row r="10" spans="1:12" ht="12.75" customHeight="1">
      <c r="A10" s="430" t="s">
        <v>37</v>
      </c>
      <c r="B10" s="597">
        <v>4138.1783099999993</v>
      </c>
      <c r="C10" s="598">
        <v>4391.9133999999995</v>
      </c>
      <c r="D10" s="599">
        <v>4444.7789599999996</v>
      </c>
      <c r="E10" s="597">
        <v>4225.7124900000008</v>
      </c>
      <c r="F10" s="431">
        <f>+IF(E10=0,"",D10/E10-1)</f>
        <v>5.1841309724315554E-2</v>
      </c>
      <c r="G10" s="597">
        <v>4444.7789599999996</v>
      </c>
      <c r="H10" s="598">
        <v>4236.5890400000008</v>
      </c>
      <c r="I10" s="431">
        <f>+IF(H10=0,"",G10/H10-1)</f>
        <v>4.9140928712783305E-2</v>
      </c>
      <c r="J10" s="597">
        <v>3375.9897900000001</v>
      </c>
      <c r="K10" s="431">
        <f t="shared" ref="K10:K20" si="0">+IF(J10=0,"",H10/J10-1)</f>
        <v>0.25491761039952698</v>
      </c>
      <c r="L10" s="18"/>
    </row>
    <row r="11" spans="1:12" ht="12.75" customHeight="1">
      <c r="A11" s="196" t="s">
        <v>38</v>
      </c>
      <c r="B11" s="600">
        <v>2193.9252700000002</v>
      </c>
      <c r="C11" s="393">
        <v>1916.70587</v>
      </c>
      <c r="D11" s="601">
        <v>1958.0462900000002</v>
      </c>
      <c r="E11" s="600">
        <v>2268.5234399999999</v>
      </c>
      <c r="F11" s="186">
        <f>+IF(E11=0,"",D11/E11-1)</f>
        <v>-0.13686309981438838</v>
      </c>
      <c r="G11" s="600">
        <v>1958.0462900000002</v>
      </c>
      <c r="H11" s="393">
        <v>2291.3775700000001</v>
      </c>
      <c r="I11" s="186">
        <f>+IF(H11=0,"",G11/H11-1)</f>
        <v>-0.14547200093260926</v>
      </c>
      <c r="J11" s="600">
        <v>3001.9400599999994</v>
      </c>
      <c r="K11" s="186">
        <f t="shared" si="0"/>
        <v>-0.23670109189322042</v>
      </c>
      <c r="L11" s="18"/>
    </row>
    <row r="12" spans="1:12" ht="12.75" customHeight="1">
      <c r="A12" s="197" t="s">
        <v>39</v>
      </c>
      <c r="B12" s="602">
        <v>130.29901999999998</v>
      </c>
      <c r="C12" s="394">
        <v>180.41578000000001</v>
      </c>
      <c r="D12" s="603">
        <v>174.14297999999999</v>
      </c>
      <c r="E12" s="602">
        <v>35.250959999999999</v>
      </c>
      <c r="F12" s="187">
        <f>+IF(E12=0,"",D12/E12-1)</f>
        <v>3.9400918443072186</v>
      </c>
      <c r="G12" s="602">
        <v>174.14297999999999</v>
      </c>
      <c r="H12" s="394">
        <v>45.283239999999999</v>
      </c>
      <c r="I12" s="187">
        <f>+IF(H12=0,"",G12/H12-1)</f>
        <v>2.8456386954643702</v>
      </c>
      <c r="J12" s="602">
        <v>72.160550000000001</v>
      </c>
      <c r="K12" s="187">
        <f t="shared" si="0"/>
        <v>-0.37246542605343225</v>
      </c>
      <c r="L12" s="17"/>
    </row>
    <row r="13" spans="1:12" ht="12.75" customHeight="1">
      <c r="A13" s="198" t="s">
        <v>30</v>
      </c>
      <c r="B13" s="604">
        <v>0</v>
      </c>
      <c r="C13" s="605">
        <v>0</v>
      </c>
      <c r="D13" s="606">
        <v>0</v>
      </c>
      <c r="E13" s="604">
        <v>0</v>
      </c>
      <c r="F13" s="188" t="str">
        <f>+IF(E13=0,"",D13/E13-1)</f>
        <v/>
      </c>
      <c r="G13" s="604">
        <v>0</v>
      </c>
      <c r="H13" s="605">
        <v>0</v>
      </c>
      <c r="I13" s="188" t="str">
        <f>+IF(H13=0,"",G13/H13-1)</f>
        <v/>
      </c>
      <c r="J13" s="604">
        <v>0</v>
      </c>
      <c r="K13" s="188" t="str">
        <f t="shared" si="0"/>
        <v/>
      </c>
      <c r="L13" s="19"/>
    </row>
    <row r="14" spans="1:12" ht="12.75" customHeight="1">
      <c r="A14" s="199" t="s">
        <v>44</v>
      </c>
      <c r="B14" s="607">
        <f>+SUM(B10:B13)</f>
        <v>6462.4025999999994</v>
      </c>
      <c r="C14" s="608">
        <f>+SUM(C10:C13)</f>
        <v>6489.0350499999995</v>
      </c>
      <c r="D14" s="609">
        <f>+SUM(D10:D13)</f>
        <v>6576.9682299999995</v>
      </c>
      <c r="E14" s="607">
        <f>+SUM(E10:E13)</f>
        <v>6529.486890000001</v>
      </c>
      <c r="F14" s="189">
        <f>+IF(E14=0,"",D14/E14-1)</f>
        <v>7.2718332695815846E-3</v>
      </c>
      <c r="G14" s="607">
        <f>+SUM(G10:G13)</f>
        <v>6576.9682299999995</v>
      </c>
      <c r="H14" s="608">
        <f>+SUM(H10:H13)</f>
        <v>6573.2498500000011</v>
      </c>
      <c r="I14" s="189">
        <f>+IF(H14=0,"",G14/H14-1)</f>
        <v>5.6568365494258366E-4</v>
      </c>
      <c r="J14" s="607">
        <f>+SUM(J10:J13)</f>
        <v>6450.0903999999991</v>
      </c>
      <c r="K14" s="189">
        <f t="shared" si="0"/>
        <v>1.9094220756968205E-2</v>
      </c>
      <c r="L14" s="18"/>
    </row>
    <row r="15" spans="1:12" ht="6.75" customHeight="1">
      <c r="A15" s="400"/>
      <c r="B15" s="400"/>
      <c r="C15" s="400"/>
      <c r="D15" s="400"/>
      <c r="E15" s="400"/>
      <c r="F15" s="400"/>
      <c r="G15" s="400"/>
      <c r="H15" s="400"/>
      <c r="I15" s="400"/>
      <c r="J15" s="400"/>
      <c r="K15" s="400"/>
      <c r="L15" s="18"/>
    </row>
    <row r="16" spans="1:12" ht="12.75" customHeight="1">
      <c r="A16" s="432" t="s">
        <v>40</v>
      </c>
      <c r="B16" s="433">
        <v>0</v>
      </c>
      <c r="C16" s="434">
        <v>0</v>
      </c>
      <c r="D16" s="435">
        <v>0</v>
      </c>
      <c r="E16" s="433">
        <v>0</v>
      </c>
      <c r="F16" s="436" t="str">
        <f>+IF(E16=0,"",D16/E16-1)</f>
        <v/>
      </c>
      <c r="G16" s="433">
        <v>0</v>
      </c>
      <c r="H16" s="434">
        <v>0</v>
      </c>
      <c r="I16" s="436" t="str">
        <f>+IF(H16=0,"",G16/H16-1)</f>
        <v/>
      </c>
      <c r="J16" s="433">
        <v>0</v>
      </c>
      <c r="K16" s="436" t="str">
        <f t="shared" si="0"/>
        <v/>
      </c>
      <c r="L16" s="20"/>
    </row>
    <row r="17" spans="1:12" ht="12.75" customHeight="1">
      <c r="A17" s="437" t="s">
        <v>41</v>
      </c>
      <c r="B17" s="395">
        <v>0</v>
      </c>
      <c r="C17" s="377">
        <v>0</v>
      </c>
      <c r="D17" s="396">
        <v>0</v>
      </c>
      <c r="E17" s="395">
        <v>0</v>
      </c>
      <c r="F17" s="170" t="str">
        <f>+IF(E17=0,"",D17/E17-1)</f>
        <v/>
      </c>
      <c r="G17" s="395">
        <v>0</v>
      </c>
      <c r="H17" s="377">
        <v>0</v>
      </c>
      <c r="I17" s="170" t="str">
        <f>+IF(H17=0,"",G17/H17-1)</f>
        <v/>
      </c>
      <c r="J17" s="395">
        <v>57.458959999999998</v>
      </c>
      <c r="K17" s="170">
        <f t="shared" si="0"/>
        <v>-1</v>
      </c>
      <c r="L17" s="20"/>
    </row>
    <row r="18" spans="1:12" ht="24" customHeight="1">
      <c r="A18" s="438" t="s">
        <v>42</v>
      </c>
      <c r="B18" s="439">
        <f>+B17-B16</f>
        <v>0</v>
      </c>
      <c r="C18" s="440">
        <f t="shared" ref="C18:E18" si="1">+C17-C16</f>
        <v>0</v>
      </c>
      <c r="D18" s="441">
        <f t="shared" si="1"/>
        <v>0</v>
      </c>
      <c r="E18" s="439">
        <f t="shared" si="1"/>
        <v>0</v>
      </c>
      <c r="F18" s="442"/>
      <c r="G18" s="439">
        <f t="shared" ref="G18" si="2">+G17-G16</f>
        <v>0</v>
      </c>
      <c r="H18" s="440">
        <f t="shared" ref="H18" si="3">+H17-H16</f>
        <v>0</v>
      </c>
      <c r="I18" s="442" t="str">
        <f>+IF(H18=0,"",G18/H18-1)</f>
        <v/>
      </c>
      <c r="J18" s="439">
        <f t="shared" ref="J18" si="4">+J17-J16</f>
        <v>57.458959999999998</v>
      </c>
      <c r="K18" s="442">
        <f t="shared" si="0"/>
        <v>-1</v>
      </c>
      <c r="L18" s="20"/>
    </row>
    <row r="19" spans="1:12" ht="6" customHeight="1">
      <c r="A19" s="29"/>
      <c r="B19" s="29"/>
      <c r="C19" s="29"/>
      <c r="D19" s="29"/>
      <c r="E19" s="29"/>
      <c r="F19" s="29"/>
      <c r="G19" s="29"/>
      <c r="H19" s="29"/>
      <c r="I19" s="29"/>
      <c r="J19" s="29"/>
      <c r="K19" s="29"/>
      <c r="L19" s="20"/>
    </row>
    <row r="20" spans="1:12" ht="24" customHeight="1">
      <c r="A20" s="443" t="s">
        <v>296</v>
      </c>
      <c r="B20" s="610">
        <f>+B14+B18</f>
        <v>6462.4025999999994</v>
      </c>
      <c r="C20" s="611">
        <f>+C14+C18</f>
        <v>6489.0350499999995</v>
      </c>
      <c r="D20" s="612">
        <f>+D14+D18</f>
        <v>6576.9682299999995</v>
      </c>
      <c r="E20" s="610">
        <f>+E14+E18</f>
        <v>6529.486890000001</v>
      </c>
      <c r="F20" s="444">
        <f>+IF(E20=0,"",D20/E20-1)</f>
        <v>7.2718332695815846E-3</v>
      </c>
      <c r="G20" s="610">
        <f>+G14+G18</f>
        <v>6576.9682299999995</v>
      </c>
      <c r="H20" s="610">
        <f>+H14+H18</f>
        <v>6573.2498500000011</v>
      </c>
      <c r="I20" s="444">
        <f>+IF(H20=0,"",G20/H20-1)</f>
        <v>5.6568365494258366E-4</v>
      </c>
      <c r="J20" s="610">
        <f>+J14+J18</f>
        <v>6507.5493599999991</v>
      </c>
      <c r="K20" s="724">
        <f t="shared" si="0"/>
        <v>1.0096041745583095E-2</v>
      </c>
      <c r="L20" s="20"/>
    </row>
    <row r="21" spans="1:12" ht="11.25" customHeight="1">
      <c r="A21" s="418" t="s">
        <v>702</v>
      </c>
      <c r="B21" s="159"/>
      <c r="C21" s="159"/>
      <c r="D21" s="159"/>
      <c r="E21" s="159"/>
      <c r="F21" s="159"/>
      <c r="G21" s="159"/>
      <c r="H21" s="159"/>
      <c r="I21" s="159"/>
      <c r="J21" s="159"/>
      <c r="K21" s="159"/>
      <c r="L21" s="22"/>
    </row>
    <row r="22" spans="1:12" ht="17.25" customHeight="1">
      <c r="A22" s="877" t="s">
        <v>567</v>
      </c>
      <c r="B22" s="877"/>
      <c r="C22" s="877"/>
      <c r="D22" s="877"/>
      <c r="E22" s="877"/>
      <c r="F22" s="877"/>
      <c r="G22" s="877"/>
      <c r="H22" s="877"/>
      <c r="I22" s="877"/>
      <c r="J22" s="877"/>
      <c r="K22" s="877"/>
      <c r="L22" s="20"/>
    </row>
    <row r="23" spans="1:12" ht="11.25" customHeight="1">
      <c r="A23" s="190"/>
      <c r="B23" s="190"/>
      <c r="C23" s="190"/>
      <c r="D23" s="190"/>
      <c r="E23" s="190"/>
      <c r="F23" s="190"/>
      <c r="G23" s="190"/>
      <c r="H23" s="190"/>
      <c r="I23" s="190"/>
      <c r="J23" s="190"/>
      <c r="K23" s="190"/>
      <c r="L23" s="20"/>
    </row>
    <row r="24" spans="1:12" ht="11.25" customHeight="1">
      <c r="A24" s="158"/>
      <c r="B24" s="158"/>
      <c r="C24" s="158"/>
      <c r="D24" s="158"/>
      <c r="E24" s="158"/>
      <c r="F24" s="158"/>
      <c r="G24" s="158"/>
      <c r="H24" s="158"/>
      <c r="I24" s="158"/>
      <c r="J24" s="158"/>
      <c r="K24" s="159"/>
      <c r="L24" s="20"/>
    </row>
    <row r="25" spans="1:12" ht="11.25" customHeight="1">
      <c r="A25" s="157"/>
      <c r="B25" s="159"/>
      <c r="C25" s="159"/>
      <c r="D25" s="159"/>
      <c r="E25" s="159"/>
      <c r="F25" s="159"/>
      <c r="G25" s="159"/>
      <c r="H25" s="159"/>
      <c r="I25" s="159"/>
      <c r="J25" s="159"/>
      <c r="K25" s="159"/>
      <c r="L25" s="22"/>
    </row>
    <row r="26" spans="1:12" ht="11.25" customHeight="1">
      <c r="A26" s="157"/>
      <c r="B26" s="159"/>
      <c r="C26" s="159"/>
      <c r="D26" s="159"/>
      <c r="E26" s="159"/>
      <c r="F26" s="159"/>
      <c r="G26" s="159"/>
      <c r="H26" s="159"/>
      <c r="I26" s="159"/>
      <c r="J26" s="159"/>
      <c r="K26" s="159"/>
      <c r="L26" s="20"/>
    </row>
    <row r="27" spans="1:12" ht="11.25" customHeight="1">
      <c r="A27" s="157"/>
      <c r="B27" s="159"/>
      <c r="C27" s="159"/>
      <c r="D27" s="159"/>
      <c r="E27" s="159"/>
      <c r="F27" s="159"/>
      <c r="G27" s="159"/>
      <c r="H27" s="159"/>
      <c r="I27" s="159"/>
      <c r="J27" s="159"/>
      <c r="K27" s="159"/>
      <c r="L27" s="20"/>
    </row>
    <row r="28" spans="1:12" ht="11.25" customHeight="1">
      <c r="A28" s="157"/>
      <c r="B28" s="159"/>
      <c r="C28" s="159"/>
      <c r="D28" s="159"/>
      <c r="E28" s="159"/>
      <c r="F28" s="159"/>
      <c r="G28" s="159"/>
      <c r="H28" s="159"/>
      <c r="I28" s="159"/>
      <c r="J28" s="159"/>
      <c r="K28" s="159"/>
      <c r="L28" s="20"/>
    </row>
    <row r="29" spans="1:12" ht="11.25" customHeight="1">
      <c r="A29" s="157"/>
      <c r="B29" s="159"/>
      <c r="C29" s="159"/>
      <c r="D29" s="159"/>
      <c r="E29" s="159"/>
      <c r="F29" s="159"/>
      <c r="G29" s="159"/>
      <c r="H29" s="159"/>
      <c r="I29" s="159"/>
      <c r="J29" s="159"/>
      <c r="K29" s="159"/>
      <c r="L29" s="20"/>
    </row>
    <row r="30" spans="1:12" ht="11.25" customHeight="1">
      <c r="A30" s="157"/>
      <c r="B30" s="159"/>
      <c r="C30" s="159"/>
      <c r="D30" s="159"/>
      <c r="E30" s="159"/>
      <c r="F30" s="159"/>
      <c r="G30" s="159"/>
      <c r="H30" s="159"/>
      <c r="I30" s="159"/>
      <c r="J30" s="159"/>
      <c r="K30" s="159"/>
      <c r="L30" s="20"/>
    </row>
    <row r="31" spans="1:12" ht="11.25" customHeight="1">
      <c r="A31" s="157"/>
      <c r="B31" s="159"/>
      <c r="C31" s="159"/>
      <c r="D31" s="159"/>
      <c r="E31" s="159"/>
      <c r="F31" s="159"/>
      <c r="G31" s="159"/>
      <c r="H31" s="159"/>
      <c r="I31" s="159"/>
      <c r="J31" s="159"/>
      <c r="K31" s="159"/>
      <c r="L31" s="20"/>
    </row>
    <row r="32" spans="1:12" ht="11.25" customHeight="1">
      <c r="A32" s="157"/>
      <c r="B32" s="159"/>
      <c r="C32" s="159"/>
      <c r="D32" s="159"/>
      <c r="E32" s="159"/>
      <c r="F32" s="159"/>
      <c r="G32" s="159"/>
      <c r="H32" s="159"/>
      <c r="I32" s="159"/>
      <c r="J32" s="159"/>
      <c r="K32" s="159"/>
      <c r="L32" s="20"/>
    </row>
    <row r="33" spans="1:12" ht="11.25" customHeight="1">
      <c r="A33" s="157"/>
      <c r="B33" s="159"/>
      <c r="C33" s="159"/>
      <c r="D33" s="159"/>
      <c r="E33" s="159"/>
      <c r="F33" s="159"/>
      <c r="G33" s="159"/>
      <c r="H33" s="159"/>
      <c r="I33" s="159"/>
      <c r="J33" s="159"/>
      <c r="K33" s="159"/>
      <c r="L33" s="20"/>
    </row>
    <row r="34" spans="1:12" ht="11.25" customHeight="1">
      <c r="A34" s="157"/>
      <c r="B34" s="159"/>
      <c r="C34" s="159"/>
      <c r="D34" s="159"/>
      <c r="E34" s="159"/>
      <c r="F34" s="159"/>
      <c r="G34" s="159"/>
      <c r="H34" s="159"/>
      <c r="I34" s="159"/>
      <c r="J34" s="159"/>
      <c r="K34" s="159"/>
      <c r="L34" s="20"/>
    </row>
    <row r="35" spans="1:12" ht="11.25" customHeight="1">
      <c r="A35" s="157"/>
      <c r="B35" s="159"/>
      <c r="C35" s="159"/>
      <c r="D35" s="159"/>
      <c r="E35" s="159"/>
      <c r="F35" s="159"/>
      <c r="G35" s="159"/>
      <c r="H35" s="159"/>
      <c r="I35" s="159"/>
      <c r="J35" s="159"/>
      <c r="K35" s="159"/>
      <c r="L35" s="20"/>
    </row>
    <row r="36" spans="1:12" ht="11.25" customHeight="1">
      <c r="A36" s="157"/>
      <c r="B36" s="159"/>
      <c r="C36" s="159"/>
      <c r="D36" s="159"/>
      <c r="E36" s="159"/>
      <c r="F36" s="159"/>
      <c r="G36" s="159"/>
      <c r="H36" s="159"/>
      <c r="I36" s="159"/>
      <c r="J36" s="159"/>
      <c r="K36" s="159"/>
      <c r="L36" s="20"/>
    </row>
    <row r="37" spans="1:12" ht="11.25" customHeight="1">
      <c r="A37" s="157"/>
      <c r="B37" s="159"/>
      <c r="C37" s="159"/>
      <c r="D37" s="159"/>
      <c r="E37" s="159"/>
      <c r="F37" s="159"/>
      <c r="G37" s="159"/>
      <c r="H37" s="159"/>
      <c r="I37" s="159"/>
      <c r="J37" s="159"/>
      <c r="K37" s="159"/>
      <c r="L37" s="20"/>
    </row>
    <row r="38" spans="1:12" ht="11.25" customHeight="1">
      <c r="A38" s="157"/>
      <c r="B38" s="159"/>
      <c r="C38" s="159"/>
      <c r="D38" s="159"/>
      <c r="E38" s="159"/>
      <c r="F38" s="159"/>
      <c r="G38" s="159"/>
      <c r="H38" s="159"/>
      <c r="I38" s="159"/>
      <c r="J38" s="159"/>
      <c r="K38" s="159"/>
      <c r="L38" s="20"/>
    </row>
    <row r="39" spans="1:12" ht="11.25" customHeight="1">
      <c r="A39" s="157"/>
      <c r="B39" s="159"/>
      <c r="C39" s="159"/>
      <c r="D39" s="159"/>
      <c r="E39" s="159"/>
      <c r="F39" s="159"/>
      <c r="G39" s="159"/>
      <c r="H39" s="159"/>
      <c r="I39" s="159"/>
      <c r="J39" s="159"/>
      <c r="K39" s="159"/>
      <c r="L39" s="20"/>
    </row>
    <row r="40" spans="1:12" ht="11.25" customHeight="1">
      <c r="A40" s="157"/>
      <c r="B40" s="159"/>
      <c r="C40" s="159"/>
      <c r="D40" s="159"/>
      <c r="E40" s="159"/>
      <c r="F40" s="159"/>
      <c r="G40" s="159"/>
      <c r="H40" s="159"/>
      <c r="I40" s="159"/>
      <c r="J40" s="159"/>
      <c r="K40" s="159"/>
      <c r="L40" s="20"/>
    </row>
    <row r="41" spans="1:12" ht="11.25" customHeight="1">
      <c r="A41" s="157"/>
      <c r="B41" s="159"/>
      <c r="C41" s="159"/>
      <c r="D41" s="159"/>
      <c r="E41" s="159"/>
      <c r="F41" s="159"/>
      <c r="G41" s="159"/>
      <c r="H41" s="159"/>
      <c r="I41" s="159"/>
      <c r="J41" s="159"/>
      <c r="K41" s="159"/>
      <c r="L41" s="20"/>
    </row>
    <row r="42" spans="1:12" ht="11.25" customHeight="1">
      <c r="A42" s="157"/>
      <c r="B42" s="159"/>
      <c r="C42" s="159"/>
      <c r="D42" s="159"/>
      <c r="E42" s="159"/>
      <c r="F42" s="159"/>
      <c r="G42" s="159"/>
      <c r="H42" s="159"/>
      <c r="I42" s="159"/>
      <c r="J42" s="159"/>
      <c r="K42" s="159"/>
      <c r="L42" s="20"/>
    </row>
    <row r="43" spans="1:12" ht="11.25" customHeight="1">
      <c r="A43" s="157"/>
      <c r="B43" s="159"/>
      <c r="C43" s="159"/>
      <c r="D43" s="159"/>
      <c r="E43" s="159"/>
      <c r="F43" s="159"/>
      <c r="G43" s="159"/>
      <c r="H43" s="159"/>
      <c r="I43" s="159"/>
      <c r="J43" s="159"/>
      <c r="K43" s="159"/>
      <c r="L43" s="20"/>
    </row>
    <row r="44" spans="1:12" ht="11.25" customHeight="1">
      <c r="A44" s="157"/>
      <c r="B44" s="159"/>
      <c r="C44" s="159"/>
      <c r="D44" s="159"/>
      <c r="E44" s="159"/>
      <c r="F44" s="159"/>
      <c r="G44" s="159"/>
      <c r="H44" s="159"/>
      <c r="I44" s="159"/>
      <c r="J44" s="159"/>
      <c r="K44" s="159"/>
      <c r="L44" s="20"/>
    </row>
    <row r="45" spans="1:12" ht="11.25" customHeight="1">
      <c r="A45" s="157"/>
      <c r="B45" s="159"/>
      <c r="C45" s="159"/>
      <c r="D45" s="159"/>
      <c r="E45" s="159"/>
      <c r="F45" s="159"/>
      <c r="G45" s="159"/>
      <c r="H45" s="159"/>
      <c r="I45" s="159"/>
      <c r="J45" s="159"/>
      <c r="K45" s="159"/>
      <c r="L45" s="20"/>
    </row>
    <row r="46" spans="1:12" ht="11.25" customHeight="1">
      <c r="A46" s="157"/>
      <c r="B46" s="159"/>
      <c r="C46" s="159"/>
      <c r="D46" s="159"/>
      <c r="E46" s="159"/>
      <c r="F46" s="159"/>
      <c r="G46" s="159"/>
      <c r="H46" s="159"/>
      <c r="I46" s="159"/>
      <c r="J46" s="159"/>
      <c r="K46" s="159"/>
      <c r="L46" s="48"/>
    </row>
    <row r="47" spans="1:12" ht="11.25" customHeight="1">
      <c r="A47" s="157"/>
      <c r="B47" s="159"/>
      <c r="C47" s="159"/>
      <c r="D47" s="159"/>
      <c r="E47" s="159"/>
      <c r="F47" s="159"/>
      <c r="G47" s="159"/>
      <c r="H47" s="159"/>
      <c r="I47" s="159"/>
      <c r="J47" s="159"/>
      <c r="K47" s="159"/>
      <c r="L47" s="20"/>
    </row>
    <row r="48" spans="1:12" ht="11.25" customHeight="1">
      <c r="A48" s="157"/>
      <c r="B48" s="159"/>
      <c r="C48" s="159"/>
      <c r="D48" s="159"/>
      <c r="E48" s="159"/>
      <c r="F48" s="159"/>
      <c r="G48" s="159"/>
      <c r="H48" s="159"/>
      <c r="I48" s="159"/>
      <c r="J48" s="159"/>
      <c r="K48" s="159"/>
      <c r="L48" s="20"/>
    </row>
    <row r="49" spans="1:12" ht="11.25" customHeight="1">
      <c r="A49" s="157"/>
      <c r="B49" s="159"/>
      <c r="C49" s="159"/>
      <c r="D49" s="159"/>
      <c r="E49" s="159"/>
      <c r="F49" s="159"/>
      <c r="G49" s="159"/>
      <c r="H49" s="159"/>
      <c r="I49" s="159"/>
      <c r="J49" s="159"/>
      <c r="K49" s="159"/>
      <c r="L49" s="20"/>
    </row>
    <row r="50" spans="1:12" ht="11.25" customHeight="1">
      <c r="A50" s="157"/>
      <c r="B50" s="159"/>
      <c r="C50" s="159"/>
      <c r="D50" s="159"/>
      <c r="E50" s="159"/>
      <c r="F50" s="159"/>
      <c r="G50" s="159"/>
      <c r="H50" s="159"/>
      <c r="I50" s="159"/>
      <c r="J50" s="159"/>
      <c r="K50" s="159"/>
      <c r="L50" s="20"/>
    </row>
    <row r="51" spans="1:12" ht="11.25" customHeight="1">
      <c r="A51" s="157"/>
      <c r="B51" s="159"/>
      <c r="C51" s="159"/>
      <c r="D51" s="159"/>
      <c r="E51" s="159"/>
      <c r="F51" s="159"/>
      <c r="G51" s="159"/>
      <c r="H51" s="159"/>
      <c r="I51" s="159"/>
      <c r="J51" s="159"/>
      <c r="K51" s="159"/>
      <c r="L51" s="20"/>
    </row>
    <row r="52" spans="1:12" ht="11.25" customHeight="1">
      <c r="A52" s="191"/>
      <c r="B52" s="191"/>
      <c r="C52" s="191"/>
      <c r="D52" s="191"/>
      <c r="E52" s="191"/>
      <c r="F52" s="191"/>
      <c r="G52" s="191"/>
      <c r="H52" s="191"/>
      <c r="I52" s="191"/>
      <c r="J52" s="191"/>
      <c r="K52" s="191"/>
      <c r="L52" s="20"/>
    </row>
    <row r="53" spans="1:12" ht="11.25" customHeight="1">
      <c r="L53" s="15"/>
    </row>
    <row r="54" spans="1:12" ht="11.25" customHeight="1">
      <c r="A54" s="192"/>
      <c r="B54" s="159"/>
      <c r="C54" s="159"/>
      <c r="D54" s="159"/>
      <c r="E54" s="159"/>
      <c r="F54" s="159"/>
      <c r="G54" s="159"/>
      <c r="H54" s="159"/>
      <c r="I54" s="159"/>
      <c r="J54" s="159"/>
      <c r="K54" s="159"/>
      <c r="L54" s="14"/>
    </row>
    <row r="55" spans="1:12" ht="11.25" customHeight="1">
      <c r="A55" s="192"/>
      <c r="B55" s="193"/>
      <c r="C55" s="193"/>
      <c r="D55" s="193"/>
      <c r="E55" s="193"/>
      <c r="F55" s="193"/>
      <c r="G55" s="159"/>
      <c r="H55" s="159"/>
      <c r="I55" s="159"/>
      <c r="J55" s="159"/>
      <c r="K55" s="159"/>
      <c r="L55" s="14"/>
    </row>
    <row r="56" spans="1:12" ht="11.25" customHeight="1">
      <c r="A56" s="182"/>
      <c r="B56" s="194"/>
      <c r="C56" s="194"/>
      <c r="D56" s="195"/>
      <c r="E56" s="195"/>
      <c r="F56" s="195"/>
      <c r="G56" s="159"/>
      <c r="H56" s="159"/>
      <c r="I56" s="159"/>
      <c r="J56" s="159"/>
      <c r="K56" s="159"/>
      <c r="L56" s="14"/>
    </row>
    <row r="57" spans="1:12" ht="11.25" customHeight="1">
      <c r="L57" s="14"/>
    </row>
    <row r="58" spans="1:12" ht="12">
      <c r="A58" s="878" t="str">
        <f>"Gráfico N° 11: Comparación de la máxima potencia coincidente de potencia (MW) por tipo de generación en el SEIN en "&amp;'1. Resumen'!Q4</f>
        <v>Gráfico N° 11: Comparación de la máxima potencia coincidente de potencia (MW) por tipo de generación en el SEIN en febrero</v>
      </c>
      <c r="B58" s="878"/>
      <c r="C58" s="878"/>
      <c r="D58" s="878"/>
      <c r="E58" s="878"/>
      <c r="F58" s="878"/>
      <c r="G58" s="878"/>
      <c r="H58" s="878"/>
      <c r="I58" s="878"/>
      <c r="J58" s="878"/>
      <c r="K58" s="878"/>
      <c r="L58" s="14"/>
    </row>
    <row r="59" spans="1:12" ht="12">
      <c r="A59" s="182"/>
      <c r="B59" s="194"/>
      <c r="C59" s="194"/>
      <c r="D59" s="195"/>
      <c r="E59" s="195"/>
      <c r="F59" s="195"/>
      <c r="G59" s="159"/>
      <c r="H59" s="159"/>
      <c r="I59" s="159"/>
      <c r="J59" s="159"/>
      <c r="K59" s="159"/>
      <c r="L59" s="14"/>
    </row>
    <row r="60" spans="1:12" ht="12">
      <c r="A60" s="182"/>
      <c r="B60" s="194"/>
      <c r="C60" s="194"/>
      <c r="D60" s="195"/>
      <c r="E60" s="195"/>
      <c r="F60" s="195"/>
      <c r="G60" s="159"/>
      <c r="H60" s="159"/>
      <c r="I60" s="159"/>
      <c r="J60" s="159"/>
      <c r="K60" s="159"/>
      <c r="L60" s="14"/>
    </row>
    <row r="61" spans="1:12" ht="12.75">
      <c r="A61" s="23"/>
      <c r="B61" s="184"/>
      <c r="C61" s="184"/>
      <c r="D61" s="185"/>
      <c r="E61" s="185"/>
      <c r="F61" s="185"/>
      <c r="G61" s="91"/>
      <c r="H61" s="91"/>
      <c r="I61" s="91"/>
      <c r="J61" s="91"/>
      <c r="K61" s="91"/>
      <c r="L61" s="14"/>
    </row>
    <row r="62" spans="1:12" ht="12.75">
      <c r="A62" s="23"/>
      <c r="B62" s="184"/>
      <c r="C62" s="184"/>
      <c r="D62" s="185"/>
      <c r="E62" s="185"/>
      <c r="F62" s="185"/>
      <c r="G62" s="91"/>
      <c r="H62" s="91"/>
      <c r="I62" s="91"/>
      <c r="J62" s="91"/>
      <c r="K62" s="91"/>
    </row>
  </sheetData>
  <mergeCells count="11">
    <mergeCell ref="A22:K22"/>
    <mergeCell ref="A58:K58"/>
    <mergeCell ref="A2:K2"/>
    <mergeCell ref="A4:K4"/>
    <mergeCell ref="B6:D6"/>
    <mergeCell ref="E6:F6"/>
    <mergeCell ref="G6:K6"/>
    <mergeCell ref="F7:F9"/>
    <mergeCell ref="I7:I9"/>
    <mergeCell ref="K7:K9"/>
    <mergeCell ref="A6:A9"/>
  </mergeCells>
  <pageMargins left="0.7" right="0.59782608695652173" top="0.86956521739130432" bottom="0.61458333333333337" header="0.3" footer="0.3"/>
  <pageSetup orientation="portrait" r:id="rId1"/>
  <headerFooter>
    <oddHeader>&amp;R&amp;7Informe de la Operación Mensual - Febrero 2018
INFSGI-MES-02-2018
08/03/2018
Versión: 01</oddHeader>
    <oddFooter>&amp;L&amp;7COES SINAC, 2018
&amp;C8&amp;R&amp;7Dirección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3"/>
  <sheetViews>
    <sheetView showGridLines="0" view="pageBreakPreview" zoomScale="145" zoomScaleNormal="100" zoomScaleSheetLayoutView="145" zoomScalePageLayoutView="145" workbookViewId="0">
      <selection activeCell="A17" sqref="A17"/>
    </sheetView>
  </sheetViews>
  <sheetFormatPr defaultRowHeight="11.25"/>
  <cols>
    <col min="1" max="1" width="26.5" style="3" customWidth="1"/>
    <col min="2" max="2" width="11.33203125" style="3" customWidth="1"/>
    <col min="3" max="3" width="10.83203125" style="3" customWidth="1"/>
    <col min="4" max="4" width="8.6640625" style="3" customWidth="1"/>
    <col min="5" max="9" width="9.33203125" style="3"/>
    <col min="10" max="10" width="11.83203125" style="3" customWidth="1"/>
    <col min="11" max="11" width="9.33203125" style="3" customWidth="1"/>
    <col min="12" max="12" width="27.83203125" style="3" customWidth="1"/>
    <col min="13" max="16384" width="9.33203125" style="3"/>
  </cols>
  <sheetData>
    <row r="1" spans="1:15" ht="11.25" customHeight="1">
      <c r="A1" s="885" t="s">
        <v>301</v>
      </c>
      <c r="B1" s="885"/>
      <c r="C1" s="885"/>
      <c r="D1" s="885"/>
      <c r="E1" s="885"/>
      <c r="F1" s="885"/>
      <c r="G1" s="885"/>
      <c r="H1" s="885"/>
      <c r="I1" s="885"/>
      <c r="J1" s="885"/>
    </row>
    <row r="2" spans="1:15" ht="7.5" customHeight="1">
      <c r="A2" s="92"/>
      <c r="B2" s="91"/>
      <c r="C2" s="91"/>
      <c r="D2" s="91"/>
      <c r="E2" s="91"/>
      <c r="F2" s="91"/>
      <c r="G2" s="91"/>
      <c r="H2" s="91"/>
      <c r="I2" s="91"/>
      <c r="J2" s="91"/>
      <c r="K2" s="45"/>
      <c r="L2" s="45"/>
    </row>
    <row r="3" spans="1:15" ht="11.25" customHeight="1">
      <c r="A3" s="886" t="s">
        <v>139</v>
      </c>
      <c r="B3" s="888" t="str">
        <f>+'1. Resumen'!Q4</f>
        <v>febrero</v>
      </c>
      <c r="C3" s="889"/>
      <c r="D3" s="890"/>
      <c r="E3" s="159"/>
      <c r="F3" s="159"/>
      <c r="G3" s="891" t="s">
        <v>300</v>
      </c>
      <c r="H3" s="891"/>
      <c r="I3" s="891"/>
      <c r="J3" s="159"/>
      <c r="K3" s="178"/>
      <c r="L3" s="178"/>
    </row>
    <row r="4" spans="1:15" ht="11.25" customHeight="1">
      <c r="A4" s="886"/>
      <c r="B4" s="200">
        <v>2018</v>
      </c>
      <c r="C4" s="201">
        <v>2017</v>
      </c>
      <c r="D4" s="892" t="s">
        <v>35</v>
      </c>
      <c r="E4" s="159"/>
      <c r="F4" s="159"/>
      <c r="G4" s="159"/>
      <c r="H4" s="159"/>
      <c r="I4" s="159"/>
      <c r="J4" s="159"/>
      <c r="K4" s="31"/>
      <c r="L4" s="152"/>
    </row>
    <row r="5" spans="1:15" ht="11.25" customHeight="1">
      <c r="A5" s="886"/>
      <c r="B5" s="202">
        <f>+'8. Max Potencia'!D8</f>
        <v>43144.8125</v>
      </c>
      <c r="C5" s="202">
        <f>+'8. Max Potencia'!E8</f>
        <v>42767.833333333336</v>
      </c>
      <c r="D5" s="892"/>
      <c r="E5" s="159"/>
      <c r="F5" s="159"/>
      <c r="G5" s="159"/>
      <c r="H5" s="159"/>
      <c r="I5" s="159"/>
      <c r="J5" s="159"/>
      <c r="K5" s="31"/>
      <c r="L5" s="26"/>
    </row>
    <row r="6" spans="1:15" ht="11.25" customHeight="1" thickBot="1">
      <c r="A6" s="887"/>
      <c r="B6" s="450">
        <f>+'8. Max Potencia'!D9</f>
        <v>43144.8125</v>
      </c>
      <c r="C6" s="450">
        <f>+'8. Max Potencia'!E9</f>
        <v>42767.833333333336</v>
      </c>
      <c r="D6" s="893"/>
      <c r="E6" s="159"/>
      <c r="F6" s="159"/>
      <c r="G6" s="159"/>
      <c r="H6" s="159"/>
      <c r="I6" s="159"/>
      <c r="J6" s="159"/>
      <c r="K6" s="32"/>
      <c r="L6" s="307" t="s">
        <v>299</v>
      </c>
      <c r="M6" s="3">
        <v>2018</v>
      </c>
      <c r="N6" s="3">
        <v>2017</v>
      </c>
    </row>
    <row r="7" spans="1:15" ht="9.75" customHeight="1">
      <c r="A7" s="779" t="s">
        <v>286</v>
      </c>
      <c r="B7" s="780">
        <v>1468.67876</v>
      </c>
      <c r="C7" s="780">
        <v>406.57538</v>
      </c>
      <c r="D7" s="781">
        <f>IF(C7=0,"",B7/C7-1)</f>
        <v>2.6123160236608522</v>
      </c>
      <c r="E7" s="159"/>
      <c r="F7" s="159"/>
      <c r="G7" s="159"/>
      <c r="H7" s="159"/>
      <c r="I7" s="159"/>
      <c r="J7" s="159"/>
      <c r="K7" s="30"/>
      <c r="L7" s="451" t="s">
        <v>137</v>
      </c>
      <c r="N7" s="3">
        <v>26.13278</v>
      </c>
      <c r="O7" s="446"/>
    </row>
    <row r="8" spans="1:15" ht="9.75" customHeight="1">
      <c r="A8" s="782" t="s">
        <v>97</v>
      </c>
      <c r="B8" s="783">
        <v>886.87415999999996</v>
      </c>
      <c r="C8" s="783">
        <v>530.43045000000006</v>
      </c>
      <c r="D8" s="784">
        <f t="shared" ref="D8:D64" si="0">IF(C8=0,"",B8/C8-1)</f>
        <v>0.67198953227515479</v>
      </c>
      <c r="E8" s="159"/>
      <c r="F8" s="159"/>
      <c r="G8" s="159"/>
      <c r="H8" s="159"/>
      <c r="I8" s="159"/>
      <c r="J8" s="159"/>
      <c r="K8" s="33"/>
      <c r="L8" s="451" t="s">
        <v>134</v>
      </c>
      <c r="N8" s="3">
        <v>20.343129999999999</v>
      </c>
      <c r="O8" s="446"/>
    </row>
    <row r="9" spans="1:15" ht="9.75" customHeight="1">
      <c r="A9" s="785" t="s">
        <v>98</v>
      </c>
      <c r="B9" s="786">
        <v>846.13872000000003</v>
      </c>
      <c r="C9" s="786">
        <v>863.36112000000003</v>
      </c>
      <c r="D9" s="787">
        <f t="shared" si="0"/>
        <v>-1.9948083833100982E-2</v>
      </c>
      <c r="E9" s="159"/>
      <c r="F9" s="159"/>
      <c r="G9" s="159"/>
      <c r="H9" s="159"/>
      <c r="I9" s="159"/>
      <c r="J9" s="159"/>
      <c r="K9" s="32"/>
      <c r="L9" s="451" t="s">
        <v>135</v>
      </c>
      <c r="N9" s="3">
        <v>11.60938</v>
      </c>
      <c r="O9" s="446"/>
    </row>
    <row r="10" spans="1:15" ht="9.75" customHeight="1">
      <c r="A10" s="782" t="s">
        <v>96</v>
      </c>
      <c r="B10" s="783">
        <v>583.04831999999999</v>
      </c>
      <c r="C10" s="783">
        <v>1017.04333</v>
      </c>
      <c r="D10" s="784">
        <f t="shared" si="0"/>
        <v>-0.42672224201106557</v>
      </c>
      <c r="E10" s="159"/>
      <c r="F10" s="159"/>
      <c r="G10" s="159"/>
      <c r="H10" s="159"/>
      <c r="I10" s="159"/>
      <c r="J10" s="159"/>
      <c r="K10" s="32"/>
      <c r="L10" s="446" t="s">
        <v>136</v>
      </c>
      <c r="M10" s="449"/>
      <c r="N10" s="449">
        <v>335.36574000000002</v>
      </c>
      <c r="O10" s="446"/>
    </row>
    <row r="11" spans="1:15" ht="9.75" customHeight="1">
      <c r="A11" s="785" t="s">
        <v>281</v>
      </c>
      <c r="B11" s="786">
        <v>455.95588999999995</v>
      </c>
      <c r="C11" s="786">
        <v>469.67327999999998</v>
      </c>
      <c r="D11" s="787">
        <f t="shared" si="0"/>
        <v>-2.92062388560832E-2</v>
      </c>
      <c r="E11" s="159"/>
      <c r="F11" s="159"/>
      <c r="G11" s="159"/>
      <c r="H11" s="159"/>
      <c r="I11" s="159"/>
      <c r="J11" s="159"/>
      <c r="K11" s="32"/>
      <c r="L11" s="402" t="s">
        <v>678</v>
      </c>
      <c r="M11" s="449">
        <v>0</v>
      </c>
      <c r="N11" s="449"/>
      <c r="O11" s="446"/>
    </row>
    <row r="12" spans="1:15" ht="9.75" customHeight="1">
      <c r="A12" s="782" t="s">
        <v>99</v>
      </c>
      <c r="B12" s="783">
        <v>360.40575999999999</v>
      </c>
      <c r="C12" s="783">
        <v>336.50511</v>
      </c>
      <c r="D12" s="784">
        <f t="shared" si="0"/>
        <v>7.1026113095280952E-2</v>
      </c>
      <c r="E12" s="159"/>
      <c r="F12" s="159"/>
      <c r="G12" s="159"/>
      <c r="H12" s="159"/>
      <c r="I12" s="159"/>
      <c r="J12" s="159"/>
      <c r="K12" s="30"/>
      <c r="L12" s="451" t="s">
        <v>109</v>
      </c>
      <c r="M12" s="421">
        <v>0</v>
      </c>
      <c r="N12" s="3">
        <v>0</v>
      </c>
      <c r="O12" s="446"/>
    </row>
    <row r="13" spans="1:15" ht="9.75" customHeight="1">
      <c r="A13" s="785" t="s">
        <v>287</v>
      </c>
      <c r="B13" s="786">
        <v>318.08104000000003</v>
      </c>
      <c r="C13" s="786">
        <v>346.10371000000004</v>
      </c>
      <c r="D13" s="787">
        <f t="shared" si="0"/>
        <v>-8.0966106951006145E-2</v>
      </c>
      <c r="E13" s="159"/>
      <c r="F13" s="159"/>
      <c r="G13" s="159"/>
      <c r="H13" s="159"/>
      <c r="I13" s="159"/>
      <c r="J13" s="159"/>
      <c r="K13" s="33"/>
      <c r="L13" s="402" t="s">
        <v>119</v>
      </c>
      <c r="M13" s="449">
        <v>0</v>
      </c>
      <c r="N13" s="449">
        <v>0</v>
      </c>
      <c r="O13" s="446"/>
    </row>
    <row r="14" spans="1:15" ht="9.75" customHeight="1">
      <c r="A14" s="782" t="s">
        <v>103</v>
      </c>
      <c r="B14" s="783">
        <v>215.80619999999999</v>
      </c>
      <c r="C14" s="783">
        <v>214.69425000000001</v>
      </c>
      <c r="D14" s="784">
        <f t="shared" si="0"/>
        <v>5.1792258060008312E-3</v>
      </c>
      <c r="E14" s="159"/>
      <c r="F14" s="159"/>
      <c r="G14" s="159"/>
      <c r="H14" s="159"/>
      <c r="I14" s="159"/>
      <c r="J14" s="159"/>
      <c r="K14" s="33"/>
      <c r="L14" s="402" t="s">
        <v>131</v>
      </c>
      <c r="M14" s="449">
        <v>0</v>
      </c>
      <c r="N14" s="449">
        <v>0</v>
      </c>
      <c r="O14" s="446"/>
    </row>
    <row r="15" spans="1:15" ht="9.75" customHeight="1">
      <c r="A15" s="785" t="s">
        <v>100</v>
      </c>
      <c r="B15" s="786">
        <v>199.45930999999999</v>
      </c>
      <c r="C15" s="786">
        <v>249.23653000000004</v>
      </c>
      <c r="D15" s="787">
        <f t="shared" si="0"/>
        <v>-0.19971879724051711</v>
      </c>
      <c r="E15" s="159"/>
      <c r="F15" s="159"/>
      <c r="G15" s="159"/>
      <c r="H15" s="159"/>
      <c r="I15" s="159"/>
      <c r="J15" s="159"/>
      <c r="K15" s="33"/>
      <c r="L15" s="402" t="s">
        <v>291</v>
      </c>
      <c r="M15" s="449">
        <v>0</v>
      </c>
      <c r="N15" s="449">
        <v>0</v>
      </c>
      <c r="O15" s="446"/>
    </row>
    <row r="16" spans="1:15" ht="9.75" customHeight="1">
      <c r="A16" s="782" t="s">
        <v>102</v>
      </c>
      <c r="B16" s="783">
        <v>192.19821999999999</v>
      </c>
      <c r="C16" s="783">
        <v>191.80975000000001</v>
      </c>
      <c r="D16" s="784">
        <f t="shared" si="0"/>
        <v>2.0252880784212834E-3</v>
      </c>
      <c r="E16" s="159"/>
      <c r="F16" s="159"/>
      <c r="G16" s="159"/>
      <c r="H16" s="159"/>
      <c r="I16" s="159"/>
      <c r="J16" s="159"/>
      <c r="K16" s="33"/>
      <c r="L16" s="446" t="s">
        <v>290</v>
      </c>
      <c r="M16" s="449">
        <v>0</v>
      </c>
      <c r="N16" s="449">
        <v>213.15367000000001</v>
      </c>
      <c r="O16" s="446"/>
    </row>
    <row r="17" spans="1:15" ht="9.75" customHeight="1">
      <c r="A17" s="785" t="s">
        <v>101</v>
      </c>
      <c r="B17" s="786">
        <v>163.39222999999998</v>
      </c>
      <c r="C17" s="786">
        <v>169.55522999999999</v>
      </c>
      <c r="D17" s="787">
        <f t="shared" si="0"/>
        <v>-3.6348038335355493E-2</v>
      </c>
      <c r="E17" s="159"/>
      <c r="F17" s="159"/>
      <c r="G17" s="159"/>
      <c r="H17" s="159"/>
      <c r="I17" s="159"/>
      <c r="J17" s="159"/>
      <c r="K17" s="33"/>
      <c r="L17" s="451" t="s">
        <v>117</v>
      </c>
      <c r="M17" s="3">
        <v>0</v>
      </c>
      <c r="N17" s="3">
        <v>0</v>
      </c>
      <c r="O17" s="446"/>
    </row>
    <row r="18" spans="1:15" ht="9.75" customHeight="1">
      <c r="A18" s="782" t="s">
        <v>104</v>
      </c>
      <c r="B18" s="783">
        <v>110.90493000000001</v>
      </c>
      <c r="C18" s="783">
        <v>110.84282999999999</v>
      </c>
      <c r="D18" s="784">
        <f t="shared" si="0"/>
        <v>5.602527470656149E-4</v>
      </c>
      <c r="E18" s="159"/>
      <c r="F18" s="159"/>
      <c r="G18" s="159"/>
      <c r="H18" s="159"/>
      <c r="I18" s="159"/>
      <c r="J18" s="159"/>
      <c r="K18" s="33"/>
      <c r="L18" s="446" t="s">
        <v>120</v>
      </c>
      <c r="M18" s="449">
        <v>0</v>
      </c>
      <c r="N18" s="449">
        <v>0</v>
      </c>
      <c r="O18" s="446"/>
    </row>
    <row r="19" spans="1:15" ht="9.75" customHeight="1">
      <c r="A19" s="785" t="s">
        <v>282</v>
      </c>
      <c r="B19" s="786">
        <v>94.394300000000001</v>
      </c>
      <c r="C19" s="786">
        <v>46.829799999999999</v>
      </c>
      <c r="D19" s="787">
        <f t="shared" si="0"/>
        <v>1.0156887281175662</v>
      </c>
      <c r="E19" s="159"/>
      <c r="F19" s="159"/>
      <c r="G19" s="159"/>
      <c r="H19" s="159"/>
      <c r="I19" s="159"/>
      <c r="J19" s="159"/>
      <c r="K19" s="33"/>
      <c r="L19" s="448" t="s">
        <v>129</v>
      </c>
      <c r="M19" s="449">
        <v>0</v>
      </c>
      <c r="N19" s="449">
        <v>0</v>
      </c>
      <c r="O19" s="446"/>
    </row>
    <row r="20" spans="1:15" ht="9.75" customHeight="1">
      <c r="A20" s="782" t="s">
        <v>711</v>
      </c>
      <c r="B20" s="783">
        <v>89.974540000000005</v>
      </c>
      <c r="C20" s="783">
        <v>91.014450000000011</v>
      </c>
      <c r="D20" s="784">
        <f t="shared" si="0"/>
        <v>-1.1425768106053558E-2</v>
      </c>
      <c r="E20" s="159"/>
      <c r="F20" s="159"/>
      <c r="G20" s="159"/>
      <c r="H20" s="159"/>
      <c r="I20" s="159"/>
      <c r="J20" s="159"/>
      <c r="K20" s="38"/>
      <c r="L20" s="446" t="s">
        <v>122</v>
      </c>
      <c r="M20" s="449">
        <v>0</v>
      </c>
      <c r="N20" s="449">
        <v>0</v>
      </c>
      <c r="O20" s="446"/>
    </row>
    <row r="21" spans="1:15" ht="9.75" customHeight="1">
      <c r="A21" s="785" t="s">
        <v>115</v>
      </c>
      <c r="B21" s="786">
        <v>84.815160000000006</v>
      </c>
      <c r="C21" s="786">
        <v>0</v>
      </c>
      <c r="D21" s="787" t="str">
        <f t="shared" si="0"/>
        <v/>
      </c>
      <c r="E21" s="159"/>
      <c r="F21" s="159"/>
      <c r="G21" s="159"/>
      <c r="H21" s="159"/>
      <c r="I21" s="159"/>
      <c r="J21" s="159"/>
      <c r="K21" s="33"/>
      <c r="L21" s="451" t="s">
        <v>121</v>
      </c>
      <c r="M21" s="3">
        <v>0</v>
      </c>
      <c r="N21" s="3">
        <v>0</v>
      </c>
      <c r="O21" s="446"/>
    </row>
    <row r="22" spans="1:15" ht="9.75" customHeight="1">
      <c r="A22" s="782" t="s">
        <v>108</v>
      </c>
      <c r="B22" s="783">
        <v>78.918340000000001</v>
      </c>
      <c r="C22" s="783">
        <v>28.030809999999999</v>
      </c>
      <c r="D22" s="784">
        <f t="shared" si="0"/>
        <v>1.8154141817521507</v>
      </c>
      <c r="E22" s="159"/>
      <c r="F22" s="159"/>
      <c r="G22" s="159"/>
      <c r="H22" s="159"/>
      <c r="I22" s="159"/>
      <c r="J22" s="159"/>
      <c r="K22" s="33"/>
      <c r="L22" s="451" t="s">
        <v>284</v>
      </c>
      <c r="M22" s="3">
        <v>0</v>
      </c>
      <c r="N22" s="3">
        <v>549.01656000000003</v>
      </c>
      <c r="O22" s="446"/>
    </row>
    <row r="23" spans="1:15" ht="9.75" customHeight="1">
      <c r="A23" s="785" t="s">
        <v>106</v>
      </c>
      <c r="B23" s="786">
        <v>60.1006</v>
      </c>
      <c r="C23" s="786">
        <v>0</v>
      </c>
      <c r="D23" s="787" t="str">
        <f t="shared" si="0"/>
        <v/>
      </c>
      <c r="E23" s="159"/>
      <c r="F23" s="159"/>
      <c r="G23" s="159"/>
      <c r="H23" s="159"/>
      <c r="I23" s="159"/>
      <c r="J23" s="159"/>
      <c r="K23" s="33"/>
      <c r="L23" s="446" t="s">
        <v>280</v>
      </c>
      <c r="M23" s="449">
        <v>0</v>
      </c>
      <c r="N23" s="449">
        <v>0</v>
      </c>
      <c r="O23" s="446"/>
    </row>
    <row r="24" spans="1:15" ht="9.75" customHeight="1">
      <c r="A24" s="782" t="s">
        <v>105</v>
      </c>
      <c r="B24" s="783">
        <v>51.039430000000003</v>
      </c>
      <c r="C24" s="783">
        <v>84.227099999999993</v>
      </c>
      <c r="D24" s="784">
        <f t="shared" si="0"/>
        <v>-0.3940260320015766</v>
      </c>
      <c r="E24" s="159"/>
      <c r="F24" s="159"/>
      <c r="G24" s="159"/>
      <c r="H24" s="159"/>
      <c r="I24" s="159"/>
      <c r="J24" s="159"/>
      <c r="K24" s="38"/>
      <c r="L24" s="446" t="s">
        <v>133</v>
      </c>
      <c r="M24" s="449">
        <v>0</v>
      </c>
      <c r="N24" s="449">
        <v>0</v>
      </c>
      <c r="O24" s="446"/>
    </row>
    <row r="25" spans="1:15" ht="9.75" customHeight="1">
      <c r="A25" s="785" t="s">
        <v>110</v>
      </c>
      <c r="B25" s="786">
        <v>42.62209</v>
      </c>
      <c r="C25" s="786">
        <v>39.208089999999999</v>
      </c>
      <c r="D25" s="787">
        <f t="shared" si="0"/>
        <v>8.707386664333816E-2</v>
      </c>
      <c r="E25" s="159"/>
      <c r="F25" s="159"/>
      <c r="G25" s="159"/>
      <c r="H25" s="159"/>
      <c r="I25" s="159"/>
      <c r="J25" s="159"/>
      <c r="K25" s="33"/>
      <c r="L25" s="451" t="s">
        <v>130</v>
      </c>
      <c r="M25" s="421">
        <v>0.99741000000000002</v>
      </c>
      <c r="N25" s="3">
        <v>0</v>
      </c>
      <c r="O25" s="446"/>
    </row>
    <row r="26" spans="1:15" ht="9.75" customHeight="1">
      <c r="A26" s="782" t="s">
        <v>283</v>
      </c>
      <c r="B26" s="783">
        <v>37.096400000000003</v>
      </c>
      <c r="C26" s="783">
        <v>37.722000000000001</v>
      </c>
      <c r="D26" s="784">
        <f t="shared" si="0"/>
        <v>-1.6584486506547869E-2</v>
      </c>
      <c r="E26" s="159"/>
      <c r="F26" s="159"/>
      <c r="G26" s="159"/>
      <c r="H26" s="159"/>
      <c r="I26" s="159"/>
      <c r="J26" s="159"/>
      <c r="K26" s="33"/>
      <c r="L26" s="446" t="s">
        <v>128</v>
      </c>
      <c r="M26" s="449">
        <v>1.4519200000000001</v>
      </c>
      <c r="N26" s="449">
        <v>3.0008999999999997</v>
      </c>
      <c r="O26" s="446"/>
    </row>
    <row r="27" spans="1:15" ht="9.75" customHeight="1">
      <c r="A27" s="785" t="s">
        <v>292</v>
      </c>
      <c r="B27" s="786">
        <v>28.15119</v>
      </c>
      <c r="C27" s="786">
        <v>27.347740000000002</v>
      </c>
      <c r="D27" s="787">
        <f t="shared" si="0"/>
        <v>2.9379027298050975E-2</v>
      </c>
      <c r="E27" s="159"/>
      <c r="F27" s="159"/>
      <c r="G27" s="159"/>
      <c r="H27" s="159"/>
      <c r="I27" s="159"/>
      <c r="J27" s="159"/>
      <c r="K27" s="33"/>
      <c r="L27" s="446" t="s">
        <v>126</v>
      </c>
      <c r="M27" s="449">
        <v>3.2</v>
      </c>
      <c r="N27" s="449">
        <v>4</v>
      </c>
      <c r="O27" s="446"/>
    </row>
    <row r="28" spans="1:15" ht="9.75" customHeight="1">
      <c r="A28" s="782" t="s">
        <v>111</v>
      </c>
      <c r="B28" s="783">
        <v>26.884260000000001</v>
      </c>
      <c r="C28" s="783">
        <v>26.262339999999998</v>
      </c>
      <c r="D28" s="784">
        <f t="shared" si="0"/>
        <v>2.3681058123533605E-2</v>
      </c>
      <c r="E28" s="159"/>
      <c r="F28" s="159"/>
      <c r="G28" s="159"/>
      <c r="H28" s="159"/>
      <c r="I28" s="159"/>
      <c r="J28" s="159"/>
      <c r="K28" s="33"/>
      <c r="L28" s="446" t="s">
        <v>125</v>
      </c>
      <c r="M28" s="449">
        <v>3.6574800000000001</v>
      </c>
      <c r="N28" s="449">
        <v>3.4839199999999999</v>
      </c>
      <c r="O28" s="446"/>
    </row>
    <row r="29" spans="1:15" ht="9.75" customHeight="1">
      <c r="A29" s="788" t="s">
        <v>288</v>
      </c>
      <c r="B29" s="789">
        <v>23.36393</v>
      </c>
      <c r="C29" s="789">
        <v>7.2201500000000003</v>
      </c>
      <c r="D29" s="790">
        <f t="shared" si="0"/>
        <v>2.2359341564925934</v>
      </c>
      <c r="E29" s="159"/>
      <c r="F29" s="159"/>
      <c r="G29" s="159"/>
      <c r="H29" s="159"/>
      <c r="I29" s="159"/>
      <c r="J29" s="159"/>
      <c r="K29" s="33"/>
      <c r="L29" s="447" t="s">
        <v>127</v>
      </c>
      <c r="M29" s="449">
        <v>3.7359999999999998</v>
      </c>
      <c r="N29" s="449">
        <v>3.4870000000000001</v>
      </c>
      <c r="O29" s="446"/>
    </row>
    <row r="30" spans="1:15" ht="9.75" customHeight="1">
      <c r="A30" s="791" t="s">
        <v>132</v>
      </c>
      <c r="B30" s="792">
        <v>20.382480000000001</v>
      </c>
      <c r="C30" s="792"/>
      <c r="D30" s="793" t="str">
        <f t="shared" si="0"/>
        <v/>
      </c>
      <c r="E30" s="159"/>
      <c r="F30" s="159"/>
      <c r="G30" s="159"/>
      <c r="H30" s="159"/>
      <c r="I30" s="159"/>
      <c r="J30" s="159"/>
      <c r="K30" s="33"/>
      <c r="L30" s="402" t="s">
        <v>289</v>
      </c>
      <c r="M30" s="449">
        <v>4.3682099999999995</v>
      </c>
      <c r="N30" s="449">
        <v>2.9626999999999999</v>
      </c>
      <c r="O30" s="446"/>
    </row>
    <row r="31" spans="1:15" ht="9.75" customHeight="1">
      <c r="A31" s="794" t="s">
        <v>113</v>
      </c>
      <c r="B31" s="795">
        <v>19.47803</v>
      </c>
      <c r="C31" s="795"/>
      <c r="D31" s="796" t="str">
        <f t="shared" si="0"/>
        <v/>
      </c>
      <c r="E31" s="159"/>
      <c r="F31" s="159"/>
      <c r="G31" s="159"/>
      <c r="H31" s="159"/>
      <c r="I31" s="159"/>
      <c r="J31" s="159"/>
      <c r="K31" s="33"/>
      <c r="L31" s="402" t="s">
        <v>124</v>
      </c>
      <c r="M31" s="449">
        <v>4.7</v>
      </c>
      <c r="N31" s="449">
        <v>4.2699999999999996</v>
      </c>
      <c r="O31" s="446"/>
    </row>
    <row r="32" spans="1:15" ht="9.75" customHeight="1">
      <c r="A32" s="791" t="s">
        <v>112</v>
      </c>
      <c r="B32" s="792">
        <v>19.404</v>
      </c>
      <c r="C32" s="792">
        <v>19.276</v>
      </c>
      <c r="D32" s="793">
        <f t="shared" si="0"/>
        <v>6.6403818219546995E-3</v>
      </c>
      <c r="E32" s="159"/>
      <c r="F32" s="159"/>
      <c r="G32" s="159"/>
      <c r="H32" s="159"/>
      <c r="I32" s="159"/>
      <c r="J32" s="159"/>
      <c r="K32" s="33"/>
      <c r="L32" s="446" t="s">
        <v>123</v>
      </c>
      <c r="M32" s="449">
        <v>7.7695299999999996</v>
      </c>
      <c r="N32" s="449">
        <v>24.399010000000001</v>
      </c>
      <c r="O32" s="446"/>
    </row>
    <row r="33" spans="1:15" ht="9.75" customHeight="1">
      <c r="A33" s="794" t="s">
        <v>285</v>
      </c>
      <c r="B33" s="795">
        <v>19.009140000000002</v>
      </c>
      <c r="C33" s="795"/>
      <c r="D33" s="796" t="str">
        <f t="shared" si="0"/>
        <v/>
      </c>
      <c r="E33" s="159"/>
      <c r="F33" s="159"/>
      <c r="G33" s="159"/>
      <c r="H33" s="159"/>
      <c r="I33" s="159"/>
      <c r="J33" s="159"/>
      <c r="K33" s="33"/>
      <c r="L33" s="402" t="s">
        <v>118</v>
      </c>
      <c r="M33" s="449">
        <v>8.9586500000000004</v>
      </c>
      <c r="N33" s="449">
        <v>0</v>
      </c>
      <c r="O33" s="446"/>
    </row>
    <row r="34" spans="1:15" ht="9.75" customHeight="1">
      <c r="A34" s="791" t="s">
        <v>114</v>
      </c>
      <c r="B34" s="792">
        <v>16.785440000000001</v>
      </c>
      <c r="C34" s="792">
        <v>15.29265</v>
      </c>
      <c r="D34" s="793">
        <f t="shared" si="0"/>
        <v>9.76148672728403E-2</v>
      </c>
      <c r="E34" s="159"/>
      <c r="F34" s="159"/>
      <c r="G34" s="159"/>
      <c r="H34" s="159"/>
      <c r="I34" s="159"/>
      <c r="J34" s="159"/>
      <c r="K34" s="33"/>
      <c r="L34" s="446" t="s">
        <v>107</v>
      </c>
      <c r="M34" s="449">
        <v>11.760109999999999</v>
      </c>
      <c r="N34" s="449"/>
      <c r="O34" s="446"/>
    </row>
    <row r="35" spans="1:15" ht="9.75" customHeight="1">
      <c r="A35" s="794" t="s">
        <v>116</v>
      </c>
      <c r="B35" s="795">
        <v>13.00605</v>
      </c>
      <c r="C35" s="795">
        <v>0</v>
      </c>
      <c r="D35" s="796" t="str">
        <f t="shared" si="0"/>
        <v/>
      </c>
      <c r="E35" s="159"/>
      <c r="F35" s="159"/>
      <c r="G35" s="159"/>
      <c r="H35" s="159"/>
      <c r="I35" s="159"/>
      <c r="J35" s="159"/>
      <c r="K35" s="33"/>
      <c r="L35" s="447" t="s">
        <v>116</v>
      </c>
      <c r="M35" s="449">
        <v>13.00605</v>
      </c>
      <c r="N35" s="449">
        <v>0</v>
      </c>
      <c r="O35" s="446"/>
    </row>
    <row r="36" spans="1:15" ht="9.75" customHeight="1">
      <c r="A36" s="791" t="s">
        <v>107</v>
      </c>
      <c r="B36" s="792">
        <v>11.760109999999999</v>
      </c>
      <c r="C36" s="792"/>
      <c r="D36" s="793" t="str">
        <f t="shared" si="0"/>
        <v/>
      </c>
      <c r="E36" s="159"/>
      <c r="F36" s="159"/>
      <c r="G36" s="159"/>
      <c r="H36" s="159"/>
      <c r="I36" s="159"/>
      <c r="J36" s="159"/>
      <c r="K36" s="43"/>
      <c r="L36" s="402" t="s">
        <v>114</v>
      </c>
      <c r="M36" s="449">
        <v>16.785440000000001</v>
      </c>
      <c r="N36" s="449">
        <v>15.29265</v>
      </c>
      <c r="O36" s="446"/>
    </row>
    <row r="37" spans="1:15" ht="9.75" customHeight="1">
      <c r="A37" s="794" t="s">
        <v>118</v>
      </c>
      <c r="B37" s="795">
        <v>8.9586500000000004</v>
      </c>
      <c r="C37" s="795">
        <v>0</v>
      </c>
      <c r="D37" s="796" t="str">
        <f t="shared" si="0"/>
        <v/>
      </c>
      <c r="E37" s="159"/>
      <c r="F37" s="159"/>
      <c r="G37" s="159"/>
      <c r="H37" s="159"/>
      <c r="I37" s="159"/>
      <c r="J37" s="159"/>
      <c r="K37" s="43"/>
      <c r="L37" s="451" t="s">
        <v>285</v>
      </c>
      <c r="M37" s="421">
        <v>19.009140000000002</v>
      </c>
      <c r="O37" s="446"/>
    </row>
    <row r="38" spans="1:15" ht="9.75" customHeight="1">
      <c r="A38" s="791" t="s">
        <v>123</v>
      </c>
      <c r="B38" s="792">
        <v>7.7695299999999996</v>
      </c>
      <c r="C38" s="792">
        <v>24.399010000000001</v>
      </c>
      <c r="D38" s="793">
        <f t="shared" si="0"/>
        <v>-0.68156371918368819</v>
      </c>
      <c r="E38" s="159"/>
      <c r="F38" s="159"/>
      <c r="G38" s="159"/>
      <c r="H38" s="159"/>
      <c r="I38" s="159"/>
      <c r="J38" s="159"/>
      <c r="K38" s="38"/>
      <c r="L38" s="402" t="s">
        <v>112</v>
      </c>
      <c r="M38" s="449">
        <v>19.404</v>
      </c>
      <c r="N38" s="449">
        <v>19.276</v>
      </c>
      <c r="O38" s="446"/>
    </row>
    <row r="39" spans="1:15" ht="9.75" customHeight="1">
      <c r="A39" s="794" t="s">
        <v>124</v>
      </c>
      <c r="B39" s="795">
        <v>4.7</v>
      </c>
      <c r="C39" s="795">
        <v>4.2699999999999996</v>
      </c>
      <c r="D39" s="796">
        <f t="shared" si="0"/>
        <v>0.10070257611241229</v>
      </c>
      <c r="E39" s="159"/>
      <c r="F39" s="159"/>
      <c r="G39" s="159"/>
      <c r="H39" s="159"/>
      <c r="I39" s="159"/>
      <c r="J39" s="159"/>
      <c r="K39" s="38"/>
      <c r="L39" s="402" t="s">
        <v>113</v>
      </c>
      <c r="M39" s="449">
        <v>19.47803</v>
      </c>
      <c r="N39" s="449"/>
      <c r="O39" s="446"/>
    </row>
    <row r="40" spans="1:15" ht="9.75" customHeight="1">
      <c r="A40" s="791" t="s">
        <v>289</v>
      </c>
      <c r="B40" s="792">
        <v>4.3682099999999995</v>
      </c>
      <c r="C40" s="792">
        <v>2.9626999999999999</v>
      </c>
      <c r="D40" s="793">
        <f t="shared" si="0"/>
        <v>0.47440172815337345</v>
      </c>
      <c r="E40" s="159"/>
      <c r="F40" s="159"/>
      <c r="G40" s="159"/>
      <c r="H40" s="159"/>
      <c r="I40" s="159"/>
      <c r="J40" s="159"/>
      <c r="K40" s="38"/>
      <c r="L40" s="402" t="s">
        <v>132</v>
      </c>
      <c r="M40" s="449">
        <v>20.382480000000001</v>
      </c>
      <c r="N40" s="449"/>
      <c r="O40" s="446"/>
    </row>
    <row r="41" spans="1:15" ht="9.75" customHeight="1">
      <c r="A41" s="794" t="s">
        <v>127</v>
      </c>
      <c r="B41" s="795">
        <v>3.7359999999999998</v>
      </c>
      <c r="C41" s="795">
        <v>3.4870000000000001</v>
      </c>
      <c r="D41" s="796">
        <f t="shared" si="0"/>
        <v>7.1408087180957702E-2</v>
      </c>
      <c r="E41" s="159"/>
      <c r="F41" s="159"/>
      <c r="G41" s="159"/>
      <c r="H41" s="159"/>
      <c r="I41" s="159"/>
      <c r="J41" s="159"/>
      <c r="K41" s="43"/>
      <c r="L41" s="402" t="s">
        <v>288</v>
      </c>
      <c r="M41" s="449">
        <v>23.36393</v>
      </c>
      <c r="N41" s="449">
        <v>7.2201500000000003</v>
      </c>
      <c r="O41" s="446"/>
    </row>
    <row r="42" spans="1:15" ht="9.75" customHeight="1">
      <c r="A42" s="791" t="s">
        <v>125</v>
      </c>
      <c r="B42" s="792">
        <v>3.6574800000000001</v>
      </c>
      <c r="C42" s="792">
        <v>3.4839199999999999</v>
      </c>
      <c r="D42" s="793">
        <f t="shared" si="0"/>
        <v>4.9817447013708716E-2</v>
      </c>
      <c r="E42" s="159"/>
      <c r="F42" s="159"/>
      <c r="G42" s="159"/>
      <c r="H42" s="159"/>
      <c r="I42" s="159"/>
      <c r="J42" s="159"/>
      <c r="K42" s="43"/>
      <c r="L42" s="446" t="s">
        <v>111</v>
      </c>
      <c r="M42" s="449">
        <v>26.884260000000001</v>
      </c>
      <c r="N42" s="449">
        <v>26.262339999999998</v>
      </c>
      <c r="O42" s="446"/>
    </row>
    <row r="43" spans="1:15" ht="9.75" customHeight="1">
      <c r="A43" s="794" t="s">
        <v>126</v>
      </c>
      <c r="B43" s="795">
        <v>3.2</v>
      </c>
      <c r="C43" s="795">
        <v>4</v>
      </c>
      <c r="D43" s="796">
        <f t="shared" si="0"/>
        <v>-0.19999999999999996</v>
      </c>
      <c r="E43" s="159"/>
      <c r="F43" s="159"/>
      <c r="G43" s="159"/>
      <c r="H43" s="159"/>
      <c r="I43" s="159"/>
      <c r="J43" s="159"/>
      <c r="K43" s="43"/>
      <c r="L43" s="402" t="s">
        <v>292</v>
      </c>
      <c r="M43" s="449">
        <v>28.15119</v>
      </c>
      <c r="N43" s="449">
        <v>27.347740000000002</v>
      </c>
      <c r="O43" s="446"/>
    </row>
    <row r="44" spans="1:15" ht="9.75" customHeight="1">
      <c r="A44" s="791" t="s">
        <v>128</v>
      </c>
      <c r="B44" s="792">
        <v>1.4519200000000001</v>
      </c>
      <c r="C44" s="792">
        <v>3.0008999999999997</v>
      </c>
      <c r="D44" s="793">
        <f t="shared" si="0"/>
        <v>-0.51617181512212995</v>
      </c>
      <c r="E44" s="159"/>
      <c r="F44" s="159"/>
      <c r="G44" s="159"/>
      <c r="H44" s="159"/>
      <c r="I44" s="159"/>
      <c r="J44" s="159"/>
      <c r="K44" s="160"/>
      <c r="L44" s="402" t="s">
        <v>283</v>
      </c>
      <c r="M44" s="449">
        <v>37.096400000000003</v>
      </c>
      <c r="N44" s="449">
        <v>37.722000000000001</v>
      </c>
      <c r="O44" s="446"/>
    </row>
    <row r="45" spans="1:15" ht="9.75" customHeight="1">
      <c r="A45" s="794" t="s">
        <v>130</v>
      </c>
      <c r="B45" s="795">
        <v>0.99741000000000002</v>
      </c>
      <c r="C45" s="795">
        <v>0</v>
      </c>
      <c r="D45" s="796" t="str">
        <f t="shared" si="0"/>
        <v/>
      </c>
      <c r="E45" s="159"/>
      <c r="F45" s="159"/>
      <c r="G45" s="159"/>
      <c r="H45" s="159"/>
      <c r="I45" s="159"/>
      <c r="J45" s="159"/>
      <c r="L45" s="446" t="s">
        <v>110</v>
      </c>
      <c r="M45" s="449">
        <v>42.62209</v>
      </c>
      <c r="N45" s="449">
        <v>39.208089999999999</v>
      </c>
      <c r="O45" s="446"/>
    </row>
    <row r="46" spans="1:15" ht="9.75" customHeight="1">
      <c r="A46" s="791" t="s">
        <v>133</v>
      </c>
      <c r="B46" s="792">
        <v>0</v>
      </c>
      <c r="C46" s="792">
        <v>0</v>
      </c>
      <c r="D46" s="793" t="str">
        <f t="shared" si="0"/>
        <v/>
      </c>
      <c r="E46" s="159"/>
      <c r="F46" s="159"/>
      <c r="G46" s="159"/>
      <c r="H46" s="159"/>
      <c r="I46" s="159"/>
      <c r="J46" s="159"/>
      <c r="L46" s="448" t="s">
        <v>105</v>
      </c>
      <c r="M46" s="449">
        <v>51.039430000000003</v>
      </c>
      <c r="N46" s="449">
        <v>84.227099999999993</v>
      </c>
      <c r="O46" s="446"/>
    </row>
    <row r="47" spans="1:15" ht="9.75" customHeight="1">
      <c r="A47" s="794" t="s">
        <v>280</v>
      </c>
      <c r="B47" s="795">
        <v>0</v>
      </c>
      <c r="C47" s="795">
        <v>0</v>
      </c>
      <c r="D47" s="796" t="str">
        <f t="shared" si="0"/>
        <v/>
      </c>
      <c r="E47" s="159"/>
      <c r="F47" s="159"/>
      <c r="G47" s="159"/>
      <c r="H47" s="159"/>
      <c r="I47" s="159"/>
      <c r="J47" s="159"/>
      <c r="L47" s="446" t="s">
        <v>106</v>
      </c>
      <c r="M47" s="449">
        <v>60.1006</v>
      </c>
      <c r="N47" s="449">
        <v>0</v>
      </c>
      <c r="O47" s="446"/>
    </row>
    <row r="48" spans="1:15" ht="9.75" customHeight="1">
      <c r="A48" s="791" t="s">
        <v>284</v>
      </c>
      <c r="B48" s="792">
        <v>0</v>
      </c>
      <c r="C48" s="792">
        <v>549.01656000000003</v>
      </c>
      <c r="D48" s="793">
        <f t="shared" si="0"/>
        <v>-1</v>
      </c>
      <c r="E48" s="159"/>
      <c r="F48" s="159"/>
      <c r="G48" s="159"/>
      <c r="H48" s="159"/>
      <c r="I48" s="159"/>
      <c r="J48" s="159"/>
      <c r="L48" s="446" t="s">
        <v>108</v>
      </c>
      <c r="M48" s="449">
        <v>78.918340000000001</v>
      </c>
      <c r="N48" s="449">
        <v>28.030809999999999</v>
      </c>
      <c r="O48" s="446"/>
    </row>
    <row r="49" spans="1:15" ht="9.75" customHeight="1">
      <c r="A49" s="794" t="s">
        <v>121</v>
      </c>
      <c r="B49" s="795">
        <v>0</v>
      </c>
      <c r="C49" s="795">
        <v>0</v>
      </c>
      <c r="D49" s="796" t="str">
        <f t="shared" si="0"/>
        <v/>
      </c>
      <c r="E49" s="159"/>
      <c r="F49" s="159"/>
      <c r="G49" s="159"/>
      <c r="H49" s="159"/>
      <c r="I49" s="159"/>
      <c r="J49" s="159"/>
      <c r="L49" s="402" t="s">
        <v>115</v>
      </c>
      <c r="M49" s="449">
        <v>84.815160000000006</v>
      </c>
      <c r="N49" s="449">
        <v>0</v>
      </c>
      <c r="O49" s="446"/>
    </row>
    <row r="50" spans="1:15" ht="9.75" customHeight="1">
      <c r="A50" s="791" t="s">
        <v>122</v>
      </c>
      <c r="B50" s="792">
        <v>0</v>
      </c>
      <c r="C50" s="792">
        <v>0</v>
      </c>
      <c r="D50" s="793" t="str">
        <f t="shared" si="0"/>
        <v/>
      </c>
      <c r="E50" s="159"/>
      <c r="F50" s="159"/>
      <c r="G50" s="159"/>
      <c r="H50" s="159"/>
      <c r="I50" s="159"/>
      <c r="J50" s="159"/>
      <c r="L50" s="402" t="s">
        <v>711</v>
      </c>
      <c r="M50" s="449">
        <v>89.974540000000005</v>
      </c>
      <c r="N50" s="449">
        <v>91.014450000000011</v>
      </c>
      <c r="O50" s="446"/>
    </row>
    <row r="51" spans="1:15" ht="9.75" customHeight="1">
      <c r="A51" s="794" t="s">
        <v>129</v>
      </c>
      <c r="B51" s="795">
        <v>0</v>
      </c>
      <c r="C51" s="795">
        <v>0</v>
      </c>
      <c r="D51" s="796" t="str">
        <f t="shared" si="0"/>
        <v/>
      </c>
      <c r="E51" s="159"/>
      <c r="F51" s="159"/>
      <c r="G51" s="159"/>
      <c r="H51" s="159"/>
      <c r="I51" s="159"/>
      <c r="J51" s="159"/>
      <c r="L51" s="402" t="s">
        <v>282</v>
      </c>
      <c r="M51" s="449">
        <v>94.394300000000001</v>
      </c>
      <c r="N51" s="449">
        <v>46.829799999999999</v>
      </c>
      <c r="O51" s="446"/>
    </row>
    <row r="52" spans="1:15" ht="9.75" customHeight="1">
      <c r="A52" s="791" t="s">
        <v>120</v>
      </c>
      <c r="B52" s="792">
        <v>0</v>
      </c>
      <c r="C52" s="792">
        <v>0</v>
      </c>
      <c r="D52" s="793" t="str">
        <f t="shared" si="0"/>
        <v/>
      </c>
      <c r="E52" s="159"/>
      <c r="F52" s="159"/>
      <c r="G52" s="159"/>
      <c r="H52" s="159"/>
      <c r="I52" s="159"/>
      <c r="J52" s="159"/>
      <c r="L52" s="402" t="s">
        <v>104</v>
      </c>
      <c r="M52" s="449">
        <v>110.90493000000001</v>
      </c>
      <c r="N52" s="449">
        <v>110.84282999999999</v>
      </c>
      <c r="O52" s="446"/>
    </row>
    <row r="53" spans="1:15" ht="9.75" customHeight="1">
      <c r="A53" s="794" t="s">
        <v>117</v>
      </c>
      <c r="B53" s="795">
        <v>0</v>
      </c>
      <c r="C53" s="795">
        <v>0</v>
      </c>
      <c r="D53" s="796" t="str">
        <f t="shared" si="0"/>
        <v/>
      </c>
      <c r="E53" s="159"/>
      <c r="F53" s="159"/>
      <c r="G53" s="159"/>
      <c r="H53" s="159"/>
      <c r="I53" s="159"/>
      <c r="J53" s="159"/>
      <c r="L53" s="402" t="s">
        <v>101</v>
      </c>
      <c r="M53" s="449">
        <v>163.39222999999998</v>
      </c>
      <c r="N53" s="449">
        <v>169.55522999999999</v>
      </c>
      <c r="O53" s="446"/>
    </row>
    <row r="54" spans="1:15" ht="9.75" customHeight="1">
      <c r="A54" s="791" t="s">
        <v>290</v>
      </c>
      <c r="B54" s="792">
        <v>0</v>
      </c>
      <c r="C54" s="792">
        <v>213.15367000000001</v>
      </c>
      <c r="D54" s="793">
        <f t="shared" si="0"/>
        <v>-1</v>
      </c>
      <c r="E54" s="159"/>
      <c r="F54" s="159"/>
      <c r="G54" s="159"/>
      <c r="H54" s="159"/>
      <c r="I54" s="159"/>
      <c r="J54" s="159"/>
      <c r="L54" s="402" t="s">
        <v>102</v>
      </c>
      <c r="M54" s="449">
        <v>192.19821999999999</v>
      </c>
      <c r="N54" s="449">
        <v>191.80975000000001</v>
      </c>
      <c r="O54" s="446"/>
    </row>
    <row r="55" spans="1:15" ht="9.75" customHeight="1">
      <c r="A55" s="794" t="s">
        <v>291</v>
      </c>
      <c r="B55" s="795">
        <v>0</v>
      </c>
      <c r="C55" s="795">
        <v>0</v>
      </c>
      <c r="D55" s="796" t="str">
        <f t="shared" si="0"/>
        <v/>
      </c>
      <c r="E55" s="159"/>
      <c r="F55" s="159"/>
      <c r="G55" s="159"/>
      <c r="H55" s="159"/>
      <c r="I55" s="159"/>
      <c r="J55" s="159"/>
      <c r="L55" s="402" t="s">
        <v>100</v>
      </c>
      <c r="M55" s="449">
        <v>199.45930999999999</v>
      </c>
      <c r="N55" s="449">
        <v>249.23653000000004</v>
      </c>
      <c r="O55" s="446"/>
    </row>
    <row r="56" spans="1:15" ht="9.75" customHeight="1">
      <c r="A56" s="791" t="s">
        <v>131</v>
      </c>
      <c r="B56" s="792">
        <v>0</v>
      </c>
      <c r="C56" s="792">
        <v>0</v>
      </c>
      <c r="D56" s="793" t="str">
        <f t="shared" si="0"/>
        <v/>
      </c>
      <c r="E56" s="159"/>
      <c r="F56" s="159"/>
      <c r="G56" s="159"/>
      <c r="H56" s="159"/>
      <c r="I56" s="159"/>
      <c r="J56" s="159"/>
      <c r="L56" s="402" t="s">
        <v>103</v>
      </c>
      <c r="M56" s="449">
        <v>215.80619999999999</v>
      </c>
      <c r="N56" s="449">
        <v>214.69425000000001</v>
      </c>
      <c r="O56" s="446"/>
    </row>
    <row r="57" spans="1:15" ht="9.75" customHeight="1">
      <c r="A57" s="794" t="s">
        <v>119</v>
      </c>
      <c r="B57" s="795">
        <v>0</v>
      </c>
      <c r="C57" s="795">
        <v>0</v>
      </c>
      <c r="D57" s="796" t="str">
        <f t="shared" si="0"/>
        <v/>
      </c>
      <c r="E57" s="159"/>
      <c r="F57" s="159"/>
      <c r="G57" s="159"/>
      <c r="H57" s="159"/>
      <c r="I57" s="159"/>
      <c r="J57" s="159"/>
      <c r="L57" s="402" t="s">
        <v>287</v>
      </c>
      <c r="M57" s="449">
        <v>318.08104000000003</v>
      </c>
      <c r="N57" s="449">
        <v>346.10371000000004</v>
      </c>
      <c r="O57" s="446"/>
    </row>
    <row r="58" spans="1:15" ht="9.75" customHeight="1">
      <c r="A58" s="791" t="s">
        <v>109</v>
      </c>
      <c r="B58" s="792">
        <v>0</v>
      </c>
      <c r="C58" s="792">
        <v>0</v>
      </c>
      <c r="D58" s="793" t="str">
        <f t="shared" si="0"/>
        <v/>
      </c>
      <c r="E58" s="159"/>
      <c r="F58" s="159"/>
      <c r="G58" s="159"/>
      <c r="H58" s="159"/>
      <c r="I58" s="159"/>
      <c r="J58" s="159"/>
      <c r="L58" s="402" t="s">
        <v>99</v>
      </c>
      <c r="M58" s="449">
        <v>360.40575999999999</v>
      </c>
      <c r="N58" s="449">
        <v>336.50511</v>
      </c>
      <c r="O58" s="446"/>
    </row>
    <row r="59" spans="1:15" ht="9.75" customHeight="1">
      <c r="A59" s="774" t="s">
        <v>678</v>
      </c>
      <c r="B59" s="775">
        <v>0</v>
      </c>
      <c r="C59" s="775"/>
      <c r="D59" s="796" t="str">
        <f t="shared" si="0"/>
        <v/>
      </c>
      <c r="E59" s="159"/>
      <c r="F59" s="159"/>
      <c r="G59" s="159"/>
      <c r="H59" s="159"/>
      <c r="I59" s="159"/>
      <c r="J59" s="159"/>
      <c r="L59" s="446" t="s">
        <v>281</v>
      </c>
      <c r="M59" s="449">
        <v>455.95588999999995</v>
      </c>
      <c r="N59" s="449">
        <v>469.67327999999998</v>
      </c>
      <c r="O59" s="446"/>
    </row>
    <row r="60" spans="1:15" ht="9.75" customHeight="1">
      <c r="A60" s="797" t="s">
        <v>136</v>
      </c>
      <c r="B60" s="798"/>
      <c r="C60" s="798">
        <v>335.36574000000002</v>
      </c>
      <c r="D60" s="799">
        <f t="shared" si="0"/>
        <v>-1</v>
      </c>
      <c r="E60" s="159"/>
      <c r="F60" s="159"/>
      <c r="G60" s="159"/>
      <c r="H60" s="159"/>
      <c r="I60" s="159"/>
      <c r="J60" s="159"/>
      <c r="L60" s="402" t="s">
        <v>96</v>
      </c>
      <c r="M60" s="449">
        <v>583.04831999999999</v>
      </c>
      <c r="N60" s="449">
        <v>1017.04333</v>
      </c>
      <c r="O60" s="446"/>
    </row>
    <row r="61" spans="1:15" ht="9.75" customHeight="1">
      <c r="A61" s="774" t="s">
        <v>135</v>
      </c>
      <c r="B61" s="775"/>
      <c r="C61" s="775">
        <v>11.60938</v>
      </c>
      <c r="D61" s="787">
        <f t="shared" si="0"/>
        <v>-1</v>
      </c>
      <c r="E61" s="159"/>
      <c r="F61" s="159"/>
      <c r="G61" s="159"/>
      <c r="H61" s="159"/>
      <c r="I61" s="159"/>
      <c r="J61" s="159"/>
      <c r="L61" s="402" t="s">
        <v>98</v>
      </c>
      <c r="M61" s="449">
        <v>846.13872000000003</v>
      </c>
      <c r="N61" s="449">
        <v>863.36112000000003</v>
      </c>
      <c r="O61" s="446"/>
    </row>
    <row r="62" spans="1:15" ht="9.75" customHeight="1">
      <c r="A62" s="782" t="s">
        <v>134</v>
      </c>
      <c r="B62" s="783"/>
      <c r="C62" s="783">
        <v>20.343129999999999</v>
      </c>
      <c r="D62" s="784">
        <f t="shared" si="0"/>
        <v>-1</v>
      </c>
      <c r="E62" s="159"/>
      <c r="F62" s="159"/>
      <c r="G62" s="159"/>
      <c r="H62" s="159"/>
      <c r="I62" s="159"/>
      <c r="J62" s="159"/>
      <c r="L62" s="402" t="s">
        <v>97</v>
      </c>
      <c r="M62" s="449">
        <v>886.87415999999996</v>
      </c>
      <c r="N62" s="449">
        <v>530.43045000000006</v>
      </c>
      <c r="O62" s="446"/>
    </row>
    <row r="63" spans="1:15" ht="9.75" customHeight="1">
      <c r="A63" s="774" t="s">
        <v>137</v>
      </c>
      <c r="B63" s="775"/>
      <c r="C63" s="775">
        <v>26.13278</v>
      </c>
      <c r="D63" s="790"/>
      <c r="E63" s="159"/>
      <c r="F63" s="159"/>
      <c r="G63" s="159"/>
      <c r="H63" s="159"/>
      <c r="I63" s="159"/>
      <c r="J63" s="159"/>
      <c r="L63" s="402" t="s">
        <v>286</v>
      </c>
      <c r="M63" s="449">
        <v>1468.67876</v>
      </c>
      <c r="N63" s="449">
        <v>406.57538</v>
      </c>
      <c r="O63" s="446"/>
    </row>
    <row r="64" spans="1:15" ht="9.75" customHeight="1">
      <c r="A64" s="776" t="s">
        <v>44</v>
      </c>
      <c r="B64" s="777">
        <f>SUM(B7:B63)</f>
        <v>6576.9682299999995</v>
      </c>
      <c r="C64" s="777">
        <f>SUM(C7:C63)</f>
        <v>6529.486890000001</v>
      </c>
      <c r="D64" s="778">
        <f t="shared" si="0"/>
        <v>7.2718332695815846E-3</v>
      </c>
      <c r="E64" s="203"/>
      <c r="F64" s="203"/>
      <c r="G64" s="203"/>
      <c r="H64" s="204"/>
      <c r="I64" s="204"/>
      <c r="J64" s="204"/>
      <c r="L64" s="402"/>
      <c r="M64" s="449"/>
      <c r="N64" s="449"/>
    </row>
    <row r="65" spans="1:10" ht="32.25" customHeight="1">
      <c r="A65" s="874" t="str">
        <f>"Cuadro N° 8: Participación de las empresas generadoras del COES en la máxima potencia coincidente (MW) en "&amp;'1. Resumen'!Q4</f>
        <v>Cuadro N° 8: Participación de las empresas generadoras del COES en la máxima potencia coincidente (MW) en febrero</v>
      </c>
      <c r="B65" s="874"/>
      <c r="C65" s="874"/>
      <c r="D65" s="874"/>
      <c r="E65" s="183"/>
      <c r="F65" s="874" t="str">
        <f>"Gráfico N° 11: Comparación de la máxima potencia coincidente  (MW) de las empresas generadoras del COES en "&amp;'1. Resumen'!Q4</f>
        <v>Gráfico N° 11: Comparación de la máxima potencia coincidente  (MW) de las empresas generadoras del COES en febrero</v>
      </c>
      <c r="G65" s="874"/>
      <c r="H65" s="874"/>
      <c r="I65" s="874"/>
      <c r="J65" s="874"/>
    </row>
    <row r="66" spans="1:10" ht="12.75" customHeight="1">
      <c r="A66" s="769"/>
      <c r="B66" s="769"/>
      <c r="C66" s="769"/>
      <c r="D66" s="769"/>
      <c r="E66" s="183"/>
      <c r="F66" s="769"/>
      <c r="G66" s="769"/>
      <c r="H66" s="769"/>
      <c r="I66" s="769"/>
      <c r="J66" s="769"/>
    </row>
    <row r="67" spans="1:10" ht="12.75" customHeight="1">
      <c r="A67" s="876" t="s">
        <v>703</v>
      </c>
      <c r="B67" s="876"/>
      <c r="C67" s="876"/>
      <c r="D67" s="876"/>
      <c r="E67" s="876"/>
      <c r="F67" s="876"/>
      <c r="G67" s="876"/>
      <c r="H67" s="876"/>
      <c r="I67" s="876"/>
      <c r="J67" s="876"/>
    </row>
    <row r="68" spans="1:10" ht="12.75" customHeight="1">
      <c r="A68" s="205"/>
      <c r="B68" s="159"/>
      <c r="C68" s="159"/>
      <c r="D68" s="159"/>
      <c r="E68" s="203"/>
      <c r="F68" s="203"/>
      <c r="G68" s="203"/>
      <c r="H68" s="204"/>
      <c r="I68" s="204"/>
      <c r="J68" s="204"/>
    </row>
    <row r="69" spans="1:10">
      <c r="A69" s="868"/>
      <c r="B69" s="868"/>
      <c r="C69" s="868"/>
      <c r="D69" s="868"/>
      <c r="E69" s="868"/>
      <c r="F69" s="868"/>
      <c r="G69" s="868"/>
      <c r="H69" s="868"/>
      <c r="I69" s="868"/>
      <c r="J69" s="868"/>
    </row>
    <row r="70" spans="1:10">
      <c r="A70" s="869"/>
      <c r="B70" s="869"/>
      <c r="C70" s="869"/>
      <c r="D70" s="869"/>
      <c r="E70" s="869"/>
      <c r="F70" s="869"/>
      <c r="G70" s="869"/>
      <c r="H70" s="869"/>
      <c r="I70" s="869"/>
      <c r="J70" s="869"/>
    </row>
    <row r="71" spans="1:10">
      <c r="A71" s="868"/>
      <c r="B71" s="868"/>
      <c r="C71" s="868"/>
      <c r="D71" s="868"/>
      <c r="E71" s="868"/>
      <c r="F71" s="868"/>
      <c r="G71" s="868"/>
      <c r="H71" s="868"/>
      <c r="I71" s="868"/>
      <c r="J71" s="868"/>
    </row>
    <row r="72" spans="1:10">
      <c r="A72" s="883"/>
      <c r="B72" s="883"/>
      <c r="C72" s="883"/>
      <c r="D72" s="883"/>
      <c r="E72" s="883"/>
      <c r="F72" s="883"/>
      <c r="G72" s="883"/>
      <c r="H72" s="883"/>
      <c r="I72" s="883"/>
      <c r="J72" s="883"/>
    </row>
    <row r="73" spans="1:10">
      <c r="A73" s="884"/>
      <c r="B73" s="884"/>
      <c r="C73" s="884"/>
      <c r="D73" s="884"/>
      <c r="E73" s="884"/>
      <c r="F73" s="884"/>
      <c r="G73" s="884"/>
      <c r="H73" s="884"/>
      <c r="I73" s="884"/>
      <c r="J73" s="884"/>
    </row>
  </sheetData>
  <autoFilter ref="L6:N63" xr:uid="{51C3E269-94FB-4FDB-993A-26794E6E080A}">
    <sortState ref="L7:N63">
      <sortCondition ref="M6:M63"/>
    </sortState>
  </autoFilter>
  <mergeCells count="13">
    <mergeCell ref="A67:J67"/>
    <mergeCell ref="A65:D65"/>
    <mergeCell ref="F65:J65"/>
    <mergeCell ref="A1:J1"/>
    <mergeCell ref="A3:A6"/>
    <mergeCell ref="B3:D3"/>
    <mergeCell ref="G3:I3"/>
    <mergeCell ref="D4:D6"/>
    <mergeCell ref="A69:J69"/>
    <mergeCell ref="A70:J70"/>
    <mergeCell ref="A71:J71"/>
    <mergeCell ref="A72:J72"/>
    <mergeCell ref="A73:J73"/>
  </mergeCells>
  <pageMargins left="0.7" right="0.5892857142857143" top="0.86956521739130432" bottom="0.61458333333333337" header="0.3" footer="0.3"/>
  <pageSetup orientation="portrait" r:id="rId1"/>
  <headerFooter>
    <oddHeader>&amp;R&amp;7Informe de la Operación Mensual - Febrero 2018
INFSGI-MES-02-2018
08/03/2018
Versión: 01</oddHeader>
    <oddFooter>&amp;L&amp;7COES SINAC, 2018
&amp;C9&amp;R&amp;7Dirección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AL65"/>
  <sheetViews>
    <sheetView showGridLines="0" view="pageBreakPreview" zoomScale="130" zoomScaleNormal="100" zoomScaleSheetLayoutView="130" zoomScalePageLayoutView="130" workbookViewId="0">
      <selection activeCell="K12" sqref="K12"/>
    </sheetView>
  </sheetViews>
  <sheetFormatPr defaultRowHeight="11.25"/>
  <cols>
    <col min="1" max="1" width="7.6640625" style="95" customWidth="1"/>
    <col min="2" max="2" width="9.83203125" style="95" customWidth="1"/>
    <col min="3" max="3" width="29.6640625" style="95" customWidth="1"/>
    <col min="4" max="5" width="12.6640625" style="95" customWidth="1"/>
    <col min="6" max="6" width="12.1640625" style="95" customWidth="1"/>
    <col min="7" max="8" width="9.33203125" style="95"/>
    <col min="9" max="9" width="9.33203125" style="95" customWidth="1"/>
    <col min="10" max="11" width="9.33203125" style="650" customWidth="1"/>
    <col min="12" max="31" width="9.33203125" style="650"/>
    <col min="32" max="16384" width="9.33203125" style="95"/>
  </cols>
  <sheetData>
    <row r="1" spans="1:38" ht="11.25" customHeight="1"/>
    <row r="2" spans="1:38" ht="17.25" customHeight="1">
      <c r="A2" s="879" t="s">
        <v>302</v>
      </c>
      <c r="B2" s="879"/>
      <c r="C2" s="879"/>
      <c r="D2" s="879"/>
      <c r="E2" s="879"/>
      <c r="F2" s="879"/>
      <c r="G2" s="879"/>
      <c r="H2" s="879"/>
    </row>
    <row r="3" spans="1:38" ht="11.25" customHeight="1">
      <c r="A3" s="211"/>
      <c r="B3" s="211"/>
      <c r="C3" s="211"/>
      <c r="D3" s="211"/>
      <c r="E3" s="211"/>
      <c r="F3" s="102"/>
      <c r="G3" s="102"/>
      <c r="H3" s="102"/>
      <c r="I3" s="45"/>
      <c r="J3" s="651"/>
    </row>
    <row r="4" spans="1:38" ht="11.25" customHeight="1">
      <c r="A4" s="894" t="s">
        <v>303</v>
      </c>
      <c r="B4" s="894"/>
      <c r="C4" s="894"/>
      <c r="D4" s="894"/>
      <c r="E4" s="894"/>
      <c r="F4" s="894"/>
      <c r="G4" s="894"/>
      <c r="H4" s="894"/>
      <c r="I4" s="45"/>
      <c r="J4" s="651"/>
    </row>
    <row r="5" spans="1:38" ht="11.25" customHeight="1">
      <c r="A5" s="97"/>
      <c r="B5" s="212"/>
      <c r="C5" s="99"/>
      <c r="D5" s="99"/>
      <c r="E5" s="100"/>
      <c r="F5" s="96"/>
      <c r="G5" s="96"/>
      <c r="H5" s="101"/>
      <c r="I5" s="213"/>
      <c r="J5" s="652"/>
    </row>
    <row r="6" spans="1:38" ht="42.75" customHeight="1">
      <c r="A6" s="97"/>
      <c r="C6" s="221" t="s">
        <v>140</v>
      </c>
      <c r="D6" s="222" t="s">
        <v>700</v>
      </c>
      <c r="E6" s="222" t="s">
        <v>701</v>
      </c>
      <c r="F6" s="223" t="s">
        <v>141</v>
      </c>
      <c r="G6" s="224"/>
      <c r="H6" s="225"/>
    </row>
    <row r="7" spans="1:38" ht="11.25" customHeight="1">
      <c r="A7" s="97"/>
      <c r="C7" s="226" t="s">
        <v>142</v>
      </c>
      <c r="D7" s="227">
        <v>14.8972</v>
      </c>
      <c r="E7" s="227">
        <v>19.805</v>
      </c>
      <c r="F7" s="228">
        <f>IF(E7=0,"",(D7-E7)/E7)</f>
        <v>-0.24780610956829083</v>
      </c>
      <c r="G7" s="224"/>
      <c r="H7" s="225"/>
    </row>
    <row r="8" spans="1:38" ht="11.25" customHeight="1">
      <c r="A8" s="97"/>
      <c r="C8" s="229" t="s">
        <v>143</v>
      </c>
      <c r="D8" s="230">
        <v>105.7234</v>
      </c>
      <c r="E8" s="230">
        <v>110.00700000000001</v>
      </c>
      <c r="F8" s="231">
        <f t="shared" ref="F8:F28" si="0">IF(E8=0,"",(D8-E8)/E8)</f>
        <v>-3.8939340223803999E-2</v>
      </c>
      <c r="G8" s="224"/>
      <c r="H8" s="225"/>
    </row>
    <row r="9" spans="1:38" ht="11.25" customHeight="1">
      <c r="A9" s="97"/>
      <c r="C9" s="226" t="s">
        <v>144</v>
      </c>
      <c r="D9" s="227">
        <v>100.95612</v>
      </c>
      <c r="E9" s="227">
        <v>36.674999999999997</v>
      </c>
      <c r="F9" s="228">
        <f t="shared" si="0"/>
        <v>1.7527231083844583</v>
      </c>
      <c r="G9" s="224"/>
      <c r="H9" s="225"/>
      <c r="M9" s="653" t="s">
        <v>314</v>
      </c>
      <c r="N9" s="654"/>
      <c r="O9" s="654"/>
      <c r="P9" s="654"/>
      <c r="Q9" s="654"/>
      <c r="R9" s="654"/>
      <c r="S9" s="654"/>
      <c r="T9" s="654"/>
      <c r="U9" s="654"/>
      <c r="V9" s="654"/>
      <c r="W9" s="654"/>
      <c r="X9" s="654"/>
      <c r="Y9" s="654"/>
      <c r="Z9" s="654"/>
      <c r="AA9" s="654"/>
      <c r="AB9" s="654"/>
      <c r="AC9" s="654"/>
      <c r="AD9" s="654"/>
      <c r="AE9" s="654"/>
      <c r="AF9" s="455"/>
      <c r="AG9" s="455"/>
      <c r="AH9" s="455"/>
      <c r="AI9" s="455"/>
      <c r="AJ9" s="455"/>
      <c r="AK9" s="455"/>
      <c r="AL9" s="455"/>
    </row>
    <row r="10" spans="1:38" ht="11.25" customHeight="1">
      <c r="A10" s="97"/>
      <c r="C10" s="229" t="s">
        <v>145</v>
      </c>
      <c r="D10" s="230">
        <v>58.644419999999997</v>
      </c>
      <c r="E10" s="230">
        <v>48.451000000000001</v>
      </c>
      <c r="F10" s="231">
        <f t="shared" si="0"/>
        <v>0.21038616334028185</v>
      </c>
      <c r="G10" s="224"/>
      <c r="H10" s="225"/>
      <c r="M10" s="653" t="s">
        <v>315</v>
      </c>
      <c r="N10" s="654"/>
      <c r="O10" s="654"/>
      <c r="P10" s="654"/>
      <c r="Q10" s="654"/>
      <c r="R10" s="654"/>
      <c r="S10" s="654"/>
      <c r="T10" s="654"/>
      <c r="AD10" s="654"/>
      <c r="AE10" s="654"/>
      <c r="AF10" s="455"/>
      <c r="AG10" s="455"/>
      <c r="AH10" s="455"/>
      <c r="AI10" s="455"/>
      <c r="AJ10" s="455"/>
      <c r="AK10" s="455"/>
      <c r="AL10" s="455"/>
    </row>
    <row r="11" spans="1:38" ht="11.25" customHeight="1">
      <c r="A11" s="97"/>
      <c r="C11" s="226" t="s">
        <v>146</v>
      </c>
      <c r="D11" s="227">
        <v>39.414490000000001</v>
      </c>
      <c r="E11" s="227">
        <v>15.744</v>
      </c>
      <c r="F11" s="228">
        <f>IF(E11=0,"",(D11-E11)/E11)</f>
        <v>1.5034610010162603</v>
      </c>
      <c r="G11" s="224"/>
      <c r="H11" s="225"/>
      <c r="M11" s="654"/>
      <c r="N11" s="655">
        <v>2016</v>
      </c>
      <c r="O11" s="655">
        <v>2017</v>
      </c>
      <c r="P11" s="655">
        <v>2018</v>
      </c>
      <c r="Q11" s="654"/>
      <c r="R11" s="654"/>
      <c r="S11" s="654"/>
      <c r="T11" s="654"/>
      <c r="AD11" s="654"/>
      <c r="AE11" s="654"/>
      <c r="AF11" s="455"/>
      <c r="AG11" s="455"/>
      <c r="AH11" s="455"/>
      <c r="AI11" s="455"/>
      <c r="AJ11" s="455"/>
      <c r="AK11" s="455"/>
      <c r="AL11" s="455"/>
    </row>
    <row r="12" spans="1:38" ht="11.25" customHeight="1">
      <c r="A12" s="97"/>
      <c r="C12" s="229" t="s">
        <v>147</v>
      </c>
      <c r="D12" s="230">
        <v>21.2</v>
      </c>
      <c r="E12" s="230">
        <v>11.388</v>
      </c>
      <c r="F12" s="231">
        <f t="shared" si="0"/>
        <v>0.86160871092377933</v>
      </c>
      <c r="G12" s="224"/>
      <c r="H12" s="225"/>
      <c r="M12" s="656">
        <v>1</v>
      </c>
      <c r="N12" s="657">
        <v>138.54</v>
      </c>
      <c r="O12" s="657">
        <v>93.1</v>
      </c>
      <c r="P12" s="657">
        <v>104.46</v>
      </c>
      <c r="Q12" s="654"/>
      <c r="R12" s="654"/>
      <c r="S12" s="654"/>
      <c r="T12" s="654"/>
      <c r="AD12" s="654"/>
      <c r="AE12" s="654"/>
      <c r="AF12" s="455"/>
      <c r="AG12" s="455"/>
      <c r="AH12" s="455"/>
      <c r="AI12" s="455"/>
      <c r="AJ12" s="455"/>
      <c r="AK12" s="455"/>
      <c r="AL12" s="455"/>
    </row>
    <row r="13" spans="1:38" ht="11.25" customHeight="1">
      <c r="A13" s="97"/>
      <c r="C13" s="226" t="s">
        <v>148</v>
      </c>
      <c r="D13" s="227">
        <v>88.510002139999997</v>
      </c>
      <c r="E13" s="227">
        <v>72.721999999999994</v>
      </c>
      <c r="F13" s="228">
        <f t="shared" si="0"/>
        <v>0.21710076923076929</v>
      </c>
      <c r="G13" s="224"/>
      <c r="H13" s="225"/>
      <c r="M13" s="656">
        <v>2</v>
      </c>
      <c r="N13" s="657">
        <v>140.53</v>
      </c>
      <c r="O13" s="657">
        <v>93.1</v>
      </c>
      <c r="P13" s="657">
        <v>103.4720001</v>
      </c>
      <c r="Q13" s="654"/>
      <c r="R13" s="654"/>
      <c r="S13" s="654"/>
      <c r="T13" s="654"/>
      <c r="AD13" s="654"/>
      <c r="AE13" s="654"/>
      <c r="AF13" s="455"/>
      <c r="AG13" s="455"/>
      <c r="AH13" s="455"/>
      <c r="AI13" s="455"/>
      <c r="AJ13" s="455"/>
      <c r="AK13" s="455"/>
      <c r="AL13" s="455"/>
    </row>
    <row r="14" spans="1:38" ht="11.25" customHeight="1">
      <c r="A14" s="97"/>
      <c r="C14" s="229" t="s">
        <v>149</v>
      </c>
      <c r="D14" s="230">
        <v>223.80400090000001</v>
      </c>
      <c r="E14" s="230">
        <v>222.56899999999999</v>
      </c>
      <c r="F14" s="231">
        <f t="shared" si="0"/>
        <v>5.5488450772570178E-3</v>
      </c>
      <c r="G14" s="224"/>
      <c r="H14" s="225"/>
      <c r="M14" s="656">
        <v>3</v>
      </c>
      <c r="N14" s="657">
        <v>140.53</v>
      </c>
      <c r="O14" s="657">
        <v>98.74</v>
      </c>
      <c r="P14" s="657">
        <v>106.08699799999999</v>
      </c>
      <c r="Q14" s="654"/>
      <c r="R14" s="654"/>
      <c r="S14" s="654"/>
      <c r="T14" s="654"/>
      <c r="AD14" s="654"/>
      <c r="AE14" s="654"/>
      <c r="AF14" s="455"/>
      <c r="AG14" s="455"/>
      <c r="AH14" s="455"/>
      <c r="AI14" s="455"/>
      <c r="AJ14" s="455"/>
      <c r="AK14" s="455"/>
      <c r="AL14" s="455"/>
    </row>
    <row r="15" spans="1:38" ht="11.25" customHeight="1">
      <c r="A15" s="97"/>
      <c r="C15" s="226" t="s">
        <v>150</v>
      </c>
      <c r="D15" s="227">
        <v>16.959999079999999</v>
      </c>
      <c r="E15" s="227">
        <v>11.19999</v>
      </c>
      <c r="F15" s="228">
        <f t="shared" si="0"/>
        <v>0.51428698418480734</v>
      </c>
      <c r="G15" s="224"/>
      <c r="H15" s="225"/>
      <c r="M15" s="656">
        <v>4</v>
      </c>
      <c r="N15" s="657">
        <v>137.43800000000002</v>
      </c>
      <c r="O15" s="657">
        <v>98.74</v>
      </c>
      <c r="P15" s="657">
        <v>112.7200012</v>
      </c>
      <c r="Q15" s="654"/>
      <c r="R15" s="654"/>
      <c r="S15" s="654"/>
      <c r="T15" s="654"/>
      <c r="AD15" s="654"/>
      <c r="AE15" s="654"/>
      <c r="AF15" s="455"/>
      <c r="AG15" s="455"/>
      <c r="AH15" s="455"/>
      <c r="AI15" s="455"/>
      <c r="AJ15" s="455"/>
      <c r="AK15" s="455"/>
      <c r="AL15" s="455"/>
    </row>
    <row r="16" spans="1:38" ht="11.25" customHeight="1">
      <c r="A16" s="97"/>
      <c r="C16" s="229" t="s">
        <v>151</v>
      </c>
      <c r="D16" s="230">
        <v>181.19200129999999</v>
      </c>
      <c r="E16" s="230">
        <v>249.13</v>
      </c>
      <c r="F16" s="231">
        <f t="shared" si="0"/>
        <v>-0.27270099426002492</v>
      </c>
      <c r="G16" s="224"/>
      <c r="H16" s="225"/>
      <c r="M16" s="656">
        <v>5</v>
      </c>
      <c r="N16" s="657">
        <v>137.43800000000002</v>
      </c>
      <c r="O16" s="657">
        <v>125.15</v>
      </c>
      <c r="P16" s="657">
        <v>122.3190002</v>
      </c>
      <c r="Q16" s="654"/>
      <c r="R16" s="654"/>
      <c r="S16" s="654"/>
      <c r="T16" s="654"/>
      <c r="AD16" s="654"/>
      <c r="AE16" s="654"/>
      <c r="AF16" s="455"/>
      <c r="AG16" s="455"/>
      <c r="AH16" s="455"/>
      <c r="AI16" s="455"/>
      <c r="AJ16" s="455"/>
      <c r="AK16" s="455"/>
      <c r="AL16" s="455"/>
    </row>
    <row r="17" spans="1:38" ht="11.25" customHeight="1">
      <c r="A17" s="97"/>
      <c r="C17" s="226" t="s">
        <v>152</v>
      </c>
      <c r="D17" s="227">
        <v>126.7900009</v>
      </c>
      <c r="E17" s="227">
        <v>126.88</v>
      </c>
      <c r="F17" s="228">
        <f t="shared" si="0"/>
        <v>-7.0932455863808328E-4</v>
      </c>
      <c r="G17" s="224"/>
      <c r="H17" s="225"/>
      <c r="M17" s="656">
        <v>6</v>
      </c>
      <c r="N17" s="657">
        <v>137.43800000000002</v>
      </c>
      <c r="O17" s="657">
        <v>125.15</v>
      </c>
      <c r="P17" s="657">
        <v>126.1559982</v>
      </c>
      <c r="Q17" s="654"/>
      <c r="R17" s="654"/>
      <c r="S17" s="654"/>
      <c r="T17" s="654"/>
      <c r="AD17" s="654"/>
      <c r="AE17" s="654"/>
      <c r="AF17" s="455"/>
      <c r="AG17" s="455"/>
      <c r="AH17" s="455"/>
      <c r="AI17" s="455"/>
      <c r="AJ17" s="455"/>
      <c r="AK17" s="455"/>
      <c r="AL17" s="455"/>
    </row>
    <row r="18" spans="1:38" ht="11.25" customHeight="1">
      <c r="A18" s="97"/>
      <c r="C18" s="229" t="s">
        <v>153</v>
      </c>
      <c r="D18" s="230">
        <v>15.62800026</v>
      </c>
      <c r="E18" s="230">
        <v>14.64</v>
      </c>
      <c r="F18" s="231">
        <f t="shared" si="0"/>
        <v>6.7486356557377031E-2</v>
      </c>
      <c r="G18" s="224"/>
      <c r="H18" s="225"/>
      <c r="M18" s="656">
        <v>7</v>
      </c>
      <c r="N18" s="657">
        <v>151.05499267578099</v>
      </c>
      <c r="O18" s="657">
        <v>142.99</v>
      </c>
      <c r="P18" s="657">
        <v>142.9900055</v>
      </c>
      <c r="Q18" s="654"/>
      <c r="R18" s="654"/>
      <c r="S18" s="654"/>
      <c r="T18" s="654"/>
      <c r="AD18" s="654"/>
      <c r="AE18" s="654"/>
      <c r="AF18" s="455"/>
      <c r="AG18" s="455"/>
      <c r="AH18" s="455"/>
      <c r="AI18" s="455"/>
      <c r="AJ18" s="455"/>
      <c r="AK18" s="455"/>
      <c r="AL18" s="455"/>
    </row>
    <row r="19" spans="1:38" ht="11.25" customHeight="1">
      <c r="A19" s="97"/>
      <c r="C19" s="226" t="s">
        <v>154</v>
      </c>
      <c r="D19" s="227">
        <v>36.398151400000003</v>
      </c>
      <c r="E19" s="227">
        <v>36.450000000000003</v>
      </c>
      <c r="F19" s="228">
        <f t="shared" si="0"/>
        <v>-1.4224581618655576E-3</v>
      </c>
      <c r="G19" s="224"/>
      <c r="H19" s="225"/>
      <c r="M19" s="656">
        <v>8</v>
      </c>
      <c r="N19" s="657">
        <v>151.05499267578099</v>
      </c>
      <c r="O19" s="657">
        <v>142.99</v>
      </c>
      <c r="P19" s="657">
        <v>134.13600159999999</v>
      </c>
      <c r="Q19" s="654"/>
      <c r="R19" s="654"/>
      <c r="S19" s="654"/>
      <c r="T19" s="654"/>
      <c r="AD19" s="654"/>
      <c r="AE19" s="654"/>
      <c r="AF19" s="455"/>
      <c r="AG19" s="455"/>
      <c r="AH19" s="455"/>
      <c r="AI19" s="455"/>
      <c r="AJ19" s="455"/>
      <c r="AK19" s="455"/>
      <c r="AL19" s="455"/>
    </row>
    <row r="20" spans="1:38" ht="11.25" customHeight="1">
      <c r="A20" s="97"/>
      <c r="C20" s="229" t="s">
        <v>155</v>
      </c>
      <c r="D20" s="230">
        <v>10.9443903</v>
      </c>
      <c r="E20" s="230">
        <v>22.692</v>
      </c>
      <c r="F20" s="231">
        <f t="shared" si="0"/>
        <v>-0.51769829455314653</v>
      </c>
      <c r="G20" s="224"/>
      <c r="H20" s="225"/>
      <c r="M20" s="656">
        <v>9</v>
      </c>
      <c r="N20" s="657">
        <v>165.00500489999999</v>
      </c>
      <c r="O20" s="657">
        <v>159.53</v>
      </c>
      <c r="P20" s="657">
        <v>153.34500120000001</v>
      </c>
      <c r="Q20" s="654"/>
      <c r="R20" s="654"/>
      <c r="S20" s="654"/>
      <c r="T20" s="654"/>
      <c r="AD20" s="654"/>
      <c r="AE20" s="654"/>
      <c r="AF20" s="455"/>
      <c r="AG20" s="455"/>
      <c r="AH20" s="455"/>
      <c r="AI20" s="455"/>
      <c r="AJ20" s="455"/>
      <c r="AK20" s="455"/>
      <c r="AL20" s="455"/>
    </row>
    <row r="21" spans="1:38" ht="11.25" customHeight="1">
      <c r="A21" s="97"/>
      <c r="C21" s="226" t="s">
        <v>156</v>
      </c>
      <c r="D21" s="469" t="s">
        <v>336</v>
      </c>
      <c r="E21" s="227">
        <v>16.917000000000002</v>
      </c>
      <c r="F21" s="228"/>
      <c r="G21" s="224"/>
      <c r="H21" s="225"/>
      <c r="M21" s="656">
        <v>10</v>
      </c>
      <c r="N21" s="657">
        <v>165.00500489999999</v>
      </c>
      <c r="O21" s="657">
        <v>159.53</v>
      </c>
      <c r="P21" s="657"/>
      <c r="Q21" s="654"/>
      <c r="R21" s="654"/>
      <c r="S21" s="654"/>
      <c r="T21" s="654"/>
      <c r="AD21" s="654"/>
      <c r="AE21" s="654"/>
      <c r="AF21" s="455"/>
      <c r="AG21" s="455"/>
      <c r="AH21" s="455"/>
      <c r="AI21" s="455"/>
      <c r="AJ21" s="455"/>
      <c r="AK21" s="455"/>
      <c r="AL21" s="455"/>
    </row>
    <row r="22" spans="1:38" ht="11.25" customHeight="1">
      <c r="A22" s="97"/>
      <c r="C22" s="229" t="s">
        <v>157</v>
      </c>
      <c r="D22" s="230">
        <v>3.7599999899999998</v>
      </c>
      <c r="E22" s="230">
        <v>5.2690000000000001</v>
      </c>
      <c r="F22" s="231">
        <f t="shared" si="0"/>
        <v>-0.28639210666160564</v>
      </c>
      <c r="G22" s="224"/>
      <c r="H22" s="225"/>
      <c r="M22" s="656">
        <v>11</v>
      </c>
      <c r="N22" s="657">
        <v>186.45199584960901</v>
      </c>
      <c r="O22" s="657">
        <v>184.94</v>
      </c>
      <c r="P22" s="657"/>
      <c r="Q22" s="658"/>
      <c r="R22" s="658"/>
      <c r="S22" s="658"/>
      <c r="T22" s="658"/>
      <c r="AD22" s="658"/>
      <c r="AE22" s="658"/>
      <c r="AF22" s="456"/>
      <c r="AG22" s="456"/>
      <c r="AH22" s="456"/>
      <c r="AI22" s="456"/>
      <c r="AJ22" s="456"/>
      <c r="AK22" s="456"/>
      <c r="AL22" s="456"/>
    </row>
    <row r="23" spans="1:38" ht="11.25" customHeight="1">
      <c r="A23" s="97"/>
      <c r="C23" s="226" t="s">
        <v>158</v>
      </c>
      <c r="D23" s="227">
        <v>7.6380000109999999</v>
      </c>
      <c r="E23" s="227">
        <v>8.9949999999999992</v>
      </c>
      <c r="F23" s="228">
        <f t="shared" si="0"/>
        <v>-0.15086158854919393</v>
      </c>
      <c r="G23" s="224"/>
      <c r="H23" s="225"/>
      <c r="M23" s="656">
        <v>12</v>
      </c>
      <c r="N23" s="657">
        <v>186.45199584960901</v>
      </c>
      <c r="O23" s="657">
        <v>184.94</v>
      </c>
      <c r="P23" s="657"/>
      <c r="Q23" s="658"/>
      <c r="R23" s="658"/>
      <c r="S23" s="658"/>
      <c r="T23" s="658"/>
      <c r="AD23" s="658"/>
      <c r="AE23" s="658"/>
      <c r="AF23" s="456"/>
      <c r="AG23" s="456"/>
      <c r="AH23" s="456"/>
      <c r="AI23" s="456"/>
      <c r="AJ23" s="456"/>
      <c r="AK23" s="456"/>
      <c r="AL23" s="456"/>
    </row>
    <row r="24" spans="1:38" ht="11.25" customHeight="1">
      <c r="A24" s="97"/>
      <c r="C24" s="229" t="s">
        <v>308</v>
      </c>
      <c r="D24" s="230">
        <v>0.284000009</v>
      </c>
      <c r="E24" s="230">
        <v>11.071</v>
      </c>
      <c r="F24" s="231">
        <f t="shared" si="0"/>
        <v>-0.97434739327973985</v>
      </c>
      <c r="G24" s="224"/>
      <c r="H24" s="225"/>
      <c r="M24" s="656">
        <v>13</v>
      </c>
      <c r="N24" s="657">
        <v>195.64999389648401</v>
      </c>
      <c r="O24" s="657">
        <v>203.73</v>
      </c>
      <c r="P24" s="657"/>
      <c r="Q24" s="658"/>
      <c r="R24" s="658"/>
      <c r="S24" s="658"/>
      <c r="T24" s="658"/>
      <c r="AD24" s="658"/>
      <c r="AE24" s="658"/>
      <c r="AF24" s="456"/>
      <c r="AG24" s="456"/>
      <c r="AH24" s="456"/>
      <c r="AI24" s="456"/>
      <c r="AJ24" s="456"/>
      <c r="AK24" s="456"/>
      <c r="AL24" s="456"/>
    </row>
    <row r="25" spans="1:38" ht="11.25" customHeight="1">
      <c r="A25" s="97"/>
      <c r="C25" s="226" t="s">
        <v>159</v>
      </c>
      <c r="D25" s="227">
        <v>140.3439941</v>
      </c>
      <c r="E25" s="227">
        <v>159.52600000000001</v>
      </c>
      <c r="F25" s="228">
        <f t="shared" si="0"/>
        <v>-0.12024375901107033</v>
      </c>
      <c r="G25" s="224"/>
      <c r="H25" s="225"/>
      <c r="M25" s="656">
        <v>14</v>
      </c>
      <c r="N25" s="657">
        <v>195.64999389648401</v>
      </c>
      <c r="O25" s="657">
        <v>203.73</v>
      </c>
      <c r="P25" s="657"/>
      <c r="Q25" s="658"/>
      <c r="R25" s="658"/>
      <c r="S25" s="658"/>
      <c r="T25" s="658"/>
      <c r="AD25" s="658"/>
      <c r="AE25" s="658"/>
      <c r="AF25" s="456"/>
      <c r="AG25" s="456"/>
      <c r="AH25" s="456"/>
      <c r="AI25" s="456"/>
      <c r="AJ25" s="456"/>
      <c r="AK25" s="456"/>
      <c r="AL25" s="456"/>
    </row>
    <row r="26" spans="1:38" ht="11.25" customHeight="1">
      <c r="A26" s="97"/>
      <c r="C26" s="229" t="s">
        <v>160</v>
      </c>
      <c r="D26" s="230">
        <v>35.591999049999998</v>
      </c>
      <c r="E26" s="230">
        <v>35.874000000000002</v>
      </c>
      <c r="F26" s="231">
        <f t="shared" si="0"/>
        <v>-7.8608727769416287E-3</v>
      </c>
      <c r="G26" s="232"/>
      <c r="H26" s="232"/>
      <c r="M26" s="656">
        <v>15</v>
      </c>
      <c r="N26" s="657">
        <v>201.93600463867099</v>
      </c>
      <c r="O26" s="657">
        <v>203.73</v>
      </c>
      <c r="P26" s="657"/>
      <c r="Q26" s="658"/>
      <c r="R26" s="658"/>
      <c r="S26" s="658"/>
      <c r="T26" s="658"/>
      <c r="AD26" s="658"/>
      <c r="AE26" s="658"/>
      <c r="AF26" s="456"/>
      <c r="AG26" s="456"/>
      <c r="AH26" s="456"/>
      <c r="AI26" s="456"/>
      <c r="AJ26" s="456"/>
      <c r="AK26" s="456"/>
      <c r="AL26" s="456"/>
    </row>
    <row r="27" spans="1:38" ht="11.25" customHeight="1">
      <c r="A27" s="97"/>
      <c r="C27" s="226" t="s">
        <v>161</v>
      </c>
      <c r="D27" s="227">
        <v>31.1</v>
      </c>
      <c r="E27" s="227">
        <v>52.351999999999997</v>
      </c>
      <c r="F27" s="228">
        <f t="shared" si="0"/>
        <v>-0.40594437652811727</v>
      </c>
      <c r="G27" s="232"/>
      <c r="H27" s="232"/>
      <c r="M27" s="656">
        <v>16</v>
      </c>
      <c r="N27" s="657">
        <v>201.93600463867099</v>
      </c>
      <c r="O27" s="657">
        <v>222.8</v>
      </c>
      <c r="P27" s="657"/>
      <c r="Q27" s="658"/>
      <c r="R27" s="658"/>
      <c r="S27" s="658"/>
      <c r="T27" s="658"/>
      <c r="AD27" s="658"/>
      <c r="AE27" s="658"/>
      <c r="AF27" s="456"/>
      <c r="AG27" s="456"/>
      <c r="AH27" s="456"/>
      <c r="AI27" s="456"/>
      <c r="AJ27" s="456"/>
      <c r="AK27" s="456"/>
      <c r="AL27" s="456"/>
    </row>
    <row r="28" spans="1:38" ht="11.25" customHeight="1">
      <c r="A28" s="97"/>
      <c r="C28" s="229" t="s">
        <v>162</v>
      </c>
      <c r="D28" s="230">
        <v>147.0379944</v>
      </c>
      <c r="E28" s="230">
        <v>202.80799999999999</v>
      </c>
      <c r="F28" s="231">
        <f t="shared" si="0"/>
        <v>-0.27498917991400729</v>
      </c>
      <c r="G28" s="232"/>
      <c r="H28" s="232"/>
      <c r="M28" s="656">
        <v>17</v>
      </c>
      <c r="N28" s="657">
        <v>201.93600463867099</v>
      </c>
      <c r="O28" s="657">
        <v>222.8</v>
      </c>
      <c r="P28" s="657"/>
      <c r="Q28" s="658"/>
      <c r="R28" s="658"/>
      <c r="S28" s="658"/>
      <c r="T28" s="658"/>
      <c r="AD28" s="658"/>
      <c r="AE28" s="658"/>
      <c r="AF28" s="456"/>
      <c r="AG28" s="456"/>
      <c r="AH28" s="456"/>
      <c r="AI28" s="456"/>
      <c r="AJ28" s="456"/>
      <c r="AK28" s="456"/>
      <c r="AL28" s="456"/>
    </row>
    <row r="29" spans="1:38" ht="35.25" customHeight="1">
      <c r="A29" s="94"/>
      <c r="C29" s="895" t="str">
        <f>"Cuadro N°9: Volúmen útil de los principales embalses y lagunas del SEIN al término del periodo mensual ("&amp;'1. Resumen'!Q7&amp;" de "&amp;'1. Resumen'!Q4&amp;") "</f>
        <v xml:space="preserve">Cuadro N°9: Volúmen útil de los principales embalses y lagunas del SEIN al término del periodo mensual (28 de febrero) </v>
      </c>
      <c r="D29" s="895"/>
      <c r="E29" s="895"/>
      <c r="F29" s="895"/>
      <c r="G29" s="232"/>
      <c r="H29" s="232"/>
      <c r="I29" s="216"/>
      <c r="J29" s="659"/>
      <c r="M29" s="656">
        <v>18</v>
      </c>
      <c r="N29" s="657">
        <v>207.58900451660099</v>
      </c>
      <c r="O29" s="657">
        <v>225.58</v>
      </c>
      <c r="P29" s="657"/>
      <c r="Q29" s="658"/>
      <c r="R29" s="658"/>
      <c r="S29" s="658"/>
      <c r="T29" s="658"/>
      <c r="AD29" s="658"/>
      <c r="AE29" s="658"/>
      <c r="AF29" s="456"/>
      <c r="AG29" s="456"/>
      <c r="AH29" s="456"/>
      <c r="AI29" s="456"/>
      <c r="AJ29" s="456"/>
      <c r="AK29" s="456"/>
      <c r="AL29" s="456"/>
    </row>
    <row r="30" spans="1:38" ht="11.25" customHeight="1">
      <c r="A30" s="94"/>
      <c r="B30" s="234"/>
      <c r="C30" s="234" t="s">
        <v>337</v>
      </c>
      <c r="D30" s="234"/>
      <c r="E30" s="234"/>
      <c r="F30" s="232"/>
      <c r="G30" s="232"/>
      <c r="H30" s="232"/>
      <c r="M30" s="656">
        <v>19</v>
      </c>
      <c r="N30" s="657">
        <v>207.58900451660099</v>
      </c>
      <c r="O30" s="657">
        <v>225.58</v>
      </c>
      <c r="P30" s="657"/>
      <c r="Q30" s="658"/>
      <c r="R30" s="658"/>
      <c r="S30" s="658"/>
      <c r="T30" s="658"/>
      <c r="AD30" s="658"/>
      <c r="AE30" s="658"/>
      <c r="AF30" s="456"/>
      <c r="AG30" s="456"/>
      <c r="AH30" s="456"/>
      <c r="AI30" s="456"/>
      <c r="AJ30" s="456"/>
      <c r="AK30" s="456"/>
      <c r="AL30" s="456"/>
    </row>
    <row r="31" spans="1:38" ht="11.25" customHeight="1">
      <c r="A31" s="94"/>
      <c r="B31" s="234"/>
      <c r="C31" s="234"/>
      <c r="D31" s="234"/>
      <c r="E31" s="234"/>
      <c r="F31" s="232"/>
      <c r="G31" s="232"/>
      <c r="H31" s="232"/>
      <c r="I31" s="216"/>
      <c r="J31" s="659"/>
      <c r="M31" s="656">
        <v>20</v>
      </c>
      <c r="N31" s="657">
        <v>205.7</v>
      </c>
      <c r="O31" s="657">
        <v>226.61</v>
      </c>
      <c r="P31" s="657"/>
      <c r="Q31" s="658"/>
      <c r="R31" s="658"/>
      <c r="S31" s="658"/>
      <c r="T31" s="658"/>
      <c r="AD31" s="658"/>
      <c r="AE31" s="658"/>
      <c r="AF31" s="456"/>
      <c r="AG31" s="456"/>
      <c r="AH31" s="456"/>
      <c r="AI31" s="456"/>
      <c r="AJ31" s="456"/>
      <c r="AK31" s="456"/>
      <c r="AL31" s="456"/>
    </row>
    <row r="32" spans="1:38" ht="11.25" customHeight="1">
      <c r="A32" s="894" t="s">
        <v>546</v>
      </c>
      <c r="B32" s="894"/>
      <c r="C32" s="894"/>
      <c r="D32" s="894"/>
      <c r="E32" s="894"/>
      <c r="F32" s="894"/>
      <c r="G32" s="894"/>
      <c r="H32" s="894"/>
      <c r="I32" s="215"/>
      <c r="J32" s="659"/>
      <c r="M32" s="656">
        <v>21</v>
      </c>
      <c r="N32" s="657">
        <v>205.7</v>
      </c>
      <c r="O32" s="657">
        <v>226.61</v>
      </c>
      <c r="P32" s="657"/>
      <c r="Q32" s="658"/>
      <c r="R32" s="658"/>
      <c r="S32" s="658"/>
      <c r="T32" s="658"/>
      <c r="AD32" s="658"/>
      <c r="AE32" s="658"/>
      <c r="AF32" s="456"/>
      <c r="AG32" s="456"/>
      <c r="AH32" s="456"/>
      <c r="AI32" s="456"/>
      <c r="AJ32" s="456"/>
      <c r="AK32" s="456"/>
      <c r="AL32" s="456"/>
    </row>
    <row r="33" spans="1:38" ht="11.25" customHeight="1">
      <c r="A33" s="94"/>
      <c r="B33" s="102"/>
      <c r="C33" s="102"/>
      <c r="D33" s="102"/>
      <c r="E33" s="102"/>
      <c r="F33" s="102"/>
      <c r="G33" s="102"/>
      <c r="H33" s="102"/>
      <c r="I33" s="215"/>
      <c r="J33" s="659"/>
      <c r="M33" s="656">
        <v>22</v>
      </c>
      <c r="N33" s="657">
        <v>204.65</v>
      </c>
      <c r="O33" s="657">
        <v>227.42</v>
      </c>
      <c r="P33" s="657"/>
      <c r="Q33" s="658"/>
      <c r="R33" s="658"/>
      <c r="S33" s="658"/>
      <c r="T33" s="658"/>
      <c r="AD33" s="658"/>
      <c r="AE33" s="658"/>
      <c r="AF33" s="456"/>
      <c r="AG33" s="456"/>
      <c r="AH33" s="456"/>
      <c r="AI33" s="456"/>
      <c r="AJ33" s="456"/>
      <c r="AK33" s="456"/>
      <c r="AL33" s="456"/>
    </row>
    <row r="34" spans="1:38" ht="11.25" customHeight="1">
      <c r="A34" s="94"/>
      <c r="B34" s="102"/>
      <c r="C34" s="102"/>
      <c r="D34" s="102"/>
      <c r="E34" s="102"/>
      <c r="F34" s="102"/>
      <c r="G34" s="102"/>
      <c r="H34" s="102"/>
      <c r="I34" s="215"/>
      <c r="J34" s="659"/>
      <c r="M34" s="656">
        <v>23</v>
      </c>
      <c r="N34" s="657">
        <v>204.65</v>
      </c>
      <c r="O34" s="657">
        <v>227.42</v>
      </c>
      <c r="P34" s="657"/>
      <c r="Q34" s="658"/>
      <c r="R34" s="658"/>
      <c r="S34" s="658"/>
      <c r="T34" s="658"/>
      <c r="AD34" s="658"/>
      <c r="AE34" s="658"/>
      <c r="AF34" s="456"/>
      <c r="AG34" s="456"/>
      <c r="AH34" s="456"/>
      <c r="AI34" s="456"/>
      <c r="AJ34" s="456"/>
      <c r="AK34" s="456"/>
      <c r="AL34" s="456"/>
    </row>
    <row r="35" spans="1:38" ht="11.25" customHeight="1">
      <c r="A35" s="94"/>
      <c r="B35" s="102"/>
      <c r="C35" s="102"/>
      <c r="D35" s="102"/>
      <c r="E35" s="102"/>
      <c r="F35" s="102"/>
      <c r="G35" s="102"/>
      <c r="H35" s="102"/>
      <c r="I35" s="217"/>
      <c r="J35" s="659"/>
      <c r="M35" s="656">
        <v>24</v>
      </c>
      <c r="N35" s="657">
        <v>200.38</v>
      </c>
      <c r="O35" s="657">
        <v>227.45</v>
      </c>
      <c r="P35" s="657"/>
      <c r="Q35" s="658"/>
      <c r="R35" s="658"/>
      <c r="S35" s="658"/>
      <c r="T35" s="658"/>
      <c r="AD35" s="658"/>
      <c r="AE35" s="658"/>
      <c r="AF35" s="456"/>
      <c r="AG35" s="456"/>
      <c r="AH35" s="456"/>
      <c r="AI35" s="456"/>
      <c r="AJ35" s="456"/>
      <c r="AK35" s="456"/>
      <c r="AL35" s="456"/>
    </row>
    <row r="36" spans="1:38" ht="11.25" customHeight="1">
      <c r="A36" s="94"/>
      <c r="B36" s="102"/>
      <c r="C36" s="102"/>
      <c r="D36" s="102"/>
      <c r="E36" s="102"/>
      <c r="F36" s="102"/>
      <c r="G36" s="102"/>
      <c r="H36" s="102"/>
      <c r="I36" s="215"/>
      <c r="J36" s="659"/>
      <c r="M36" s="656">
        <v>25</v>
      </c>
      <c r="N36" s="657">
        <v>200.38</v>
      </c>
      <c r="O36" s="657">
        <v>227.45</v>
      </c>
      <c r="P36" s="657"/>
      <c r="Q36" s="658"/>
      <c r="R36" s="658"/>
      <c r="S36" s="658"/>
      <c r="T36" s="658"/>
      <c r="AD36" s="658"/>
      <c r="AE36" s="658"/>
      <c r="AF36" s="456"/>
      <c r="AG36" s="456"/>
      <c r="AH36" s="456"/>
      <c r="AI36" s="456"/>
      <c r="AJ36" s="456"/>
      <c r="AK36" s="456"/>
      <c r="AL36" s="456"/>
    </row>
    <row r="37" spans="1:38" ht="11.25" customHeight="1">
      <c r="A37" s="94"/>
      <c r="B37" s="102"/>
      <c r="C37" s="102"/>
      <c r="D37" s="102"/>
      <c r="E37" s="102"/>
      <c r="F37" s="102"/>
      <c r="G37" s="102"/>
      <c r="H37" s="102"/>
      <c r="I37" s="215"/>
      <c r="J37" s="660"/>
      <c r="M37" s="656">
        <v>26</v>
      </c>
      <c r="N37" s="657">
        <v>193.55099487304599</v>
      </c>
      <c r="O37" s="657">
        <v>225.56</v>
      </c>
      <c r="P37" s="657"/>
      <c r="Q37" s="658"/>
      <c r="R37" s="658"/>
      <c r="S37" s="658"/>
      <c r="T37" s="658"/>
      <c r="AD37" s="658"/>
      <c r="AE37" s="658"/>
      <c r="AF37" s="456"/>
      <c r="AG37" s="456"/>
      <c r="AH37" s="456"/>
      <c r="AI37" s="456"/>
      <c r="AJ37" s="456"/>
      <c r="AK37" s="456"/>
      <c r="AL37" s="456"/>
    </row>
    <row r="38" spans="1:38" ht="11.25" customHeight="1">
      <c r="A38" s="94"/>
      <c r="B38" s="102"/>
      <c r="C38" s="102"/>
      <c r="D38" s="102"/>
      <c r="E38" s="102"/>
      <c r="F38" s="102"/>
      <c r="G38" s="102"/>
      <c r="H38" s="102"/>
      <c r="I38" s="215"/>
      <c r="J38" s="660"/>
      <c r="M38" s="656">
        <v>27</v>
      </c>
      <c r="N38" s="657">
        <v>193.55099487304599</v>
      </c>
      <c r="O38" s="657">
        <v>225.56</v>
      </c>
      <c r="P38" s="657"/>
      <c r="Q38" s="658"/>
      <c r="R38" s="658"/>
      <c r="S38" s="658"/>
      <c r="T38" s="658"/>
      <c r="AD38" s="658"/>
      <c r="AE38" s="658"/>
      <c r="AF38" s="456"/>
      <c r="AG38" s="456"/>
      <c r="AH38" s="456"/>
      <c r="AI38" s="456"/>
      <c r="AJ38" s="456"/>
      <c r="AK38" s="456"/>
      <c r="AL38" s="456"/>
    </row>
    <row r="39" spans="1:38" ht="11.25" customHeight="1">
      <c r="A39" s="94"/>
      <c r="B39" s="102"/>
      <c r="C39" s="102"/>
      <c r="D39" s="102"/>
      <c r="E39" s="102"/>
      <c r="F39" s="102"/>
      <c r="G39" s="102"/>
      <c r="H39" s="102"/>
      <c r="I39" s="215"/>
      <c r="J39" s="661"/>
      <c r="M39" s="656">
        <v>28</v>
      </c>
      <c r="N39" s="657">
        <v>186.01199339999999</v>
      </c>
      <c r="O39" s="662">
        <v>225.56</v>
      </c>
      <c r="P39" s="662"/>
      <c r="Q39" s="658"/>
      <c r="R39" s="658"/>
      <c r="S39" s="658"/>
      <c r="T39" s="658"/>
      <c r="AD39" s="658"/>
      <c r="AE39" s="658"/>
      <c r="AF39" s="456"/>
      <c r="AG39" s="456"/>
      <c r="AH39" s="456"/>
      <c r="AI39" s="456"/>
      <c r="AJ39" s="456"/>
      <c r="AK39" s="456"/>
      <c r="AL39" s="456"/>
    </row>
    <row r="40" spans="1:38" ht="11.25" customHeight="1">
      <c r="A40" s="94"/>
      <c r="B40" s="102"/>
      <c r="C40" s="102"/>
      <c r="D40" s="102"/>
      <c r="E40" s="102"/>
      <c r="F40" s="102"/>
      <c r="G40" s="102"/>
      <c r="H40" s="102"/>
      <c r="I40" s="215"/>
      <c r="J40" s="661"/>
      <c r="M40" s="656">
        <v>29</v>
      </c>
      <c r="N40" s="657">
        <v>186.01199339999999</v>
      </c>
      <c r="O40" s="657">
        <v>222.04</v>
      </c>
      <c r="P40" s="657"/>
      <c r="Q40" s="658"/>
      <c r="R40" s="658"/>
      <c r="S40" s="658"/>
      <c r="T40" s="658"/>
      <c r="AD40" s="658"/>
      <c r="AE40" s="658"/>
      <c r="AF40" s="456"/>
      <c r="AG40" s="456"/>
      <c r="AH40" s="456"/>
      <c r="AI40" s="456"/>
      <c r="AJ40" s="456"/>
      <c r="AK40" s="456"/>
      <c r="AL40" s="456"/>
    </row>
    <row r="41" spans="1:38" ht="11.25" customHeight="1">
      <c r="A41" s="94"/>
      <c r="B41" s="102"/>
      <c r="C41" s="102"/>
      <c r="D41" s="102"/>
      <c r="E41" s="102"/>
      <c r="F41" s="102"/>
      <c r="G41" s="102"/>
      <c r="H41" s="102"/>
      <c r="I41" s="215"/>
      <c r="J41" s="661"/>
      <c r="M41" s="656">
        <v>30</v>
      </c>
      <c r="N41" s="657">
        <v>186.01199339999999</v>
      </c>
      <c r="O41" s="657">
        <v>222.04</v>
      </c>
      <c r="P41" s="657"/>
      <c r="Q41" s="658"/>
      <c r="R41" s="658"/>
      <c r="S41" s="658"/>
      <c r="T41" s="658"/>
      <c r="AD41" s="658"/>
      <c r="AE41" s="658"/>
      <c r="AF41" s="456"/>
      <c r="AG41" s="456"/>
      <c r="AH41" s="456"/>
      <c r="AI41" s="456"/>
      <c r="AJ41" s="456"/>
      <c r="AK41" s="456"/>
      <c r="AL41" s="456"/>
    </row>
    <row r="42" spans="1:38" ht="11.25" customHeight="1">
      <c r="A42" s="94"/>
      <c r="B42" s="102"/>
      <c r="C42" s="102"/>
      <c r="D42" s="102"/>
      <c r="E42" s="102"/>
      <c r="F42" s="102"/>
      <c r="G42" s="102"/>
      <c r="H42" s="102"/>
      <c r="I42" s="217"/>
      <c r="J42" s="660"/>
      <c r="M42" s="656">
        <v>31</v>
      </c>
      <c r="N42" s="657">
        <v>178.58200070000001</v>
      </c>
      <c r="O42" s="657">
        <v>213.13</v>
      </c>
      <c r="P42" s="657"/>
      <c r="Q42" s="658"/>
      <c r="R42" s="658"/>
      <c r="S42" s="658"/>
      <c r="T42" s="658"/>
      <c r="AD42" s="658"/>
      <c r="AE42" s="658"/>
      <c r="AF42" s="456"/>
      <c r="AG42" s="456"/>
      <c r="AH42" s="456"/>
      <c r="AI42" s="456"/>
      <c r="AJ42" s="456"/>
      <c r="AK42" s="456"/>
      <c r="AL42" s="456"/>
    </row>
    <row r="43" spans="1:38" ht="11.25" customHeight="1">
      <c r="A43" s="94"/>
      <c r="B43" s="102"/>
      <c r="C43" s="102"/>
      <c r="D43" s="102"/>
      <c r="E43" s="102"/>
      <c r="F43" s="102"/>
      <c r="G43" s="102"/>
      <c r="H43" s="102"/>
      <c r="I43" s="215"/>
      <c r="J43" s="660"/>
      <c r="M43" s="656">
        <v>32</v>
      </c>
      <c r="N43" s="657">
        <v>178.58200070000001</v>
      </c>
      <c r="O43" s="657">
        <v>213.13</v>
      </c>
      <c r="P43" s="657"/>
      <c r="Q43" s="658"/>
      <c r="R43" s="658"/>
      <c r="S43" s="658"/>
      <c r="T43" s="658"/>
      <c r="AD43" s="658"/>
      <c r="AE43" s="658"/>
      <c r="AF43" s="456"/>
      <c r="AG43" s="456"/>
      <c r="AH43" s="456"/>
      <c r="AI43" s="456"/>
      <c r="AJ43" s="456"/>
      <c r="AK43" s="456"/>
      <c r="AL43" s="456"/>
    </row>
    <row r="44" spans="1:38" ht="11.25" customHeight="1">
      <c r="A44" s="94"/>
      <c r="B44" s="102"/>
      <c r="C44" s="102"/>
      <c r="D44" s="102"/>
      <c r="E44" s="102"/>
      <c r="F44" s="102"/>
      <c r="G44" s="102"/>
      <c r="H44" s="102"/>
      <c r="I44" s="215"/>
      <c r="J44" s="660"/>
      <c r="M44" s="656">
        <v>33</v>
      </c>
      <c r="N44" s="657">
        <v>169.01100159999999</v>
      </c>
      <c r="O44" s="657">
        <v>205.97</v>
      </c>
      <c r="P44" s="657"/>
      <c r="Q44" s="658"/>
      <c r="R44" s="658"/>
      <c r="S44" s="658"/>
      <c r="T44" s="658"/>
      <c r="AD44" s="658"/>
      <c r="AE44" s="658"/>
      <c r="AF44" s="456"/>
      <c r="AG44" s="456"/>
      <c r="AH44" s="456"/>
      <c r="AI44" s="456"/>
      <c r="AJ44" s="456"/>
      <c r="AK44" s="456"/>
      <c r="AL44" s="456"/>
    </row>
    <row r="45" spans="1:38" ht="11.25" customHeight="1">
      <c r="A45" s="94"/>
      <c r="B45" s="102"/>
      <c r="C45" s="102"/>
      <c r="D45" s="102"/>
      <c r="E45" s="102"/>
      <c r="F45" s="102"/>
      <c r="G45" s="102"/>
      <c r="H45" s="102"/>
      <c r="I45" s="219"/>
      <c r="J45" s="663"/>
      <c r="M45" s="656">
        <v>34</v>
      </c>
      <c r="N45" s="657">
        <v>169.01100159999999</v>
      </c>
      <c r="O45" s="657">
        <v>199.49</v>
      </c>
      <c r="P45" s="657"/>
      <c r="Q45" s="658"/>
      <c r="R45" s="658"/>
      <c r="S45" s="658"/>
      <c r="T45" s="658"/>
      <c r="AD45" s="658"/>
      <c r="AE45" s="658"/>
      <c r="AF45" s="456"/>
      <c r="AG45" s="456"/>
      <c r="AH45" s="456"/>
      <c r="AI45" s="456"/>
      <c r="AJ45" s="456"/>
      <c r="AK45" s="456"/>
      <c r="AL45" s="456"/>
    </row>
    <row r="46" spans="1:38" ht="11.25" customHeight="1">
      <c r="A46" s="94"/>
      <c r="B46" s="102"/>
      <c r="C46" s="102"/>
      <c r="D46" s="102"/>
      <c r="E46" s="102"/>
      <c r="F46" s="102"/>
      <c r="G46" s="102"/>
      <c r="H46" s="102"/>
      <c r="I46" s="220"/>
      <c r="J46" s="664"/>
      <c r="M46" s="656">
        <v>35</v>
      </c>
      <c r="N46" s="665">
        <v>158.09199523925699</v>
      </c>
      <c r="O46" s="657">
        <v>193.4</v>
      </c>
      <c r="P46" s="657"/>
      <c r="Q46" s="658"/>
      <c r="R46" s="658"/>
      <c r="S46" s="658"/>
      <c r="T46" s="658"/>
      <c r="AD46" s="658"/>
      <c r="AE46" s="658"/>
      <c r="AF46" s="456"/>
      <c r="AG46" s="456"/>
      <c r="AH46" s="456"/>
      <c r="AI46" s="456"/>
      <c r="AJ46" s="456"/>
      <c r="AK46" s="456"/>
      <c r="AL46" s="456"/>
    </row>
    <row r="47" spans="1:38" ht="11.25" customHeight="1">
      <c r="A47" s="94"/>
      <c r="B47" s="102"/>
      <c r="C47" s="102"/>
      <c r="D47" s="102"/>
      <c r="E47" s="102"/>
      <c r="F47" s="102"/>
      <c r="G47" s="102"/>
      <c r="H47" s="102"/>
      <c r="I47" s="220"/>
      <c r="J47" s="664"/>
      <c r="M47" s="656">
        <v>36</v>
      </c>
      <c r="N47" s="665">
        <v>158.09199523925699</v>
      </c>
      <c r="O47" s="657">
        <v>187.93</v>
      </c>
      <c r="P47" s="657"/>
      <c r="Q47" s="658"/>
      <c r="R47" s="658"/>
      <c r="S47" s="658"/>
      <c r="T47" s="658"/>
      <c r="AD47" s="658"/>
      <c r="AE47" s="658"/>
      <c r="AF47" s="456"/>
      <c r="AG47" s="456"/>
      <c r="AH47" s="456"/>
      <c r="AI47" s="456"/>
      <c r="AJ47" s="456"/>
      <c r="AK47" s="456"/>
      <c r="AL47" s="456"/>
    </row>
    <row r="48" spans="1:38" ht="11.25" customHeight="1">
      <c r="A48" s="94"/>
      <c r="B48" s="102"/>
      <c r="C48" s="102"/>
      <c r="D48" s="102"/>
      <c r="E48" s="102"/>
      <c r="F48" s="102"/>
      <c r="G48" s="102"/>
      <c r="H48" s="102"/>
      <c r="I48" s="220"/>
      <c r="J48" s="664"/>
      <c r="M48" s="656">
        <v>37</v>
      </c>
      <c r="N48" s="657">
        <v>147.0650024</v>
      </c>
      <c r="O48" s="657">
        <v>182.85</v>
      </c>
      <c r="P48" s="657"/>
      <c r="Q48" s="658"/>
      <c r="R48" s="658"/>
      <c r="S48" s="658"/>
      <c r="T48" s="658"/>
      <c r="AD48" s="658"/>
      <c r="AE48" s="658"/>
      <c r="AF48" s="456"/>
      <c r="AG48" s="456"/>
      <c r="AH48" s="456"/>
      <c r="AI48" s="456"/>
      <c r="AJ48" s="456"/>
      <c r="AK48" s="456"/>
      <c r="AL48" s="456"/>
    </row>
    <row r="49" spans="1:38" ht="11.25" customHeight="1">
      <c r="A49" s="94"/>
      <c r="B49" s="102"/>
      <c r="C49" s="102"/>
      <c r="D49" s="102"/>
      <c r="E49" s="102"/>
      <c r="F49" s="102"/>
      <c r="G49" s="102"/>
      <c r="H49" s="102"/>
      <c r="I49" s="220"/>
      <c r="J49" s="664"/>
      <c r="M49" s="656">
        <v>38</v>
      </c>
      <c r="N49" s="657">
        <v>147.0650024</v>
      </c>
      <c r="O49" s="657">
        <v>179.77</v>
      </c>
      <c r="P49" s="657"/>
      <c r="Q49" s="658"/>
      <c r="R49" s="658"/>
      <c r="S49" s="658"/>
      <c r="T49" s="658"/>
      <c r="AD49" s="658"/>
      <c r="AE49" s="658"/>
      <c r="AF49" s="456"/>
      <c r="AG49" s="456"/>
      <c r="AH49" s="456"/>
      <c r="AI49" s="456"/>
      <c r="AJ49" s="456"/>
      <c r="AK49" s="456"/>
      <c r="AL49" s="456"/>
    </row>
    <row r="50" spans="1:38" ht="12.75">
      <c r="A50" s="94"/>
      <c r="B50" s="102"/>
      <c r="C50" s="102"/>
      <c r="D50" s="102"/>
      <c r="E50" s="102"/>
      <c r="F50" s="102"/>
      <c r="G50" s="102"/>
      <c r="H50" s="102"/>
      <c r="I50" s="220"/>
      <c r="J50" s="664"/>
      <c r="M50" s="656">
        <v>39</v>
      </c>
      <c r="N50" s="657">
        <v>139.11000060000001</v>
      </c>
      <c r="O50" s="657">
        <v>173.62</v>
      </c>
      <c r="P50" s="657"/>
      <c r="Q50" s="658"/>
      <c r="R50" s="658"/>
      <c r="S50" s="658"/>
      <c r="T50" s="658"/>
      <c r="AD50" s="658"/>
      <c r="AE50" s="658"/>
      <c r="AF50" s="456"/>
      <c r="AG50" s="456"/>
      <c r="AH50" s="456"/>
      <c r="AI50" s="456"/>
      <c r="AJ50" s="456"/>
      <c r="AK50" s="456"/>
      <c r="AL50" s="456"/>
    </row>
    <row r="51" spans="1:38" ht="12.75">
      <c r="A51" s="94"/>
      <c r="B51" s="102"/>
      <c r="C51" s="102"/>
      <c r="D51" s="102"/>
      <c r="E51" s="102"/>
      <c r="F51" s="102"/>
      <c r="G51" s="102"/>
      <c r="H51" s="102"/>
      <c r="I51" s="220"/>
      <c r="J51" s="664"/>
      <c r="M51" s="656">
        <v>40</v>
      </c>
      <c r="N51" s="657">
        <v>139.11000060000001</v>
      </c>
      <c r="O51" s="657">
        <v>163</v>
      </c>
      <c r="P51" s="657"/>
      <c r="Q51" s="658"/>
      <c r="R51" s="658"/>
      <c r="S51" s="658"/>
      <c r="T51" s="658"/>
      <c r="AD51" s="658"/>
      <c r="AE51" s="658"/>
      <c r="AF51" s="456"/>
      <c r="AG51" s="456"/>
      <c r="AH51" s="456"/>
      <c r="AI51" s="456"/>
      <c r="AJ51" s="456"/>
      <c r="AK51" s="456"/>
      <c r="AL51" s="456"/>
    </row>
    <row r="52" spans="1:38" ht="12.75">
      <c r="A52" s="94"/>
      <c r="B52" s="102"/>
      <c r="C52" s="102"/>
      <c r="D52" s="102"/>
      <c r="E52" s="102"/>
      <c r="F52" s="102"/>
      <c r="G52" s="102"/>
      <c r="H52" s="102"/>
      <c r="I52" s="220"/>
      <c r="J52" s="664"/>
      <c r="M52" s="656">
        <v>41</v>
      </c>
      <c r="N52" s="657">
        <v>139.11000060000001</v>
      </c>
      <c r="O52" s="657">
        <v>156.5</v>
      </c>
      <c r="P52" s="657"/>
      <c r="Q52" s="658"/>
      <c r="R52" s="658"/>
      <c r="S52" s="658"/>
      <c r="T52" s="658"/>
      <c r="AD52" s="658"/>
      <c r="AE52" s="658"/>
      <c r="AF52" s="456"/>
      <c r="AG52" s="456"/>
      <c r="AH52" s="456"/>
      <c r="AI52" s="456"/>
      <c r="AJ52" s="456"/>
      <c r="AK52" s="456"/>
      <c r="AL52" s="456"/>
    </row>
    <row r="53" spans="1:38" ht="12.75">
      <c r="A53" s="94"/>
      <c r="B53" s="102"/>
      <c r="C53" s="102"/>
      <c r="D53" s="102"/>
      <c r="E53" s="102"/>
      <c r="F53" s="102"/>
      <c r="G53" s="102"/>
      <c r="H53" s="102"/>
      <c r="I53" s="220"/>
      <c r="J53" s="664"/>
      <c r="M53" s="656">
        <v>42</v>
      </c>
      <c r="N53" s="657">
        <v>128.34500120000001</v>
      </c>
      <c r="O53" s="657">
        <v>152.78</v>
      </c>
      <c r="P53" s="657"/>
      <c r="Q53" s="658"/>
      <c r="R53" s="658"/>
      <c r="S53" s="658"/>
      <c r="T53" s="658"/>
      <c r="AD53" s="658"/>
      <c r="AE53" s="658"/>
      <c r="AF53" s="456"/>
      <c r="AG53" s="456"/>
      <c r="AH53" s="456"/>
      <c r="AI53" s="456"/>
      <c r="AJ53" s="456"/>
      <c r="AK53" s="456"/>
      <c r="AL53" s="456"/>
    </row>
    <row r="54" spans="1:38" ht="12.75">
      <c r="A54" s="94"/>
      <c r="B54" s="102"/>
      <c r="C54" s="102"/>
      <c r="D54" s="102"/>
      <c r="E54" s="102"/>
      <c r="F54" s="102"/>
      <c r="G54" s="102"/>
      <c r="H54" s="102"/>
      <c r="I54" s="220"/>
      <c r="J54" s="664"/>
      <c r="M54" s="656">
        <v>43</v>
      </c>
      <c r="N54" s="657">
        <v>128.34500120000001</v>
      </c>
      <c r="O54" s="657">
        <v>148.63</v>
      </c>
      <c r="P54" s="657"/>
      <c r="Q54" s="658"/>
      <c r="R54" s="658"/>
      <c r="S54" s="658"/>
      <c r="T54" s="658"/>
      <c r="AD54" s="658"/>
      <c r="AE54" s="658"/>
      <c r="AF54" s="456"/>
      <c r="AG54" s="456"/>
      <c r="AH54" s="456"/>
      <c r="AI54" s="456"/>
      <c r="AJ54" s="456"/>
      <c r="AK54" s="456"/>
      <c r="AL54" s="456"/>
    </row>
    <row r="55" spans="1:38" ht="12.75">
      <c r="A55" s="94"/>
      <c r="B55" s="102"/>
      <c r="C55" s="102"/>
      <c r="D55" s="102"/>
      <c r="E55" s="102"/>
      <c r="F55" s="102"/>
      <c r="G55" s="102"/>
      <c r="H55" s="102"/>
      <c r="I55" s="220"/>
      <c r="J55" s="664"/>
      <c r="M55" s="656">
        <v>44</v>
      </c>
      <c r="N55" s="657">
        <v>121.20099639999999</v>
      </c>
      <c r="O55" s="657">
        <v>142.91</v>
      </c>
      <c r="P55" s="657"/>
      <c r="Q55" s="658"/>
      <c r="R55" s="658"/>
      <c r="S55" s="658"/>
      <c r="T55" s="658"/>
      <c r="AD55" s="658"/>
      <c r="AE55" s="658"/>
      <c r="AF55" s="456"/>
      <c r="AG55" s="456"/>
      <c r="AH55" s="456"/>
      <c r="AI55" s="456"/>
      <c r="AJ55" s="456"/>
      <c r="AK55" s="456"/>
      <c r="AL55" s="456"/>
    </row>
    <row r="56" spans="1:38" ht="12.75">
      <c r="A56" s="94"/>
      <c r="B56" s="102"/>
      <c r="C56" s="102"/>
      <c r="D56" s="102"/>
      <c r="E56" s="102"/>
      <c r="F56" s="102"/>
      <c r="G56" s="102"/>
      <c r="H56" s="102"/>
      <c r="I56" s="220"/>
      <c r="J56" s="664"/>
      <c r="M56" s="656">
        <v>45</v>
      </c>
      <c r="N56" s="657">
        <v>121.20099639999999</v>
      </c>
      <c r="O56" s="657">
        <v>137.04</v>
      </c>
      <c r="P56" s="657"/>
      <c r="Q56" s="658"/>
      <c r="R56" s="658"/>
      <c r="S56" s="658"/>
      <c r="T56" s="658"/>
      <c r="AD56" s="658"/>
      <c r="AE56" s="658"/>
      <c r="AF56" s="456"/>
      <c r="AG56" s="456"/>
      <c r="AH56" s="456"/>
      <c r="AI56" s="456"/>
      <c r="AJ56" s="456"/>
      <c r="AK56" s="456"/>
      <c r="AL56" s="456"/>
    </row>
    <row r="57" spans="1:38" ht="12.75">
      <c r="A57" s="94"/>
      <c r="B57" s="102"/>
      <c r="C57" s="102"/>
      <c r="D57" s="102"/>
      <c r="E57" s="102"/>
      <c r="F57" s="102"/>
      <c r="G57" s="102"/>
      <c r="H57" s="102"/>
      <c r="M57" s="656">
        <v>46</v>
      </c>
      <c r="N57" s="657">
        <v>112.1429977</v>
      </c>
      <c r="O57" s="657">
        <v>131.22999999999999</v>
      </c>
      <c r="P57" s="657"/>
      <c r="Q57" s="658"/>
      <c r="R57" s="658"/>
      <c r="S57" s="658"/>
      <c r="T57" s="658"/>
      <c r="AD57" s="658"/>
      <c r="AE57" s="658"/>
      <c r="AF57" s="456"/>
      <c r="AG57" s="456"/>
      <c r="AH57" s="456"/>
      <c r="AI57" s="456"/>
      <c r="AJ57" s="456"/>
      <c r="AK57" s="456"/>
      <c r="AL57" s="456"/>
    </row>
    <row r="58" spans="1:38" ht="12.75">
      <c r="A58" s="94"/>
      <c r="B58" s="102"/>
      <c r="C58" s="102"/>
      <c r="D58" s="102"/>
      <c r="E58" s="102"/>
      <c r="F58" s="102"/>
      <c r="G58" s="102"/>
      <c r="H58" s="102"/>
      <c r="M58" s="656">
        <v>47</v>
      </c>
      <c r="N58" s="657">
        <v>112.1429977</v>
      </c>
      <c r="O58" s="657">
        <v>125.5</v>
      </c>
      <c r="P58" s="657"/>
      <c r="Q58" s="658"/>
      <c r="R58" s="658"/>
      <c r="S58" s="658"/>
      <c r="T58" s="658"/>
      <c r="AD58" s="658"/>
      <c r="AE58" s="658"/>
      <c r="AF58" s="456"/>
      <c r="AG58" s="456"/>
      <c r="AH58" s="456"/>
      <c r="AI58" s="456"/>
      <c r="AJ58" s="456"/>
      <c r="AK58" s="456"/>
      <c r="AL58" s="456"/>
    </row>
    <row r="59" spans="1:38" ht="12.75">
      <c r="A59" s="452" t="s">
        <v>320</v>
      </c>
      <c r="B59" s="102"/>
      <c r="C59" s="102"/>
      <c r="D59" s="102"/>
      <c r="E59" s="102"/>
      <c r="F59" s="102"/>
      <c r="G59" s="102"/>
      <c r="H59" s="102"/>
      <c r="M59" s="656">
        <v>48</v>
      </c>
      <c r="N59" s="657">
        <v>101.13500209999999</v>
      </c>
      <c r="O59" s="657">
        <v>120.41</v>
      </c>
      <c r="P59" s="657"/>
      <c r="Q59" s="658"/>
      <c r="R59" s="658"/>
      <c r="S59" s="658"/>
      <c r="T59" s="658"/>
      <c r="AD59" s="658"/>
      <c r="AE59" s="658"/>
      <c r="AF59" s="456"/>
      <c r="AG59" s="456"/>
      <c r="AH59" s="456"/>
      <c r="AI59" s="456"/>
      <c r="AJ59" s="456"/>
      <c r="AK59" s="456"/>
      <c r="AL59" s="456"/>
    </row>
    <row r="60" spans="1:38" ht="12.75">
      <c r="A60" s="93"/>
      <c r="B60" s="102"/>
      <c r="C60" s="102"/>
      <c r="D60" s="102"/>
      <c r="E60" s="102"/>
      <c r="F60" s="102"/>
      <c r="G60" s="102"/>
      <c r="H60" s="102"/>
      <c r="M60" s="656">
        <v>49</v>
      </c>
      <c r="N60" s="657">
        <v>101.13500209999999</v>
      </c>
      <c r="O60" s="657">
        <v>115.91300200000001</v>
      </c>
      <c r="P60" s="657"/>
      <c r="Q60" s="658"/>
      <c r="R60" s="658"/>
      <c r="S60" s="658"/>
      <c r="T60" s="658"/>
      <c r="AD60" s="658"/>
      <c r="AE60" s="658"/>
      <c r="AF60" s="456"/>
      <c r="AG60" s="456"/>
      <c r="AH60" s="456"/>
      <c r="AI60" s="456"/>
      <c r="AJ60" s="456"/>
      <c r="AK60" s="456"/>
      <c r="AL60" s="456"/>
    </row>
    <row r="61" spans="1:38">
      <c r="M61" s="656">
        <v>50</v>
      </c>
      <c r="N61" s="657">
        <v>96.752998349999999</v>
      </c>
      <c r="O61" s="657">
        <v>110.0599976</v>
      </c>
      <c r="P61" s="657"/>
      <c r="Q61" s="658"/>
      <c r="R61" s="658"/>
      <c r="S61" s="658"/>
      <c r="T61" s="658"/>
      <c r="AD61" s="654"/>
      <c r="AE61" s="654"/>
      <c r="AF61" s="455"/>
      <c r="AG61" s="455"/>
      <c r="AH61" s="455"/>
      <c r="AI61" s="455"/>
      <c r="AJ61" s="455"/>
      <c r="AK61" s="455"/>
      <c r="AL61" s="455"/>
    </row>
    <row r="62" spans="1:38">
      <c r="M62" s="656">
        <v>51</v>
      </c>
      <c r="N62" s="657">
        <v>96.752998349999999</v>
      </c>
      <c r="O62" s="657">
        <v>107.5970001</v>
      </c>
      <c r="P62" s="657"/>
      <c r="Q62" s="658"/>
      <c r="R62" s="658"/>
      <c r="S62" s="658"/>
      <c r="T62" s="658"/>
      <c r="AD62" s="654"/>
      <c r="AE62" s="654"/>
      <c r="AF62" s="455"/>
      <c r="AG62" s="455"/>
      <c r="AH62" s="455"/>
      <c r="AI62" s="455"/>
      <c r="AJ62" s="455"/>
      <c r="AK62" s="455"/>
      <c r="AL62" s="455"/>
    </row>
    <row r="63" spans="1:38">
      <c r="M63" s="656">
        <v>52</v>
      </c>
      <c r="N63" s="657">
        <v>96.752998349999999</v>
      </c>
      <c r="O63" s="657">
        <v>104.4029999</v>
      </c>
      <c r="P63" s="657"/>
      <c r="Q63" s="658"/>
      <c r="R63" s="658"/>
      <c r="S63" s="658"/>
      <c r="T63" s="658"/>
      <c r="AD63" s="654"/>
      <c r="AE63" s="654"/>
      <c r="AF63" s="455"/>
      <c r="AG63" s="455"/>
      <c r="AH63" s="455"/>
      <c r="AI63" s="455"/>
      <c r="AJ63" s="455"/>
      <c r="AK63" s="455"/>
      <c r="AL63" s="455"/>
    </row>
    <row r="64" spans="1:38">
      <c r="M64" s="656">
        <v>53</v>
      </c>
      <c r="N64" s="657"/>
      <c r="O64" s="657"/>
      <c r="P64" s="666"/>
      <c r="Q64" s="658"/>
      <c r="R64" s="658"/>
      <c r="S64" s="658"/>
      <c r="T64" s="658"/>
      <c r="AD64" s="654"/>
      <c r="AE64" s="654"/>
      <c r="AF64" s="455"/>
      <c r="AG64" s="455"/>
      <c r="AH64" s="455"/>
      <c r="AI64" s="455"/>
      <c r="AJ64" s="455"/>
      <c r="AK64" s="455"/>
      <c r="AL64" s="455"/>
    </row>
    <row r="65" spans="13:38">
      <c r="M65" s="654"/>
      <c r="N65" s="654"/>
      <c r="O65" s="654"/>
      <c r="P65" s="654"/>
      <c r="Q65" s="654"/>
      <c r="R65" s="654"/>
      <c r="S65" s="654"/>
      <c r="T65" s="654"/>
      <c r="AD65" s="654"/>
      <c r="AE65" s="654"/>
      <c r="AF65" s="455"/>
      <c r="AG65" s="455"/>
      <c r="AH65" s="455"/>
      <c r="AI65" s="455"/>
      <c r="AJ65" s="455"/>
      <c r="AK65" s="455"/>
      <c r="AL65" s="455"/>
    </row>
  </sheetData>
  <mergeCells count="4">
    <mergeCell ref="A2:H2"/>
    <mergeCell ref="A4:H4"/>
    <mergeCell ref="C29:F29"/>
    <mergeCell ref="A32:H32"/>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Z63"/>
  <sheetViews>
    <sheetView showGridLines="0" view="pageBreakPreview" zoomScale="130" zoomScaleNormal="100" zoomScaleSheetLayoutView="130" zoomScalePageLayoutView="85" workbookViewId="0">
      <selection activeCell="K12" sqref="K12"/>
    </sheetView>
  </sheetViews>
  <sheetFormatPr defaultRowHeight="11.25"/>
  <cols>
    <col min="1" max="9" width="9.33203125" style="3"/>
    <col min="10" max="11" width="9.33203125" style="3" customWidth="1"/>
    <col min="12" max="13" width="9.33203125" style="3"/>
    <col min="14" max="25" width="9.33203125" style="737"/>
    <col min="26" max="26" width="9.33203125" style="574"/>
    <col min="27" max="16384" width="9.33203125" style="3"/>
  </cols>
  <sheetData>
    <row r="1" spans="1:22" ht="11.25" customHeight="1">
      <c r="A1" s="160"/>
      <c r="B1" s="160"/>
      <c r="C1" s="160"/>
      <c r="D1" s="160"/>
      <c r="E1" s="160"/>
      <c r="F1" s="160"/>
      <c r="G1" s="160"/>
      <c r="H1" s="160"/>
      <c r="I1" s="160"/>
      <c r="J1" s="160"/>
      <c r="K1" s="160"/>
      <c r="L1" s="160"/>
    </row>
    <row r="2" spans="1:22" ht="11.25" customHeight="1">
      <c r="A2" s="613"/>
      <c r="B2" s="630"/>
      <c r="C2" s="630"/>
      <c r="D2" s="630"/>
      <c r="E2" s="630"/>
      <c r="F2" s="630"/>
      <c r="G2" s="631"/>
      <c r="H2" s="631"/>
      <c r="I2" s="25"/>
      <c r="J2" s="160"/>
      <c r="K2" s="160"/>
      <c r="L2" s="160"/>
    </row>
    <row r="3" spans="1:22" ht="11.25" customHeight="1">
      <c r="A3" s="25"/>
      <c r="B3" s="25"/>
      <c r="C3" s="25"/>
      <c r="D3" s="25"/>
      <c r="E3" s="25"/>
      <c r="F3" s="25"/>
      <c r="G3" s="91"/>
      <c r="H3" s="91"/>
      <c r="I3" s="91"/>
      <c r="J3" s="45"/>
      <c r="K3" s="45"/>
      <c r="L3" s="45"/>
    </row>
    <row r="4" spans="1:22" ht="11.25" customHeight="1">
      <c r="A4" s="25"/>
      <c r="B4" s="25"/>
      <c r="C4" s="25"/>
      <c r="D4" s="25"/>
      <c r="E4" s="25"/>
      <c r="F4" s="25"/>
      <c r="G4" s="91"/>
      <c r="H4" s="91"/>
      <c r="I4" s="91"/>
      <c r="J4" s="45"/>
      <c r="K4" s="45"/>
      <c r="L4" s="45"/>
      <c r="N4" s="738" t="s">
        <v>316</v>
      </c>
      <c r="O4" s="739"/>
      <c r="P4" s="739"/>
      <c r="Q4" s="739"/>
      <c r="R4" s="739"/>
      <c r="S4" s="739"/>
      <c r="T4" s="740" t="s">
        <v>317</v>
      </c>
      <c r="U4" s="739"/>
      <c r="V4" s="739"/>
    </row>
    <row r="5" spans="1:22" ht="11.25" customHeight="1">
      <c r="A5" s="896"/>
      <c r="B5" s="896"/>
      <c r="C5" s="896"/>
      <c r="D5" s="896"/>
      <c r="E5" s="896"/>
      <c r="F5" s="896"/>
      <c r="G5" s="896"/>
      <c r="H5" s="896"/>
      <c r="I5" s="896"/>
      <c r="J5" s="16"/>
      <c r="K5" s="16"/>
      <c r="L5" s="10"/>
      <c r="N5" s="739"/>
      <c r="O5" s="741">
        <v>2016</v>
      </c>
      <c r="P5" s="741">
        <v>2017</v>
      </c>
      <c r="Q5" s="741">
        <v>2018</v>
      </c>
      <c r="R5" s="739"/>
      <c r="S5" s="739"/>
      <c r="T5" s="741">
        <v>2016</v>
      </c>
      <c r="U5" s="741">
        <v>2017</v>
      </c>
      <c r="V5" s="741">
        <v>2018</v>
      </c>
    </row>
    <row r="6" spans="1:22" ht="11.25" customHeight="1">
      <c r="A6" s="84"/>
      <c r="B6" s="206"/>
      <c r="C6" s="86"/>
      <c r="D6" s="87"/>
      <c r="E6" s="87"/>
      <c r="F6" s="88"/>
      <c r="G6" s="83"/>
      <c r="H6" s="83"/>
      <c r="I6" s="89"/>
      <c r="J6" s="16"/>
      <c r="K6" s="16"/>
      <c r="L6" s="7"/>
      <c r="N6" s="742">
        <v>1</v>
      </c>
      <c r="O6" s="743">
        <v>119.86</v>
      </c>
      <c r="P6" s="743">
        <v>27.559000019999999</v>
      </c>
      <c r="Q6" s="744">
        <v>34.76</v>
      </c>
      <c r="R6" s="739"/>
      <c r="S6" s="742">
        <v>1</v>
      </c>
      <c r="T6" s="745">
        <v>150.22999999999999</v>
      </c>
      <c r="U6" s="746">
        <v>122.19600180599998</v>
      </c>
      <c r="V6" s="747">
        <v>210.20000000000002</v>
      </c>
    </row>
    <row r="7" spans="1:22" ht="11.25" customHeight="1">
      <c r="A7" s="84"/>
      <c r="B7" s="897"/>
      <c r="C7" s="897"/>
      <c r="D7" s="207"/>
      <c r="E7" s="207"/>
      <c r="F7" s="88"/>
      <c r="G7" s="83"/>
      <c r="H7" s="83"/>
      <c r="I7" s="89"/>
      <c r="J7" s="5"/>
      <c r="K7" s="5"/>
      <c r="L7" s="20"/>
      <c r="N7" s="742">
        <v>2</v>
      </c>
      <c r="O7" s="743">
        <v>113.21</v>
      </c>
      <c r="P7" s="743">
        <v>36.5890007</v>
      </c>
      <c r="Q7" s="744">
        <v>47.749000549999998</v>
      </c>
      <c r="R7" s="739"/>
      <c r="S7" s="742">
        <v>2</v>
      </c>
      <c r="T7" s="745">
        <v>145.21</v>
      </c>
      <c r="U7" s="746">
        <v>136.535000822</v>
      </c>
      <c r="V7" s="747">
        <v>216.70300435500002</v>
      </c>
    </row>
    <row r="8" spans="1:22" ht="11.25" customHeight="1">
      <c r="A8" s="84"/>
      <c r="B8" s="208"/>
      <c r="C8" s="49"/>
      <c r="D8" s="209"/>
      <c r="E8" s="209"/>
      <c r="F8" s="88"/>
      <c r="G8" s="83"/>
      <c r="H8" s="83"/>
      <c r="I8" s="89"/>
      <c r="J8" s="6"/>
      <c r="K8" s="6"/>
      <c r="L8" s="16"/>
      <c r="N8" s="742">
        <v>3</v>
      </c>
      <c r="O8" s="743">
        <v>117.64</v>
      </c>
      <c r="P8" s="743">
        <v>63.17599869</v>
      </c>
      <c r="Q8" s="744">
        <v>67.130996699999997</v>
      </c>
      <c r="R8" s="739"/>
      <c r="S8" s="742">
        <v>3</v>
      </c>
      <c r="T8" s="745">
        <v>143.88</v>
      </c>
      <c r="U8" s="746">
        <v>170.80799961000002</v>
      </c>
      <c r="V8" s="747">
        <v>232.83600043999999</v>
      </c>
    </row>
    <row r="9" spans="1:22" ht="11.25" customHeight="1">
      <c r="A9" s="84"/>
      <c r="B9" s="208"/>
      <c r="C9" s="49"/>
      <c r="D9" s="209"/>
      <c r="E9" s="209"/>
      <c r="F9" s="88"/>
      <c r="G9" s="83"/>
      <c r="H9" s="83"/>
      <c r="I9" s="89"/>
      <c r="J9" s="5"/>
      <c r="K9" s="8"/>
      <c r="L9" s="21"/>
      <c r="N9" s="742">
        <v>4</v>
      </c>
      <c r="O9" s="743">
        <v>117.64</v>
      </c>
      <c r="P9" s="743">
        <v>113.2139969</v>
      </c>
      <c r="Q9" s="744">
        <v>93.789001459999994</v>
      </c>
      <c r="R9" s="739"/>
      <c r="S9" s="742">
        <v>4</v>
      </c>
      <c r="T9" s="745">
        <v>139.38200000000001</v>
      </c>
      <c r="U9" s="746">
        <v>186.385000214</v>
      </c>
      <c r="V9" s="747">
        <v>271.78000545999998</v>
      </c>
    </row>
    <row r="10" spans="1:22" ht="11.25" customHeight="1">
      <c r="A10" s="84"/>
      <c r="B10" s="208"/>
      <c r="C10" s="49"/>
      <c r="D10" s="209"/>
      <c r="E10" s="209"/>
      <c r="F10" s="88"/>
      <c r="G10" s="83"/>
      <c r="H10" s="83"/>
      <c r="I10" s="89"/>
      <c r="J10" s="5"/>
      <c r="K10" s="5"/>
      <c r="L10" s="20"/>
      <c r="N10" s="742">
        <v>5</v>
      </c>
      <c r="O10" s="743">
        <v>133.43</v>
      </c>
      <c r="P10" s="743">
        <v>156.8220062</v>
      </c>
      <c r="Q10" s="744">
        <v>111.01599880000001</v>
      </c>
      <c r="R10" s="739"/>
      <c r="S10" s="742">
        <v>5</v>
      </c>
      <c r="T10" s="745">
        <v>135.79099490000002</v>
      </c>
      <c r="U10" s="746">
        <v>204.80799868699998</v>
      </c>
      <c r="V10" s="747">
        <v>269.07999802</v>
      </c>
    </row>
    <row r="11" spans="1:22" ht="11.25" customHeight="1">
      <c r="A11" s="84"/>
      <c r="B11" s="209"/>
      <c r="C11" s="49"/>
      <c r="D11" s="209"/>
      <c r="E11" s="209"/>
      <c r="F11" s="88"/>
      <c r="G11" s="83"/>
      <c r="H11" s="83"/>
      <c r="I11" s="89"/>
      <c r="J11" s="5"/>
      <c r="K11" s="5"/>
      <c r="L11" s="20"/>
      <c r="N11" s="742">
        <v>6</v>
      </c>
      <c r="O11" s="743">
        <v>159.2149963</v>
      </c>
      <c r="P11" s="743">
        <v>168.8840027</v>
      </c>
      <c r="Q11" s="744">
        <v>126.6029968</v>
      </c>
      <c r="R11" s="739"/>
      <c r="S11" s="742">
        <v>6</v>
      </c>
      <c r="T11" s="745">
        <v>150.04800029899999</v>
      </c>
      <c r="U11" s="746">
        <v>201.82999366799999</v>
      </c>
      <c r="V11" s="747">
        <v>273.52000047000001</v>
      </c>
    </row>
    <row r="12" spans="1:22" ht="11.25" customHeight="1">
      <c r="A12" s="84"/>
      <c r="B12" s="209"/>
      <c r="C12" s="49"/>
      <c r="D12" s="209"/>
      <c r="E12" s="209"/>
      <c r="F12" s="88"/>
      <c r="G12" s="83"/>
      <c r="H12" s="83"/>
      <c r="I12" s="89"/>
      <c r="J12" s="5"/>
      <c r="K12" s="5"/>
      <c r="L12" s="20"/>
      <c r="N12" s="742">
        <v>7</v>
      </c>
      <c r="O12" s="743">
        <v>186.18299870000001</v>
      </c>
      <c r="P12" s="743">
        <v>196.28300479999999</v>
      </c>
      <c r="Q12" s="744">
        <v>135.7250061</v>
      </c>
      <c r="R12" s="739"/>
      <c r="S12" s="742">
        <v>7</v>
      </c>
      <c r="T12" s="745">
        <v>174.31999966699999</v>
      </c>
      <c r="U12" s="746">
        <v>199.59600258</v>
      </c>
      <c r="V12" s="747">
        <v>302.63299941999998</v>
      </c>
    </row>
    <row r="13" spans="1:22" ht="11.25" customHeight="1">
      <c r="A13" s="84"/>
      <c r="B13" s="209"/>
      <c r="C13" s="49"/>
      <c r="D13" s="209"/>
      <c r="E13" s="209"/>
      <c r="F13" s="88"/>
      <c r="G13" s="83"/>
      <c r="H13" s="83"/>
      <c r="I13" s="89"/>
      <c r="J13" s="6"/>
      <c r="K13" s="6"/>
      <c r="L13" s="16"/>
      <c r="N13" s="742">
        <v>8</v>
      </c>
      <c r="O13" s="743">
        <v>206.53900150000001</v>
      </c>
      <c r="P13" s="743">
        <v>230.18899540000001</v>
      </c>
      <c r="Q13" s="744">
        <v>159.2149963</v>
      </c>
      <c r="R13" s="739"/>
      <c r="S13" s="742">
        <v>8</v>
      </c>
      <c r="T13" s="745">
        <v>262.93500039999998</v>
      </c>
      <c r="U13" s="746">
        <v>214.34299659800001</v>
      </c>
      <c r="V13" s="747">
        <v>328.23703</v>
      </c>
    </row>
    <row r="14" spans="1:22" ht="11.25" customHeight="1">
      <c r="A14" s="84"/>
      <c r="B14" s="209"/>
      <c r="C14" s="49"/>
      <c r="D14" s="209"/>
      <c r="E14" s="209"/>
      <c r="F14" s="88"/>
      <c r="G14" s="83"/>
      <c r="H14" s="83"/>
      <c r="I14" s="89"/>
      <c r="J14" s="5"/>
      <c r="K14" s="8"/>
      <c r="L14" s="21"/>
      <c r="N14" s="742">
        <v>9</v>
      </c>
      <c r="O14" s="743">
        <v>240.9539948</v>
      </c>
      <c r="P14" s="743">
        <v>249.13000489999999</v>
      </c>
      <c r="Q14" s="744">
        <v>186.18299870000001</v>
      </c>
      <c r="R14" s="739"/>
      <c r="S14" s="742">
        <v>9</v>
      </c>
      <c r="T14" s="745">
        <v>279.08800121000002</v>
      </c>
      <c r="U14" s="746">
        <v>250.89400288000002</v>
      </c>
      <c r="V14" s="747">
        <v>343.54049999999995</v>
      </c>
    </row>
    <row r="15" spans="1:22" ht="11.25" customHeight="1">
      <c r="A15" s="84"/>
      <c r="B15" s="209"/>
      <c r="C15" s="49"/>
      <c r="D15" s="209"/>
      <c r="E15" s="209"/>
      <c r="F15" s="88"/>
      <c r="G15" s="83"/>
      <c r="H15" s="83"/>
      <c r="I15" s="89"/>
      <c r="J15" s="5"/>
      <c r="K15" s="8"/>
      <c r="L15" s="20"/>
      <c r="N15" s="742">
        <v>10</v>
      </c>
      <c r="O15" s="743">
        <v>279.86401369999999</v>
      </c>
      <c r="P15" s="743">
        <v>311.77999999999997</v>
      </c>
      <c r="Q15" s="744"/>
      <c r="R15" s="739"/>
      <c r="S15" s="742">
        <v>10</v>
      </c>
      <c r="T15" s="745">
        <v>283.79400062561007</v>
      </c>
      <c r="U15" s="746">
        <v>298.99899296000001</v>
      </c>
      <c r="V15" s="747"/>
    </row>
    <row r="16" spans="1:22" ht="11.25" customHeight="1">
      <c r="A16" s="84"/>
      <c r="B16" s="209"/>
      <c r="C16" s="49"/>
      <c r="D16" s="209"/>
      <c r="E16" s="209"/>
      <c r="F16" s="88"/>
      <c r="G16" s="83"/>
      <c r="H16" s="83"/>
      <c r="I16" s="89"/>
      <c r="J16" s="5"/>
      <c r="K16" s="8"/>
      <c r="L16" s="20"/>
      <c r="N16" s="742">
        <v>11</v>
      </c>
      <c r="O16" s="743">
        <v>308.83</v>
      </c>
      <c r="P16" s="743">
        <v>332.70800000000003</v>
      </c>
      <c r="Q16" s="744"/>
      <c r="R16" s="748"/>
      <c r="S16" s="742">
        <v>11</v>
      </c>
      <c r="T16" s="745">
        <v>286.24</v>
      </c>
      <c r="U16" s="746">
        <v>321.03300188000003</v>
      </c>
      <c r="V16" s="747"/>
    </row>
    <row r="17" spans="1:22" ht="11.25" customHeight="1">
      <c r="A17" s="84"/>
      <c r="B17" s="209"/>
      <c r="C17" s="49"/>
      <c r="D17" s="209"/>
      <c r="E17" s="209"/>
      <c r="F17" s="88"/>
      <c r="G17" s="83"/>
      <c r="H17" s="83"/>
      <c r="I17" s="89"/>
      <c r="J17" s="5"/>
      <c r="K17" s="8"/>
      <c r="L17" s="20"/>
      <c r="N17" s="742">
        <v>12</v>
      </c>
      <c r="O17" s="743">
        <v>308.829986572265</v>
      </c>
      <c r="P17" s="743">
        <v>344.881012</v>
      </c>
      <c r="Q17" s="744"/>
      <c r="R17" s="748"/>
      <c r="S17" s="742">
        <v>12</v>
      </c>
      <c r="T17" s="745">
        <v>285.01299476623473</v>
      </c>
      <c r="U17" s="746">
        <v>332.34900279999999</v>
      </c>
      <c r="V17" s="747"/>
    </row>
    <row r="18" spans="1:22" ht="11.25" customHeight="1">
      <c r="A18" s="84"/>
      <c r="B18" s="209"/>
      <c r="C18" s="49"/>
      <c r="D18" s="209"/>
      <c r="E18" s="209"/>
      <c r="F18" s="88"/>
      <c r="G18" s="83"/>
      <c r="H18" s="83"/>
      <c r="I18" s="89"/>
      <c r="J18" s="5"/>
      <c r="K18" s="8"/>
      <c r="L18" s="20"/>
      <c r="N18" s="742">
        <v>13</v>
      </c>
      <c r="O18" s="743">
        <v>308.829986572265</v>
      </c>
      <c r="P18" s="743">
        <v>338.77499390000003</v>
      </c>
      <c r="Q18" s="744"/>
      <c r="R18" s="748"/>
      <c r="S18" s="742">
        <v>13</v>
      </c>
      <c r="T18" s="745">
        <v>279.96900081634436</v>
      </c>
      <c r="U18" s="746">
        <v>366.02899361000004</v>
      </c>
      <c r="V18" s="747"/>
    </row>
    <row r="19" spans="1:22" ht="11.25" customHeight="1">
      <c r="A19" s="84"/>
      <c r="B19" s="209"/>
      <c r="C19" s="49"/>
      <c r="D19" s="209"/>
      <c r="E19" s="209"/>
      <c r="F19" s="88"/>
      <c r="G19" s="83"/>
      <c r="H19" s="83"/>
      <c r="I19" s="89"/>
      <c r="J19" s="5"/>
      <c r="K19" s="8"/>
      <c r="L19" s="20"/>
      <c r="N19" s="742">
        <v>14</v>
      </c>
      <c r="O19" s="743">
        <v>302.95901489257801</v>
      </c>
      <c r="P19" s="743">
        <v>338.77999390000002</v>
      </c>
      <c r="Q19" s="744"/>
      <c r="R19" s="748"/>
      <c r="S19" s="742">
        <v>14</v>
      </c>
      <c r="T19" s="745">
        <v>286.54100227355917</v>
      </c>
      <c r="U19" s="746">
        <v>382.58400344</v>
      </c>
      <c r="V19" s="747"/>
    </row>
    <row r="20" spans="1:22" ht="11.25" customHeight="1">
      <c r="A20" s="84"/>
      <c r="B20" s="209"/>
      <c r="C20" s="49"/>
      <c r="D20" s="209"/>
      <c r="E20" s="209"/>
      <c r="F20" s="88"/>
      <c r="G20" s="83"/>
      <c r="H20" s="83"/>
      <c r="I20" s="89"/>
      <c r="J20" s="5"/>
      <c r="K20" s="8"/>
      <c r="L20" s="20"/>
      <c r="N20" s="742">
        <v>15</v>
      </c>
      <c r="O20" s="743">
        <v>311.781005859375</v>
      </c>
      <c r="P20" s="743">
        <v>347.94900510000002</v>
      </c>
      <c r="Q20" s="744"/>
      <c r="R20" s="748"/>
      <c r="S20" s="742">
        <v>15</v>
      </c>
      <c r="T20" s="745">
        <v>288.78499984741165</v>
      </c>
      <c r="U20" s="746">
        <v>385.29699126999998</v>
      </c>
      <c r="V20" s="747"/>
    </row>
    <row r="21" spans="1:22" ht="11.25" customHeight="1">
      <c r="A21" s="84"/>
      <c r="B21" s="209"/>
      <c r="C21" s="49"/>
      <c r="D21" s="209"/>
      <c r="E21" s="209"/>
      <c r="F21" s="88"/>
      <c r="G21" s="83"/>
      <c r="H21" s="83"/>
      <c r="I21" s="89"/>
      <c r="J21" s="5"/>
      <c r="K21" s="9"/>
      <c r="L21" s="22"/>
      <c r="N21" s="742">
        <v>16</v>
      </c>
      <c r="O21" s="743">
        <v>320.69100952148398</v>
      </c>
      <c r="P21" s="743">
        <v>354.11401369999999</v>
      </c>
      <c r="Q21" s="744"/>
      <c r="R21" s="748"/>
      <c r="S21" s="742">
        <v>16</v>
      </c>
      <c r="T21" s="745">
        <v>293.26400000000001</v>
      </c>
      <c r="U21" s="746">
        <v>384.95899003</v>
      </c>
      <c r="V21" s="747"/>
    </row>
    <row r="22" spans="1:22" ht="11.25" customHeight="1">
      <c r="A22" s="97"/>
      <c r="B22" s="209"/>
      <c r="C22" s="49"/>
      <c r="D22" s="209"/>
      <c r="E22" s="209"/>
      <c r="F22" s="88"/>
      <c r="G22" s="83"/>
      <c r="H22" s="83"/>
      <c r="I22" s="89"/>
      <c r="J22" s="5"/>
      <c r="K22" s="8"/>
      <c r="L22" s="20"/>
      <c r="N22" s="742">
        <v>17</v>
      </c>
      <c r="O22" s="743">
        <v>326.67999267578102</v>
      </c>
      <c r="P22" s="743">
        <v>351.02700809999999</v>
      </c>
      <c r="Q22" s="744"/>
      <c r="R22" s="748"/>
      <c r="S22" s="742">
        <v>17</v>
      </c>
      <c r="T22" s="745">
        <v>292.87300071716299</v>
      </c>
      <c r="U22" s="746">
        <v>381.86699488000005</v>
      </c>
      <c r="V22" s="747"/>
    </row>
    <row r="23" spans="1:22" ht="11.25" customHeight="1">
      <c r="A23" s="97"/>
      <c r="B23" s="209"/>
      <c r="C23" s="49"/>
      <c r="D23" s="209"/>
      <c r="E23" s="209"/>
      <c r="F23" s="88"/>
      <c r="G23" s="83"/>
      <c r="H23" s="83"/>
      <c r="I23" s="89"/>
      <c r="J23" s="5"/>
      <c r="K23" s="8"/>
      <c r="L23" s="20"/>
      <c r="N23" s="742">
        <v>18</v>
      </c>
      <c r="O23" s="743">
        <v>314.74099731445301</v>
      </c>
      <c r="P23" s="743">
        <v>354.11401369999999</v>
      </c>
      <c r="Q23" s="744"/>
      <c r="R23" s="748"/>
      <c r="S23" s="742">
        <v>18</v>
      </c>
      <c r="T23" s="745">
        <v>289.06400012969908</v>
      </c>
      <c r="U23" s="746">
        <v>382.77999115</v>
      </c>
      <c r="V23" s="747"/>
    </row>
    <row r="24" spans="1:22" ht="11.25" customHeight="1">
      <c r="A24" s="97"/>
      <c r="B24" s="209"/>
      <c r="C24" s="49"/>
      <c r="D24" s="209"/>
      <c r="E24" s="209"/>
      <c r="F24" s="88"/>
      <c r="G24" s="83"/>
      <c r="H24" s="83"/>
      <c r="I24" s="89"/>
      <c r="J24" s="8"/>
      <c r="K24" s="8"/>
      <c r="L24" s="20"/>
      <c r="N24" s="742">
        <v>19</v>
      </c>
      <c r="O24" s="743">
        <v>308.829986572265</v>
      </c>
      <c r="P24" s="743">
        <v>363.43499759999997</v>
      </c>
      <c r="Q24" s="744"/>
      <c r="R24" s="748"/>
      <c r="S24" s="742">
        <v>19</v>
      </c>
      <c r="T24" s="745">
        <v>283.7310012817382</v>
      </c>
      <c r="U24" s="746">
        <v>381.91700169999996</v>
      </c>
      <c r="V24" s="747"/>
    </row>
    <row r="25" spans="1:22" ht="11.25" customHeight="1">
      <c r="A25" s="453" t="s">
        <v>318</v>
      </c>
      <c r="B25" s="209"/>
      <c r="C25" s="49"/>
      <c r="D25" s="209"/>
      <c r="E25" s="209"/>
      <c r="F25" s="88"/>
      <c r="G25" s="83"/>
      <c r="H25" s="83"/>
      <c r="I25" s="89"/>
      <c r="J25" s="5"/>
      <c r="K25" s="9"/>
      <c r="L25" s="22"/>
      <c r="N25" s="742">
        <v>20</v>
      </c>
      <c r="O25" s="743">
        <v>308.8</v>
      </c>
      <c r="P25" s="743">
        <v>366.56100459999999</v>
      </c>
      <c r="Q25" s="744"/>
      <c r="R25" s="748"/>
      <c r="S25" s="742">
        <v>20</v>
      </c>
      <c r="T25" s="745">
        <v>278.90000000000003</v>
      </c>
      <c r="U25" s="746">
        <v>379.35699083999998</v>
      </c>
      <c r="V25" s="747"/>
    </row>
    <row r="26" spans="1:22" ht="11.25" customHeight="1">
      <c r="A26" s="93"/>
      <c r="B26" s="209"/>
      <c r="C26" s="49"/>
      <c r="D26" s="209"/>
      <c r="E26" s="209"/>
      <c r="F26" s="88"/>
      <c r="G26" s="83"/>
      <c r="H26" s="83"/>
      <c r="I26" s="89"/>
      <c r="J26" s="6"/>
      <c r="K26" s="8"/>
      <c r="L26" s="20"/>
      <c r="N26" s="742">
        <v>21</v>
      </c>
      <c r="O26" s="743">
        <v>311.781005859375</v>
      </c>
      <c r="P26" s="743">
        <v>357.21099850000002</v>
      </c>
      <c r="Q26" s="744"/>
      <c r="R26" s="748"/>
      <c r="S26" s="742">
        <v>21</v>
      </c>
      <c r="T26" s="745">
        <v>274.65599975585928</v>
      </c>
      <c r="U26" s="746">
        <v>375.59600258</v>
      </c>
      <c r="V26" s="747"/>
    </row>
    <row r="27" spans="1:22" ht="11.25" customHeight="1">
      <c r="A27" s="97"/>
      <c r="B27" s="209"/>
      <c r="C27" s="49"/>
      <c r="D27" s="209"/>
      <c r="E27" s="209"/>
      <c r="F27" s="91"/>
      <c r="G27" s="91"/>
      <c r="H27" s="91"/>
      <c r="I27" s="91"/>
      <c r="J27" s="6"/>
      <c r="K27" s="8"/>
      <c r="L27" s="20"/>
      <c r="N27" s="742">
        <v>22</v>
      </c>
      <c r="O27" s="743">
        <v>314.74</v>
      </c>
      <c r="P27" s="743">
        <v>341.82</v>
      </c>
      <c r="Q27" s="744"/>
      <c r="R27" s="748"/>
      <c r="S27" s="742">
        <v>22</v>
      </c>
      <c r="T27" s="745">
        <v>269.74</v>
      </c>
      <c r="U27" s="746">
        <v>373.52000000000004</v>
      </c>
      <c r="V27" s="747"/>
    </row>
    <row r="28" spans="1:22" ht="11.25" customHeight="1">
      <c r="A28" s="97"/>
      <c r="B28" s="209"/>
      <c r="C28" s="49"/>
      <c r="D28" s="209"/>
      <c r="E28" s="209"/>
      <c r="F28" s="91"/>
      <c r="G28" s="91"/>
      <c r="H28" s="91"/>
      <c r="I28" s="91"/>
      <c r="J28" s="6"/>
      <c r="K28" s="8"/>
      <c r="L28" s="20"/>
      <c r="N28" s="742">
        <v>23</v>
      </c>
      <c r="O28" s="743">
        <v>308.83</v>
      </c>
      <c r="P28" s="743">
        <v>326.67999270000001</v>
      </c>
      <c r="Q28" s="744"/>
      <c r="R28" s="748"/>
      <c r="S28" s="742">
        <v>23</v>
      </c>
      <c r="T28" s="745">
        <v>265.4609997</v>
      </c>
      <c r="U28" s="746">
        <v>369.22100255000004</v>
      </c>
      <c r="V28" s="747"/>
    </row>
    <row r="29" spans="1:22" ht="11.25" customHeight="1">
      <c r="A29" s="97"/>
      <c r="B29" s="209"/>
      <c r="C29" s="49"/>
      <c r="D29" s="209"/>
      <c r="E29" s="209"/>
      <c r="F29" s="91"/>
      <c r="G29" s="91"/>
      <c r="H29" s="91"/>
      <c r="I29" s="91"/>
      <c r="J29" s="6"/>
      <c r="K29" s="8"/>
      <c r="L29" s="20"/>
      <c r="N29" s="742">
        <v>24</v>
      </c>
      <c r="O29" s="743">
        <v>300.04000000000002</v>
      </c>
      <c r="P29" s="743">
        <v>308.82998659999998</v>
      </c>
      <c r="Q29" s="744"/>
      <c r="R29" s="748"/>
      <c r="S29" s="742">
        <v>24</v>
      </c>
      <c r="T29" s="745">
        <v>261.10000000000002</v>
      </c>
      <c r="U29" s="746">
        <v>364.44200138999997</v>
      </c>
      <c r="V29" s="747"/>
    </row>
    <row r="30" spans="1:22" ht="11.25" customHeight="1">
      <c r="A30" s="92"/>
      <c r="B30" s="91"/>
      <c r="C30" s="91"/>
      <c r="D30" s="91"/>
      <c r="E30" s="91"/>
      <c r="F30" s="91"/>
      <c r="G30" s="91"/>
      <c r="H30" s="91"/>
      <c r="I30" s="91"/>
      <c r="J30" s="5"/>
      <c r="K30" s="8"/>
      <c r="L30" s="20"/>
      <c r="N30" s="742">
        <v>25</v>
      </c>
      <c r="O30" s="743">
        <v>282.71701050000001</v>
      </c>
      <c r="P30" s="743">
        <v>291.33300780000002</v>
      </c>
      <c r="Q30" s="744"/>
      <c r="R30" s="748"/>
      <c r="S30" s="742">
        <v>25</v>
      </c>
      <c r="T30" s="745">
        <v>256.25999989000002</v>
      </c>
      <c r="U30" s="746">
        <v>359.61999897999999</v>
      </c>
      <c r="V30" s="747"/>
    </row>
    <row r="31" spans="1:22" ht="11.25" customHeight="1">
      <c r="A31" s="92"/>
      <c r="B31" s="91"/>
      <c r="C31" s="91"/>
      <c r="D31" s="91"/>
      <c r="E31" s="91"/>
      <c r="F31" s="91"/>
      <c r="G31" s="91"/>
      <c r="H31" s="91"/>
      <c r="I31" s="91"/>
      <c r="J31" s="5"/>
      <c r="K31" s="8"/>
      <c r="L31" s="20"/>
      <c r="N31" s="742">
        <v>26</v>
      </c>
      <c r="O31" s="743">
        <v>262.95300292968699</v>
      </c>
      <c r="P31" s="743">
        <v>268.55099489999998</v>
      </c>
      <c r="Q31" s="744"/>
      <c r="R31" s="748"/>
      <c r="S31" s="742">
        <v>26</v>
      </c>
      <c r="T31" s="745">
        <v>252.54899978637627</v>
      </c>
      <c r="U31" s="746">
        <v>354.77499773999995</v>
      </c>
      <c r="V31" s="747"/>
    </row>
    <row r="32" spans="1:22" ht="11.25" customHeight="1">
      <c r="A32" s="92"/>
      <c r="B32" s="91"/>
      <c r="C32" s="91"/>
      <c r="D32" s="91"/>
      <c r="E32" s="91"/>
      <c r="F32" s="91"/>
      <c r="G32" s="91"/>
      <c r="H32" s="91"/>
      <c r="I32" s="91"/>
      <c r="J32" s="5"/>
      <c r="K32" s="8"/>
      <c r="L32" s="20"/>
      <c r="N32" s="742">
        <v>27</v>
      </c>
      <c r="O32" s="743">
        <v>254.63000489999999</v>
      </c>
      <c r="P32" s="743">
        <v>265.7470093</v>
      </c>
      <c r="Q32" s="744"/>
      <c r="R32" s="748"/>
      <c r="S32" s="742">
        <v>27</v>
      </c>
      <c r="T32" s="745">
        <v>248.26700022</v>
      </c>
      <c r="U32" s="746">
        <v>349.77999684000002</v>
      </c>
      <c r="V32" s="747"/>
    </row>
    <row r="33" spans="1:22" ht="11.25" customHeight="1">
      <c r="A33" s="92"/>
      <c r="B33" s="91"/>
      <c r="C33" s="91"/>
      <c r="D33" s="91"/>
      <c r="E33" s="91"/>
      <c r="F33" s="91"/>
      <c r="G33" s="91"/>
      <c r="H33" s="91"/>
      <c r="I33" s="91"/>
      <c r="J33" s="5"/>
      <c r="K33" s="8"/>
      <c r="L33" s="20"/>
      <c r="N33" s="742">
        <v>28</v>
      </c>
      <c r="O33" s="743">
        <v>240.9539948</v>
      </c>
      <c r="P33" s="749">
        <v>243.66999820000001</v>
      </c>
      <c r="Q33" s="744"/>
      <c r="R33" s="748"/>
      <c r="S33" s="742">
        <v>28</v>
      </c>
      <c r="T33" s="745">
        <v>243.86400222</v>
      </c>
      <c r="U33" s="746">
        <v>344.32400322999996</v>
      </c>
      <c r="V33" s="747"/>
    </row>
    <row r="34" spans="1:22" ht="11.25" customHeight="1">
      <c r="A34" s="92"/>
      <c r="B34" s="91"/>
      <c r="C34" s="91"/>
      <c r="D34" s="91"/>
      <c r="E34" s="91"/>
      <c r="F34" s="91"/>
      <c r="G34" s="91"/>
      <c r="H34" s="91"/>
      <c r="I34" s="91"/>
      <c r="J34" s="5"/>
      <c r="K34" s="8"/>
      <c r="L34" s="20"/>
      <c r="N34" s="742">
        <v>29</v>
      </c>
      <c r="O34" s="743">
        <v>227.5220032</v>
      </c>
      <c r="P34" s="743">
        <v>227.5220032</v>
      </c>
      <c r="Q34" s="744"/>
      <c r="R34" s="748"/>
      <c r="S34" s="742">
        <v>29</v>
      </c>
      <c r="T34" s="745">
        <v>239.07999988</v>
      </c>
      <c r="U34" s="746">
        <v>338.60699847999996</v>
      </c>
      <c r="V34" s="747"/>
    </row>
    <row r="35" spans="1:22" ht="11.25" customHeight="1">
      <c r="A35" s="92"/>
      <c r="B35" s="91"/>
      <c r="C35" s="91"/>
      <c r="D35" s="91"/>
      <c r="E35" s="91"/>
      <c r="F35" s="91"/>
      <c r="G35" s="91"/>
      <c r="H35" s="91"/>
      <c r="I35" s="91"/>
      <c r="J35" s="8"/>
      <c r="K35" s="8"/>
      <c r="L35" s="20"/>
      <c r="N35" s="742">
        <v>30</v>
      </c>
      <c r="O35" s="743">
        <v>216.95199584960901</v>
      </c>
      <c r="P35" s="743">
        <v>216.95199579999999</v>
      </c>
      <c r="Q35" s="744"/>
      <c r="R35" s="748"/>
      <c r="S35" s="742">
        <v>30</v>
      </c>
      <c r="T35" s="745">
        <v>234.2539968490598</v>
      </c>
      <c r="U35" s="746">
        <v>332.49400331000004</v>
      </c>
      <c r="V35" s="747"/>
    </row>
    <row r="36" spans="1:22" ht="11.25" customHeight="1">
      <c r="A36" s="92"/>
      <c r="B36" s="91"/>
      <c r="C36" s="91"/>
      <c r="D36" s="91"/>
      <c r="E36" s="91"/>
      <c r="F36" s="91"/>
      <c r="G36" s="91"/>
      <c r="H36" s="91"/>
      <c r="I36" s="91"/>
      <c r="J36" s="5"/>
      <c r="K36" s="8"/>
      <c r="L36" s="20"/>
      <c r="N36" s="742">
        <v>31</v>
      </c>
      <c r="O36" s="743">
        <v>216.95199579999999</v>
      </c>
      <c r="P36" s="743">
        <v>209.128006</v>
      </c>
      <c r="Q36" s="744"/>
      <c r="R36" s="748"/>
      <c r="S36" s="742">
        <v>31</v>
      </c>
      <c r="T36" s="745">
        <v>229.68000125999998</v>
      </c>
      <c r="U36" s="746">
        <v>324</v>
      </c>
      <c r="V36" s="747"/>
    </row>
    <row r="37" spans="1:22" ht="11.25" customHeight="1">
      <c r="A37" s="92"/>
      <c r="B37" s="91"/>
      <c r="C37" s="91"/>
      <c r="D37" s="91"/>
      <c r="E37" s="91"/>
      <c r="F37" s="91"/>
      <c r="G37" s="91"/>
      <c r="H37" s="91"/>
      <c r="I37" s="91"/>
      <c r="J37" s="5"/>
      <c r="K37" s="13"/>
      <c r="L37" s="20"/>
      <c r="N37" s="742">
        <v>32</v>
      </c>
      <c r="O37" s="743">
        <v>201.39199830000001</v>
      </c>
      <c r="P37" s="743">
        <v>198.83200070000001</v>
      </c>
      <c r="Q37" s="744"/>
      <c r="R37" s="748"/>
      <c r="S37" s="742">
        <v>32</v>
      </c>
      <c r="T37" s="745">
        <v>224.73799990999998</v>
      </c>
      <c r="U37" s="746">
        <v>320.73399734000003</v>
      </c>
      <c r="V37" s="747"/>
    </row>
    <row r="38" spans="1:22" ht="11.25" customHeight="1">
      <c r="A38" s="92"/>
      <c r="B38" s="91"/>
      <c r="C38" s="91"/>
      <c r="D38" s="91"/>
      <c r="E38" s="91"/>
      <c r="F38" s="91"/>
      <c r="G38" s="91"/>
      <c r="H38" s="91"/>
      <c r="I38" s="91"/>
      <c r="J38" s="5"/>
      <c r="K38" s="13"/>
      <c r="L38" s="48"/>
      <c r="N38" s="742">
        <v>33</v>
      </c>
      <c r="O38" s="743">
        <v>193.74299621582</v>
      </c>
      <c r="P38" s="743">
        <v>188.69299319999999</v>
      </c>
      <c r="Q38" s="744"/>
      <c r="R38" s="748"/>
      <c r="S38" s="742">
        <v>33</v>
      </c>
      <c r="T38" s="745">
        <v>219.00299835205058</v>
      </c>
      <c r="U38" s="746">
        <v>314.19900131999998</v>
      </c>
      <c r="V38" s="747"/>
    </row>
    <row r="39" spans="1:22" ht="11.25" customHeight="1">
      <c r="A39" s="92"/>
      <c r="B39" s="91"/>
      <c r="C39" s="91"/>
      <c r="D39" s="91"/>
      <c r="E39" s="91"/>
      <c r="F39" s="91"/>
      <c r="G39" s="91"/>
      <c r="H39" s="91"/>
      <c r="I39" s="91"/>
      <c r="J39" s="5"/>
      <c r="K39" s="9"/>
      <c r="L39" s="20"/>
      <c r="N39" s="742">
        <v>34</v>
      </c>
      <c r="O39" s="743">
        <v>181.19200129999999</v>
      </c>
      <c r="P39" s="743">
        <v>183.68200680000001</v>
      </c>
      <c r="Q39" s="744"/>
      <c r="R39" s="748"/>
      <c r="S39" s="742">
        <v>34</v>
      </c>
      <c r="T39" s="745">
        <v>214.38699817</v>
      </c>
      <c r="U39" s="746">
        <v>307.85200500000002</v>
      </c>
      <c r="V39" s="747"/>
    </row>
    <row r="40" spans="1:22" ht="11.25" customHeight="1">
      <c r="A40" s="92"/>
      <c r="B40" s="91"/>
      <c r="C40" s="91"/>
      <c r="D40" s="91"/>
      <c r="E40" s="91"/>
      <c r="F40" s="91"/>
      <c r="G40" s="91"/>
      <c r="H40" s="91"/>
      <c r="I40" s="91"/>
      <c r="J40" s="5"/>
      <c r="K40" s="9"/>
      <c r="L40" s="20"/>
      <c r="N40" s="742">
        <v>35</v>
      </c>
      <c r="O40" s="743">
        <v>171.32600400000001</v>
      </c>
      <c r="P40" s="750">
        <v>176.23899840000001</v>
      </c>
      <c r="Q40" s="744"/>
      <c r="R40" s="748"/>
      <c r="S40" s="742">
        <v>35</v>
      </c>
      <c r="T40" s="745">
        <v>208.95000171000001</v>
      </c>
      <c r="U40" s="746">
        <v>300.83900069999999</v>
      </c>
      <c r="V40" s="747"/>
    </row>
    <row r="41" spans="1:22" ht="11.25" customHeight="1">
      <c r="A41" s="92"/>
      <c r="B41" s="91"/>
      <c r="C41" s="91"/>
      <c r="D41" s="91"/>
      <c r="E41" s="91"/>
      <c r="F41" s="91"/>
      <c r="G41" s="91"/>
      <c r="H41" s="91"/>
      <c r="I41" s="91"/>
      <c r="J41" s="5"/>
      <c r="K41" s="9"/>
      <c r="L41" s="20"/>
      <c r="N41" s="742">
        <v>36</v>
      </c>
      <c r="O41" s="743">
        <v>164.02999879999999</v>
      </c>
      <c r="P41" s="750">
        <v>168.8840027</v>
      </c>
      <c r="Q41" s="744"/>
      <c r="R41" s="748"/>
      <c r="S41" s="742">
        <v>36</v>
      </c>
      <c r="T41" s="745">
        <v>202.97300145000003</v>
      </c>
      <c r="U41" s="746">
        <v>293.46100233999999</v>
      </c>
      <c r="V41" s="747"/>
    </row>
    <row r="42" spans="1:22" ht="11.25" customHeight="1">
      <c r="A42" s="92"/>
      <c r="B42" s="91"/>
      <c r="C42" s="91"/>
      <c r="D42" s="91"/>
      <c r="E42" s="91"/>
      <c r="F42" s="91"/>
      <c r="G42" s="91"/>
      <c r="H42" s="91"/>
      <c r="I42" s="91"/>
      <c r="J42" s="8"/>
      <c r="K42" s="13"/>
      <c r="L42" s="20"/>
      <c r="N42" s="742">
        <v>37</v>
      </c>
      <c r="O42" s="743">
        <v>147.34800720000001</v>
      </c>
      <c r="P42" s="750">
        <v>159.2149963</v>
      </c>
      <c r="Q42" s="744"/>
      <c r="R42" s="748"/>
      <c r="S42" s="742">
        <v>37</v>
      </c>
      <c r="T42" s="745">
        <v>196.95000080099999</v>
      </c>
      <c r="U42" s="746">
        <v>287.76599501999999</v>
      </c>
      <c r="V42" s="747"/>
    </row>
    <row r="43" spans="1:22" ht="11.25" customHeight="1">
      <c r="A43" s="92"/>
      <c r="B43" s="91"/>
      <c r="C43" s="91"/>
      <c r="D43" s="91"/>
      <c r="E43" s="91"/>
      <c r="F43" s="91"/>
      <c r="G43" s="91"/>
      <c r="H43" s="91"/>
      <c r="I43" s="91"/>
      <c r="J43" s="5"/>
      <c r="K43" s="13"/>
      <c r="L43" s="20"/>
      <c r="N43" s="742">
        <v>38</v>
      </c>
      <c r="O43" s="743">
        <v>131.14500430000001</v>
      </c>
      <c r="P43" s="750">
        <v>149.70199579999999</v>
      </c>
      <c r="Q43" s="744"/>
      <c r="R43" s="748"/>
      <c r="S43" s="742">
        <v>38</v>
      </c>
      <c r="T43" s="745">
        <v>190.78400421900002</v>
      </c>
      <c r="U43" s="746">
        <v>282.07300377000001</v>
      </c>
      <c r="V43" s="747"/>
    </row>
    <row r="44" spans="1:22" ht="11.25" customHeight="1">
      <c r="A44" s="92"/>
      <c r="B44" s="91"/>
      <c r="C44" s="91"/>
      <c r="D44" s="91"/>
      <c r="E44" s="91"/>
      <c r="F44" s="91"/>
      <c r="G44" s="91"/>
      <c r="H44" s="91"/>
      <c r="I44" s="91"/>
      <c r="J44" s="5"/>
      <c r="K44" s="13"/>
      <c r="L44" s="20"/>
      <c r="N44" s="742">
        <v>39</v>
      </c>
      <c r="O44" s="743">
        <v>119.8639984</v>
      </c>
      <c r="P44" s="750">
        <v>138.02999879999999</v>
      </c>
      <c r="Q44" s="744"/>
      <c r="R44" s="748"/>
      <c r="S44" s="742">
        <v>39</v>
      </c>
      <c r="T44" s="745">
        <v>184.44099947499998</v>
      </c>
      <c r="U44" s="746">
        <v>275.53000069000001</v>
      </c>
      <c r="V44" s="747"/>
    </row>
    <row r="45" spans="1:22" ht="11.25" customHeight="1">
      <c r="A45" s="92"/>
      <c r="B45" s="91"/>
      <c r="C45" s="91"/>
      <c r="D45" s="91"/>
      <c r="E45" s="91"/>
      <c r="F45" s="91"/>
      <c r="G45" s="91"/>
      <c r="H45" s="91"/>
      <c r="I45" s="91"/>
      <c r="J45" s="15"/>
      <c r="K45" s="15"/>
      <c r="L45" s="15"/>
      <c r="N45" s="742">
        <v>40</v>
      </c>
      <c r="O45" s="743">
        <v>119.8639984</v>
      </c>
      <c r="P45" s="743">
        <v>131.14500430000001</v>
      </c>
      <c r="Q45" s="744"/>
      <c r="R45" s="748"/>
      <c r="S45" s="742">
        <v>40</v>
      </c>
      <c r="T45" s="745">
        <v>177.93399906500002</v>
      </c>
      <c r="U45" s="746">
        <v>268.25699615000002</v>
      </c>
      <c r="V45" s="747"/>
    </row>
    <row r="46" spans="1:22" ht="11.25" customHeight="1">
      <c r="A46" s="92"/>
      <c r="B46" s="91"/>
      <c r="C46" s="91"/>
      <c r="D46" s="91"/>
      <c r="E46" s="91"/>
      <c r="F46" s="91"/>
      <c r="G46" s="91"/>
      <c r="H46" s="91"/>
      <c r="I46" s="91"/>
      <c r="J46" s="14"/>
      <c r="K46" s="14"/>
      <c r="L46" s="14"/>
      <c r="N46" s="742">
        <v>41</v>
      </c>
      <c r="O46" s="743">
        <v>113.213996887207</v>
      </c>
      <c r="P46" s="743">
        <v>108.82900239999999</v>
      </c>
      <c r="Q46" s="744"/>
      <c r="R46" s="748"/>
      <c r="S46" s="742">
        <v>41</v>
      </c>
      <c r="T46" s="745">
        <v>171.68900227546672</v>
      </c>
      <c r="U46" s="746">
        <v>261.21399689000003</v>
      </c>
      <c r="V46" s="747"/>
    </row>
    <row r="47" spans="1:22" ht="11.25" customHeight="1">
      <c r="A47" s="92"/>
      <c r="B47" s="91"/>
      <c r="C47" s="91"/>
      <c r="D47" s="91"/>
      <c r="E47" s="91"/>
      <c r="F47" s="91"/>
      <c r="G47" s="91"/>
      <c r="H47" s="91"/>
      <c r="I47" s="91"/>
      <c r="J47" s="14"/>
      <c r="K47" s="14"/>
      <c r="L47" s="14"/>
      <c r="N47" s="742">
        <v>42</v>
      </c>
      <c r="O47" s="743">
        <v>100.1760025</v>
      </c>
      <c r="P47" s="743">
        <v>95.908996579999993</v>
      </c>
      <c r="Q47" s="744"/>
      <c r="R47" s="748"/>
      <c r="S47" s="742">
        <v>42</v>
      </c>
      <c r="T47" s="745">
        <v>165.69499874400003</v>
      </c>
      <c r="U47" s="746">
        <v>255.58900451</v>
      </c>
      <c r="V47" s="747"/>
    </row>
    <row r="48" spans="1:22" ht="11.25" customHeight="1">
      <c r="A48" s="92"/>
      <c r="B48" s="91"/>
      <c r="C48" s="91"/>
      <c r="D48" s="91"/>
      <c r="E48" s="91"/>
      <c r="F48" s="91"/>
      <c r="G48" s="91"/>
      <c r="H48" s="91"/>
      <c r="I48" s="91"/>
      <c r="J48" s="14"/>
      <c r="K48" s="14"/>
      <c r="L48" s="14"/>
      <c r="N48" s="742">
        <v>43</v>
      </c>
      <c r="O48" s="743">
        <v>89.581001279999995</v>
      </c>
      <c r="P48" s="743">
        <v>83.341003420000007</v>
      </c>
      <c r="Q48" s="744"/>
      <c r="R48" s="748"/>
      <c r="S48" s="742">
        <v>43</v>
      </c>
      <c r="T48" s="745">
        <v>160.397996525</v>
      </c>
      <c r="U48" s="746">
        <v>249.85500335</v>
      </c>
      <c r="V48" s="747"/>
    </row>
    <row r="49" spans="1:22" ht="11.25" customHeight="1">
      <c r="A49" s="92"/>
      <c r="B49" s="91"/>
      <c r="C49" s="91"/>
      <c r="D49" s="91"/>
      <c r="E49" s="91"/>
      <c r="F49" s="91"/>
      <c r="G49" s="91"/>
      <c r="H49" s="91"/>
      <c r="I49" s="91"/>
      <c r="J49" s="14"/>
      <c r="K49" s="14"/>
      <c r="L49" s="14"/>
      <c r="N49" s="742">
        <v>44</v>
      </c>
      <c r="O49" s="743">
        <v>75.156997680000003</v>
      </c>
      <c r="P49" s="743">
        <v>75.16</v>
      </c>
      <c r="Q49" s="744"/>
      <c r="R49" s="748"/>
      <c r="S49" s="742">
        <v>44</v>
      </c>
      <c r="T49" s="745">
        <v>154.79199918699999</v>
      </c>
      <c r="U49" s="746">
        <v>242.79000000000002</v>
      </c>
      <c r="V49" s="747"/>
    </row>
    <row r="50" spans="1:22" ht="12.75">
      <c r="A50" s="92"/>
      <c r="B50" s="91"/>
      <c r="C50" s="91"/>
      <c r="D50" s="91"/>
      <c r="E50" s="91"/>
      <c r="F50" s="91"/>
      <c r="G50" s="91"/>
      <c r="H50" s="91"/>
      <c r="I50" s="91"/>
      <c r="J50" s="14"/>
      <c r="K50" s="14"/>
      <c r="L50" s="14"/>
      <c r="N50" s="742">
        <v>45</v>
      </c>
      <c r="O50" s="743">
        <v>61.2140007</v>
      </c>
      <c r="P50" s="743">
        <v>65.149002080000002</v>
      </c>
      <c r="Q50" s="744"/>
      <c r="R50" s="748"/>
      <c r="S50" s="742">
        <v>45</v>
      </c>
      <c r="T50" s="745">
        <v>149.715000041</v>
      </c>
      <c r="U50" s="746">
        <v>235.60499572000001</v>
      </c>
      <c r="V50" s="747"/>
    </row>
    <row r="51" spans="1:22" ht="12.75">
      <c r="A51" s="92"/>
      <c r="B51" s="91"/>
      <c r="C51" s="91"/>
      <c r="D51" s="91"/>
      <c r="E51" s="91"/>
      <c r="F51" s="91"/>
      <c r="G51" s="91"/>
      <c r="H51" s="91"/>
      <c r="I51" s="91"/>
      <c r="J51" s="14"/>
      <c r="K51" s="14"/>
      <c r="L51" s="14"/>
      <c r="N51" s="742">
        <v>46</v>
      </c>
      <c r="O51" s="743">
        <v>43.990001679999999</v>
      </c>
      <c r="P51" s="743">
        <v>47.749000549999998</v>
      </c>
      <c r="Q51" s="744"/>
      <c r="R51" s="748"/>
      <c r="S51" s="742">
        <v>46</v>
      </c>
      <c r="T51" s="745">
        <v>144.11800040400001</v>
      </c>
      <c r="U51" s="746">
        <v>230.54900361099999</v>
      </c>
      <c r="V51" s="747"/>
    </row>
    <row r="52" spans="1:22" ht="12.75">
      <c r="A52" s="92"/>
      <c r="B52" s="91"/>
      <c r="C52" s="91"/>
      <c r="D52" s="91"/>
      <c r="E52" s="91"/>
      <c r="F52" s="91"/>
      <c r="G52" s="91"/>
      <c r="H52" s="91"/>
      <c r="I52" s="91"/>
      <c r="J52" s="14"/>
      <c r="K52" s="14"/>
      <c r="L52" s="14"/>
      <c r="N52" s="742">
        <v>47</v>
      </c>
      <c r="O52" s="743">
        <v>25.781999590000002</v>
      </c>
      <c r="P52" s="743">
        <v>34.763999939999998</v>
      </c>
      <c r="Q52" s="744"/>
      <c r="R52" s="748"/>
      <c r="S52" s="742">
        <v>47</v>
      </c>
      <c r="T52" s="745">
        <v>138.82499813000001</v>
      </c>
      <c r="U52" s="746">
        <v>223.60000467499998</v>
      </c>
      <c r="V52" s="747"/>
    </row>
    <row r="53" spans="1:22" ht="12.75">
      <c r="A53" s="92"/>
      <c r="B53" s="91"/>
      <c r="C53" s="91"/>
      <c r="D53" s="91"/>
      <c r="E53" s="91"/>
      <c r="F53" s="91"/>
      <c r="G53" s="91"/>
      <c r="H53" s="91"/>
      <c r="I53" s="91"/>
      <c r="J53" s="14"/>
      <c r="K53" s="14"/>
      <c r="L53" s="14"/>
      <c r="N53" s="742">
        <v>48</v>
      </c>
      <c r="O53" s="743">
        <v>29.344999309999999</v>
      </c>
      <c r="P53" s="743">
        <v>13.618000029999999</v>
      </c>
      <c r="Q53" s="744"/>
      <c r="R53" s="748"/>
      <c r="S53" s="742">
        <v>48</v>
      </c>
      <c r="T53" s="745">
        <v>133.112998957</v>
      </c>
      <c r="U53" s="746">
        <v>217.17600035300001</v>
      </c>
      <c r="V53" s="747"/>
    </row>
    <row r="54" spans="1:22" ht="13.5">
      <c r="A54" s="92"/>
      <c r="B54" s="91"/>
      <c r="C54" s="91"/>
      <c r="D54" s="91"/>
      <c r="E54" s="91"/>
      <c r="F54" s="91"/>
      <c r="G54" s="91"/>
      <c r="H54" s="91"/>
      <c r="I54" s="91"/>
      <c r="J54" s="14"/>
      <c r="K54" s="14"/>
      <c r="L54" s="14"/>
      <c r="N54" s="742">
        <v>49</v>
      </c>
      <c r="O54" s="751">
        <v>34.763999939999998</v>
      </c>
      <c r="P54" s="743">
        <v>8.5520000459999999</v>
      </c>
      <c r="Q54" s="744"/>
      <c r="R54" s="748"/>
      <c r="S54" s="742">
        <v>49</v>
      </c>
      <c r="T54" s="745">
        <v>128.370002666</v>
      </c>
      <c r="U54" s="746">
        <v>210.45100211699997</v>
      </c>
      <c r="V54" s="747"/>
    </row>
    <row r="55" spans="1:22" ht="12.75">
      <c r="A55" s="92"/>
      <c r="B55" s="91"/>
      <c r="C55" s="91"/>
      <c r="D55" s="91"/>
      <c r="E55" s="91"/>
      <c r="F55" s="91"/>
      <c r="G55" s="91"/>
      <c r="H55" s="91"/>
      <c r="I55" s="91"/>
      <c r="J55" s="14"/>
      <c r="K55" s="14"/>
      <c r="L55" s="14"/>
      <c r="N55" s="742">
        <v>50</v>
      </c>
      <c r="O55" s="743">
        <v>32.948001859999998</v>
      </c>
      <c r="P55" s="743">
        <v>13.618000029999999</v>
      </c>
      <c r="Q55" s="744"/>
      <c r="R55" s="748"/>
      <c r="S55" s="742">
        <v>50</v>
      </c>
      <c r="T55" s="745">
        <v>122.71499820000001</v>
      </c>
      <c r="U55" s="746">
        <v>203.37099885499998</v>
      </c>
      <c r="V55" s="747"/>
    </row>
    <row r="56" spans="1:22" ht="12.75">
      <c r="A56" s="92"/>
      <c r="B56" s="91"/>
      <c r="C56" s="91"/>
      <c r="D56" s="91"/>
      <c r="E56" s="91"/>
      <c r="F56" s="91"/>
      <c r="G56" s="91"/>
      <c r="H56" s="91"/>
      <c r="I56" s="91"/>
      <c r="J56" s="14"/>
      <c r="K56" s="14"/>
      <c r="L56" s="14"/>
      <c r="N56" s="742">
        <v>51</v>
      </c>
      <c r="O56" s="743">
        <v>25.781999590000002</v>
      </c>
      <c r="P56" s="743">
        <v>18.771999359999999</v>
      </c>
      <c r="Q56" s="744"/>
      <c r="R56" s="748"/>
      <c r="S56" s="742">
        <v>51</v>
      </c>
      <c r="T56" s="745">
        <v>120.15600296300001</v>
      </c>
      <c r="U56" s="746">
        <v>202.35899971500001</v>
      </c>
      <c r="V56" s="747"/>
    </row>
    <row r="57" spans="1:22" ht="12.75">
      <c r="A57" s="92"/>
      <c r="B57" s="91"/>
      <c r="C57" s="91"/>
      <c r="D57" s="91"/>
      <c r="E57" s="91"/>
      <c r="F57" s="91"/>
      <c r="G57" s="91"/>
      <c r="H57" s="91"/>
      <c r="I57" s="91"/>
      <c r="N57" s="742">
        <v>52</v>
      </c>
      <c r="O57" s="743">
        <v>22.256999969999999</v>
      </c>
      <c r="P57" s="743">
        <v>25.781999590000002</v>
      </c>
      <c r="Q57" s="744"/>
      <c r="R57" s="748"/>
      <c r="S57" s="742">
        <v>52</v>
      </c>
      <c r="T57" s="745">
        <v>116.12899696700001</v>
      </c>
      <c r="U57" s="746">
        <v>201.25199794899999</v>
      </c>
      <c r="V57" s="747"/>
    </row>
    <row r="58" spans="1:22" ht="12.75">
      <c r="A58" s="92"/>
      <c r="B58" s="91"/>
      <c r="C58" s="91"/>
      <c r="D58" s="91"/>
      <c r="E58" s="91"/>
      <c r="F58" s="91"/>
      <c r="G58" s="91"/>
      <c r="H58" s="91"/>
      <c r="I58" s="91"/>
      <c r="N58" s="742">
        <v>53</v>
      </c>
      <c r="O58" s="748"/>
      <c r="P58" s="748"/>
      <c r="Q58" s="748"/>
      <c r="R58" s="748"/>
      <c r="S58" s="742">
        <v>53</v>
      </c>
      <c r="T58" s="745"/>
      <c r="U58" s="746"/>
      <c r="V58" s="747"/>
    </row>
    <row r="59" spans="1:22" ht="12.75">
      <c r="B59" s="91"/>
      <c r="C59" s="91"/>
      <c r="D59" s="91"/>
      <c r="E59" s="91"/>
      <c r="F59" s="91"/>
      <c r="G59" s="91"/>
      <c r="H59" s="91"/>
      <c r="I59" s="91"/>
      <c r="N59" s="739"/>
      <c r="O59" s="739"/>
      <c r="P59" s="739"/>
      <c r="Q59" s="739"/>
      <c r="R59" s="739"/>
      <c r="S59" s="739"/>
      <c r="T59" s="739"/>
      <c r="U59" s="739"/>
      <c r="V59" s="739"/>
    </row>
    <row r="60" spans="1:22" ht="12.75">
      <c r="A60" s="92"/>
      <c r="B60" s="91"/>
      <c r="C60" s="91"/>
      <c r="D60" s="91"/>
      <c r="E60" s="91"/>
      <c r="F60" s="91"/>
      <c r="G60" s="91"/>
      <c r="H60" s="91"/>
      <c r="I60" s="91"/>
    </row>
    <row r="63" spans="1:22">
      <c r="A63" s="453" t="s">
        <v>319</v>
      </c>
    </row>
  </sheetData>
  <mergeCells count="2">
    <mergeCell ref="A5:I5"/>
    <mergeCell ref="B7:C7"/>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S116"/>
  <sheetViews>
    <sheetView showGridLines="0" view="pageBreakPreview" zoomScale="145" zoomScaleNormal="100" zoomScaleSheetLayoutView="145" zoomScalePageLayoutView="130" workbookViewId="0">
      <selection activeCell="K12" sqref="K12"/>
    </sheetView>
  </sheetViews>
  <sheetFormatPr defaultRowHeight="11.25"/>
  <cols>
    <col min="1" max="2" width="9.33203125" style="3"/>
    <col min="3" max="3" width="28.5" style="3" customWidth="1"/>
    <col min="4" max="5" width="12" style="3" customWidth="1"/>
    <col min="6" max="6" width="12.33203125" style="3" customWidth="1"/>
    <col min="7" max="7" width="9.33203125" style="3"/>
    <col min="8" max="9" width="9.33203125" style="3" customWidth="1"/>
    <col min="10" max="10" width="9.33203125" style="574"/>
    <col min="11" max="11" width="9.33203125" style="619"/>
    <col min="12" max="12" width="3.1640625" style="620" bestFit="1" customWidth="1"/>
    <col min="13" max="19" width="9.33203125" style="619"/>
    <col min="20" max="16384" width="9.33203125" style="3"/>
  </cols>
  <sheetData>
    <row r="1" spans="1:15" ht="11.25" customHeight="1"/>
    <row r="2" spans="1:15" ht="11.25" customHeight="1">
      <c r="A2" s="25"/>
      <c r="B2" s="25"/>
      <c r="C2" s="25"/>
      <c r="D2" s="25"/>
      <c r="E2" s="91"/>
      <c r="F2" s="91"/>
      <c r="G2" s="91"/>
    </row>
    <row r="3" spans="1:15" ht="17.25" customHeight="1">
      <c r="A3" s="898" t="s">
        <v>547</v>
      </c>
      <c r="B3" s="898"/>
      <c r="C3" s="898"/>
      <c r="D3" s="898"/>
      <c r="E3" s="898"/>
      <c r="F3" s="898"/>
      <c r="G3" s="898"/>
      <c r="H3" s="45"/>
      <c r="I3" s="45"/>
      <c r="K3" s="619" t="s">
        <v>321</v>
      </c>
      <c r="M3" s="619" t="s">
        <v>322</v>
      </c>
      <c r="N3" s="619" t="s">
        <v>323</v>
      </c>
      <c r="O3" s="619" t="s">
        <v>324</v>
      </c>
    </row>
    <row r="4" spans="1:15" ht="11.25" customHeight="1">
      <c r="A4" s="92"/>
      <c r="B4" s="91"/>
      <c r="C4" s="91"/>
      <c r="D4" s="91"/>
      <c r="E4" s="91"/>
      <c r="F4" s="91"/>
      <c r="G4" s="91"/>
      <c r="H4" s="45"/>
      <c r="I4" s="45"/>
      <c r="J4" s="574">
        <v>2016</v>
      </c>
      <c r="K4" s="619">
        <v>1</v>
      </c>
      <c r="L4" s="620">
        <v>1</v>
      </c>
      <c r="M4" s="621">
        <v>40.61</v>
      </c>
      <c r="N4" s="621">
        <v>96.75</v>
      </c>
      <c r="O4" s="621">
        <v>16.37</v>
      </c>
    </row>
    <row r="5" spans="1:15" ht="11.25" customHeight="1">
      <c r="A5" s="92"/>
      <c r="B5" s="91"/>
      <c r="C5" s="91"/>
      <c r="D5" s="91"/>
      <c r="E5" s="91"/>
      <c r="F5" s="91"/>
      <c r="G5" s="91"/>
      <c r="H5" s="16"/>
      <c r="I5" s="16"/>
      <c r="L5" s="620">
        <v>2</v>
      </c>
      <c r="M5" s="621">
        <v>29.82</v>
      </c>
      <c r="N5" s="621">
        <v>76.510000000000005</v>
      </c>
      <c r="O5" s="621">
        <v>15.9</v>
      </c>
    </row>
    <row r="6" spans="1:15" ht="29.25" customHeight="1">
      <c r="A6" s="157"/>
      <c r="C6" s="221" t="s">
        <v>163</v>
      </c>
      <c r="D6" s="235" t="str">
        <f>UPPER('1. Resumen'!Q4)&amp;"
 "&amp;'1. Resumen'!Q5</f>
        <v>FEBRERO
 2018</v>
      </c>
      <c r="E6" s="236" t="str">
        <f>UPPER('1. Resumen'!Q4)&amp;"
 "&amp;'1. Resumen'!Q5-1</f>
        <v>FEBRERO
 2017</v>
      </c>
      <c r="F6" s="237" t="s">
        <v>141</v>
      </c>
      <c r="G6" s="159"/>
      <c r="H6" s="31"/>
      <c r="I6" s="16"/>
      <c r="L6" s="620">
        <v>3</v>
      </c>
      <c r="M6" s="621">
        <v>27.06</v>
      </c>
      <c r="N6" s="621">
        <v>80.096000000000004</v>
      </c>
      <c r="O6" s="621">
        <v>29.21</v>
      </c>
    </row>
    <row r="7" spans="1:15" ht="11.25" customHeight="1">
      <c r="A7" s="238"/>
      <c r="C7" s="244" t="s">
        <v>164</v>
      </c>
      <c r="D7" s="239">
        <v>102.1</v>
      </c>
      <c r="E7" s="239">
        <v>47.279960000000003</v>
      </c>
      <c r="F7" s="240">
        <f>IF(E7=0,"",(D7-E7)/E7)</f>
        <v>1.1594772922819729</v>
      </c>
      <c r="G7" s="159"/>
      <c r="H7" s="32"/>
      <c r="I7" s="5"/>
      <c r="K7" s="619">
        <v>4</v>
      </c>
      <c r="L7" s="620">
        <v>4</v>
      </c>
      <c r="M7" s="621">
        <v>27.93</v>
      </c>
      <c r="N7" s="621">
        <v>77.09</v>
      </c>
      <c r="O7" s="621">
        <v>20.7</v>
      </c>
    </row>
    <row r="8" spans="1:15" ht="11.25" customHeight="1">
      <c r="A8" s="238"/>
      <c r="C8" s="243" t="s">
        <v>170</v>
      </c>
      <c r="D8" s="241">
        <v>32.4</v>
      </c>
      <c r="E8" s="241">
        <v>35.623860000000001</v>
      </c>
      <c r="F8" s="242">
        <f t="shared" ref="F8:F30" si="0">IF(E8=0,"",(D8-E8)/E8)</f>
        <v>-9.0497211700248145E-2</v>
      </c>
      <c r="G8" s="159"/>
      <c r="H8" s="30"/>
      <c r="I8" s="6"/>
      <c r="L8" s="620">
        <v>5</v>
      </c>
      <c r="M8" s="621">
        <v>49.585999999999999</v>
      </c>
      <c r="N8" s="621">
        <v>140.12</v>
      </c>
      <c r="O8" s="621">
        <v>74.02</v>
      </c>
    </row>
    <row r="9" spans="1:15" ht="11.25" customHeight="1">
      <c r="A9" s="238"/>
      <c r="C9" s="244" t="s">
        <v>171</v>
      </c>
      <c r="D9" s="239">
        <v>180.6</v>
      </c>
      <c r="E9" s="239">
        <v>147.40350000000001</v>
      </c>
      <c r="F9" s="240">
        <f t="shared" si="0"/>
        <v>0.225208356653675</v>
      </c>
      <c r="G9" s="159"/>
      <c r="H9" s="32"/>
      <c r="I9" s="8"/>
      <c r="L9" s="620">
        <v>6</v>
      </c>
      <c r="M9" s="621">
        <v>57</v>
      </c>
      <c r="N9" s="621">
        <v>144.66999999999999</v>
      </c>
      <c r="O9" s="621">
        <v>78.08</v>
      </c>
    </row>
    <row r="10" spans="1:15" ht="11.25" customHeight="1">
      <c r="A10" s="238"/>
      <c r="C10" s="243" t="s">
        <v>178</v>
      </c>
      <c r="D10" s="241">
        <v>105</v>
      </c>
      <c r="E10" s="241">
        <v>152.07550000000001</v>
      </c>
      <c r="F10" s="242">
        <f t="shared" si="0"/>
        <v>-0.30955347837094077</v>
      </c>
      <c r="G10" s="159"/>
      <c r="H10" s="32"/>
      <c r="I10" s="5"/>
      <c r="L10" s="620">
        <v>7</v>
      </c>
      <c r="M10" s="621">
        <v>52.31</v>
      </c>
      <c r="N10" s="621">
        <v>117.32</v>
      </c>
      <c r="O10" s="621">
        <v>41.34</v>
      </c>
    </row>
    <row r="11" spans="1:15" ht="11.25" customHeight="1">
      <c r="A11" s="238"/>
      <c r="C11" s="244" t="s">
        <v>179</v>
      </c>
      <c r="D11" s="239">
        <v>38.700000000000003</v>
      </c>
      <c r="E11" s="239">
        <v>49.897790000000001</v>
      </c>
      <c r="F11" s="240">
        <f t="shared" si="0"/>
        <v>-0.22441454821947018</v>
      </c>
      <c r="G11" s="159"/>
      <c r="H11" s="32"/>
      <c r="I11" s="5"/>
      <c r="K11" s="619">
        <v>8</v>
      </c>
      <c r="L11" s="620">
        <v>8</v>
      </c>
      <c r="M11" s="621">
        <v>57.96</v>
      </c>
      <c r="N11" s="621">
        <v>140.31</v>
      </c>
      <c r="O11" s="621">
        <v>96.52</v>
      </c>
    </row>
    <row r="12" spans="1:15" ht="11.25" customHeight="1">
      <c r="A12" s="238"/>
      <c r="C12" s="243" t="s">
        <v>181</v>
      </c>
      <c r="D12" s="241">
        <v>50.3</v>
      </c>
      <c r="E12" s="241">
        <v>79.645859999999999</v>
      </c>
      <c r="F12" s="242">
        <f t="shared" si="0"/>
        <v>-0.36845430509507965</v>
      </c>
      <c r="G12" s="159"/>
      <c r="H12" s="32"/>
      <c r="I12" s="5"/>
      <c r="L12" s="620">
        <v>9</v>
      </c>
      <c r="M12" s="621">
        <v>100.51885660000001</v>
      </c>
      <c r="N12" s="621">
        <v>268.94750210000001</v>
      </c>
      <c r="O12" s="621">
        <v>150.104332</v>
      </c>
    </row>
    <row r="13" spans="1:15" ht="11.25" customHeight="1">
      <c r="A13" s="238"/>
      <c r="C13" s="244" t="s">
        <v>169</v>
      </c>
      <c r="D13" s="239">
        <v>61.838915074404731</v>
      </c>
      <c r="E13" s="239">
        <v>157.04</v>
      </c>
      <c r="F13" s="240">
        <f t="shared" si="0"/>
        <v>-0.6062218856698629</v>
      </c>
      <c r="G13" s="159"/>
      <c r="H13" s="30"/>
      <c r="I13" s="6"/>
      <c r="L13" s="620">
        <v>10</v>
      </c>
      <c r="M13" s="621">
        <v>75.15657152448378</v>
      </c>
      <c r="N13" s="621">
        <v>243.71150207519463</v>
      </c>
      <c r="O13" s="621">
        <v>181.79733530680286</v>
      </c>
    </row>
    <row r="14" spans="1:15" ht="11.25" customHeight="1">
      <c r="A14" s="238"/>
      <c r="C14" s="243" t="s">
        <v>309</v>
      </c>
      <c r="D14" s="241">
        <v>64.2</v>
      </c>
      <c r="E14" s="241">
        <v>62.885089999999998</v>
      </c>
      <c r="F14" s="242">
        <f t="shared" si="0"/>
        <v>2.0909725977970368E-2</v>
      </c>
      <c r="G14" s="159"/>
      <c r="H14" s="32"/>
      <c r="I14" s="8"/>
      <c r="L14" s="620">
        <v>11</v>
      </c>
      <c r="M14" s="621">
        <v>52.24</v>
      </c>
      <c r="N14" s="621">
        <v>154.21</v>
      </c>
      <c r="O14" s="621">
        <v>79.12</v>
      </c>
    </row>
    <row r="15" spans="1:15" ht="11.25" customHeight="1">
      <c r="A15" s="238"/>
      <c r="C15" s="244" t="s">
        <v>310</v>
      </c>
      <c r="D15" s="239">
        <v>330.9</v>
      </c>
      <c r="E15" s="239">
        <v>137.44450000000001</v>
      </c>
      <c r="F15" s="240">
        <f t="shared" si="0"/>
        <v>1.4075172160399285</v>
      </c>
      <c r="G15" s="159"/>
      <c r="H15" s="32"/>
      <c r="I15" s="8"/>
      <c r="K15" s="619">
        <v>12</v>
      </c>
      <c r="L15" s="620">
        <v>12</v>
      </c>
      <c r="M15" s="621">
        <v>44.628571101597331</v>
      </c>
      <c r="N15" s="621">
        <v>116.62271445138057</v>
      </c>
      <c r="O15" s="621">
        <v>41.373285293579045</v>
      </c>
    </row>
    <row r="16" spans="1:15" ht="11.25" customHeight="1">
      <c r="A16" s="238"/>
      <c r="C16" s="243" t="s">
        <v>176</v>
      </c>
      <c r="D16" s="241">
        <v>50.3</v>
      </c>
      <c r="E16" s="241">
        <v>74.054249999999996</v>
      </c>
      <c r="F16" s="242">
        <f t="shared" si="0"/>
        <v>-0.32076822059503673</v>
      </c>
      <c r="G16" s="159"/>
      <c r="H16" s="32"/>
      <c r="I16" s="8"/>
      <c r="L16" s="620">
        <v>13</v>
      </c>
      <c r="M16" s="621">
        <v>42.599998474121001</v>
      </c>
      <c r="N16" s="621">
        <v>120.78800201416</v>
      </c>
      <c r="O16" s="621">
        <v>93.665000915527301</v>
      </c>
    </row>
    <row r="17" spans="1:15" ht="11.25" customHeight="1">
      <c r="A17" s="238"/>
      <c r="C17" s="244" t="s">
        <v>180</v>
      </c>
      <c r="D17" s="239">
        <v>16.399999999999999</v>
      </c>
      <c r="E17" s="239">
        <v>30.40343</v>
      </c>
      <c r="F17" s="240">
        <f t="shared" si="0"/>
        <v>-0.4605871771704706</v>
      </c>
      <c r="G17" s="159"/>
      <c r="H17" s="32"/>
      <c r="I17" s="8"/>
      <c r="L17" s="620">
        <v>14</v>
      </c>
      <c r="M17" s="621">
        <v>49.743000030517535</v>
      </c>
      <c r="N17" s="621">
        <v>125.66285814557708</v>
      </c>
      <c r="O17" s="621">
        <v>131.74585723876913</v>
      </c>
    </row>
    <row r="18" spans="1:15" ht="11.25" customHeight="1">
      <c r="A18" s="238"/>
      <c r="C18" s="243" t="s">
        <v>311</v>
      </c>
      <c r="D18" s="241">
        <v>17.7</v>
      </c>
      <c r="E18" s="241">
        <v>10.11107</v>
      </c>
      <c r="F18" s="242">
        <f t="shared" si="0"/>
        <v>0.75055656819703553</v>
      </c>
      <c r="G18" s="159"/>
      <c r="H18" s="32"/>
      <c r="I18" s="8"/>
      <c r="L18" s="620">
        <v>15</v>
      </c>
      <c r="M18" s="621">
        <v>54.414285387311615</v>
      </c>
      <c r="N18" s="621">
        <v>127.68985639299636</v>
      </c>
      <c r="O18" s="621">
        <v>71.706143515450577</v>
      </c>
    </row>
    <row r="19" spans="1:15" ht="11.25" customHeight="1">
      <c r="A19" s="238"/>
      <c r="C19" s="244" t="s">
        <v>312</v>
      </c>
      <c r="D19" s="239">
        <v>39.295260193452378</v>
      </c>
      <c r="E19" s="239">
        <v>38.783999999999999</v>
      </c>
      <c r="F19" s="240">
        <f t="shared" si="0"/>
        <v>1.3182245086952855E-2</v>
      </c>
      <c r="G19" s="159"/>
      <c r="H19" s="32"/>
      <c r="I19" s="8"/>
      <c r="K19" s="619">
        <v>16</v>
      </c>
      <c r="L19" s="620">
        <v>16</v>
      </c>
      <c r="M19" s="621">
        <v>47.73</v>
      </c>
      <c r="N19" s="621">
        <v>97.4</v>
      </c>
      <c r="O19" s="621">
        <v>53.49</v>
      </c>
    </row>
    <row r="20" spans="1:15" ht="11.25" customHeight="1">
      <c r="A20" s="238"/>
      <c r="C20" s="243" t="s">
        <v>313</v>
      </c>
      <c r="D20" s="241">
        <v>1.5</v>
      </c>
      <c r="E20" s="241">
        <v>0.50689300000000004</v>
      </c>
      <c r="F20" s="242">
        <f t="shared" si="0"/>
        <v>1.9592044080308859</v>
      </c>
      <c r="G20" s="159"/>
      <c r="H20" s="32"/>
      <c r="I20" s="8"/>
      <c r="L20" s="620">
        <v>17</v>
      </c>
      <c r="M20" s="621">
        <v>42.142857687813873</v>
      </c>
      <c r="N20" s="621">
        <v>85.487143380301248</v>
      </c>
      <c r="O20" s="621">
        <v>51.424428122384178</v>
      </c>
    </row>
    <row r="21" spans="1:15" ht="11.25" customHeight="1">
      <c r="A21" s="238"/>
      <c r="C21" s="244" t="s">
        <v>167</v>
      </c>
      <c r="D21" s="239">
        <v>260.39999999999998</v>
      </c>
      <c r="E21" s="239">
        <v>344.1705</v>
      </c>
      <c r="F21" s="240">
        <f t="shared" si="0"/>
        <v>-0.24339825754967387</v>
      </c>
      <c r="G21" s="159"/>
      <c r="H21" s="32"/>
      <c r="I21" s="9"/>
      <c r="L21" s="620">
        <v>18</v>
      </c>
      <c r="M21" s="621">
        <v>27.452428545270582</v>
      </c>
      <c r="N21" s="621">
        <v>62.369998931884716</v>
      </c>
      <c r="O21" s="621">
        <v>34.353571755545424</v>
      </c>
    </row>
    <row r="22" spans="1:15" ht="11.25" customHeight="1">
      <c r="A22" s="238"/>
      <c r="C22" s="243" t="s">
        <v>165</v>
      </c>
      <c r="D22" s="241">
        <v>0</v>
      </c>
      <c r="E22" s="241">
        <v>0</v>
      </c>
      <c r="F22" s="242" t="str">
        <f t="shared" si="0"/>
        <v/>
      </c>
      <c r="G22" s="159"/>
      <c r="H22" s="32"/>
      <c r="I22" s="8"/>
      <c r="L22" s="620">
        <v>19</v>
      </c>
      <c r="M22" s="621">
        <v>21.857142584664455</v>
      </c>
      <c r="N22" s="621">
        <v>58.684285300118525</v>
      </c>
      <c r="O22" s="621">
        <v>29.207143238612552</v>
      </c>
    </row>
    <row r="23" spans="1:15" ht="11.25" customHeight="1">
      <c r="A23" s="238"/>
      <c r="C23" s="244" t="s">
        <v>166</v>
      </c>
      <c r="D23" s="239">
        <v>5.0999999999999996</v>
      </c>
      <c r="E23" s="239">
        <v>0</v>
      </c>
      <c r="F23" s="240" t="str">
        <f t="shared" si="0"/>
        <v/>
      </c>
      <c r="G23" s="159"/>
      <c r="H23" s="32"/>
      <c r="I23" s="8"/>
      <c r="K23" s="619">
        <v>20</v>
      </c>
      <c r="L23" s="620">
        <v>20</v>
      </c>
      <c r="M23" s="621">
        <v>19.5</v>
      </c>
      <c r="N23" s="621">
        <v>54</v>
      </c>
      <c r="O23" s="621">
        <v>22.1</v>
      </c>
    </row>
    <row r="24" spans="1:15" ht="11.25" customHeight="1">
      <c r="A24" s="238"/>
      <c r="C24" s="243" t="s">
        <v>182</v>
      </c>
      <c r="D24" s="241">
        <v>27.5</v>
      </c>
      <c r="E24" s="241">
        <v>32.011859999999999</v>
      </c>
      <c r="F24" s="242">
        <f t="shared" si="0"/>
        <v>-0.14094338785687552</v>
      </c>
      <c r="G24" s="159"/>
      <c r="H24" s="33"/>
      <c r="I24" s="8"/>
      <c r="L24" s="620">
        <v>21</v>
      </c>
      <c r="M24" s="621">
        <v>19.485713958740185</v>
      </c>
      <c r="N24" s="621">
        <v>50.756999969482365</v>
      </c>
      <c r="O24" s="621">
        <v>17.473428726196214</v>
      </c>
    </row>
    <row r="25" spans="1:15" ht="11.25" customHeight="1">
      <c r="A25" s="245"/>
      <c r="C25" s="244" t="s">
        <v>172</v>
      </c>
      <c r="D25" s="239">
        <v>0</v>
      </c>
      <c r="E25" s="239">
        <v>0</v>
      </c>
      <c r="F25" s="240" t="str">
        <f t="shared" si="0"/>
        <v/>
      </c>
      <c r="G25" s="204"/>
      <c r="H25" s="32"/>
      <c r="I25" s="9"/>
      <c r="L25" s="620">
        <v>22</v>
      </c>
      <c r="M25" s="621">
        <v>16.329999999999998</v>
      </c>
      <c r="N25" s="621">
        <v>46.59</v>
      </c>
      <c r="O25" s="621">
        <v>17.04</v>
      </c>
    </row>
    <row r="26" spans="1:15" ht="11.25" customHeight="1">
      <c r="A26" s="246"/>
      <c r="C26" s="243" t="s">
        <v>173</v>
      </c>
      <c r="D26" s="241">
        <v>0.9</v>
      </c>
      <c r="E26" s="241">
        <v>0.79007099999999997</v>
      </c>
      <c r="F26" s="242">
        <f t="shared" si="0"/>
        <v>0.13913812809228546</v>
      </c>
      <c r="G26" s="159"/>
      <c r="H26" s="30"/>
      <c r="I26" s="8"/>
      <c r="L26" s="620">
        <v>23</v>
      </c>
      <c r="M26" s="621">
        <v>15.18</v>
      </c>
      <c r="N26" s="621">
        <v>40.29</v>
      </c>
      <c r="O26" s="621">
        <v>22.12</v>
      </c>
    </row>
    <row r="27" spans="1:15" ht="11.25" customHeight="1">
      <c r="A27" s="159"/>
      <c r="C27" s="244" t="s">
        <v>174</v>
      </c>
      <c r="D27" s="239">
        <v>0.3</v>
      </c>
      <c r="E27" s="239">
        <v>0</v>
      </c>
      <c r="F27" s="240" t="str">
        <f t="shared" si="0"/>
        <v/>
      </c>
      <c r="G27" s="159"/>
      <c r="H27" s="30"/>
      <c r="I27" s="8"/>
      <c r="K27" s="619">
        <v>24</v>
      </c>
      <c r="L27" s="620">
        <v>24</v>
      </c>
      <c r="M27" s="621">
        <v>15.1</v>
      </c>
      <c r="N27" s="621">
        <v>35.630000000000003</v>
      </c>
      <c r="O27" s="621">
        <v>13.87</v>
      </c>
    </row>
    <row r="28" spans="1:15" ht="11.25" customHeight="1">
      <c r="A28" s="159"/>
      <c r="C28" s="243" t="s">
        <v>175</v>
      </c>
      <c r="D28" s="241">
        <v>0</v>
      </c>
      <c r="E28" s="241">
        <v>0</v>
      </c>
      <c r="F28" s="242" t="str">
        <f t="shared" si="0"/>
        <v/>
      </c>
      <c r="G28" s="159"/>
      <c r="H28" s="30"/>
      <c r="I28" s="8"/>
      <c r="L28" s="620">
        <v>25</v>
      </c>
      <c r="M28" s="621">
        <v>18.016999930000001</v>
      </c>
      <c r="N28" s="621">
        <v>34.608428410000002</v>
      </c>
      <c r="O28" s="621">
        <v>10.78285721</v>
      </c>
    </row>
    <row r="29" spans="1:15" ht="11.25" customHeight="1">
      <c r="A29" s="204"/>
      <c r="C29" s="244" t="s">
        <v>177</v>
      </c>
      <c r="D29" s="239">
        <v>1.6</v>
      </c>
      <c r="E29" s="239">
        <v>1.2865709999999999</v>
      </c>
      <c r="F29" s="240">
        <f t="shared" si="0"/>
        <v>0.2436157817951751</v>
      </c>
      <c r="G29" s="247"/>
      <c r="H29" s="30"/>
      <c r="I29" s="8"/>
      <c r="L29" s="620">
        <v>26</v>
      </c>
      <c r="M29" s="621">
        <v>16.489714209999999</v>
      </c>
      <c r="N29" s="621">
        <v>34.074285510000003</v>
      </c>
      <c r="O29" s="621">
        <v>9.5958572120000003</v>
      </c>
    </row>
    <row r="30" spans="1:15" ht="11.25" customHeight="1">
      <c r="A30" s="246"/>
      <c r="C30" s="248" t="s">
        <v>168</v>
      </c>
      <c r="D30" s="249">
        <v>6.0223214285714288</v>
      </c>
      <c r="E30" s="249">
        <v>15.58</v>
      </c>
      <c r="F30" s="250">
        <f t="shared" si="0"/>
        <v>-0.6134581881533101</v>
      </c>
      <c r="G30" s="159"/>
      <c r="H30" s="32"/>
      <c r="I30" s="8"/>
      <c r="L30" s="620">
        <v>27</v>
      </c>
      <c r="M30" s="621">
        <v>16.199999810000001</v>
      </c>
      <c r="N30" s="621">
        <v>29.599571770000001</v>
      </c>
      <c r="O30" s="621">
        <v>7.8892858370000001</v>
      </c>
    </row>
    <row r="31" spans="1:15" ht="11.25" customHeight="1">
      <c r="A31" s="158"/>
      <c r="C31" s="454" t="str">
        <f>"Cuadro N°10: Promedio de caudales en "&amp;'1. Resumen'!Q4</f>
        <v>Cuadro N°10: Promedio de caudales en febrero</v>
      </c>
      <c r="D31" s="158"/>
      <c r="E31" s="158"/>
      <c r="F31" s="158"/>
      <c r="G31" s="158"/>
      <c r="H31" s="32"/>
      <c r="I31" s="8"/>
      <c r="K31" s="619">
        <v>28</v>
      </c>
      <c r="L31" s="620">
        <v>28</v>
      </c>
      <c r="M31" s="621">
        <v>12.016285760000001</v>
      </c>
      <c r="N31" s="621">
        <v>29.3955713</v>
      </c>
      <c r="O31" s="621">
        <v>7.2334286140000001</v>
      </c>
    </row>
    <row r="32" spans="1:15" ht="11.25" customHeight="1">
      <c r="A32" s="158"/>
      <c r="B32" s="158"/>
      <c r="C32" s="158"/>
      <c r="D32" s="158"/>
      <c r="E32" s="158"/>
      <c r="F32" s="158"/>
      <c r="G32" s="158"/>
      <c r="H32" s="32"/>
      <c r="I32" s="8"/>
      <c r="L32" s="620">
        <v>29</v>
      </c>
      <c r="M32" s="621">
        <v>10.423571450000001</v>
      </c>
      <c r="N32" s="621">
        <v>32.468857079999999</v>
      </c>
      <c r="O32" s="621">
        <v>6.729428564</v>
      </c>
    </row>
    <row r="33" spans="1:15" ht="11.25" customHeight="1">
      <c r="A33" s="158"/>
      <c r="B33" s="158"/>
      <c r="C33" s="158"/>
      <c r="D33" s="158"/>
      <c r="E33" s="158"/>
      <c r="F33" s="158"/>
      <c r="G33" s="158"/>
      <c r="H33" s="32"/>
      <c r="I33" s="8"/>
      <c r="L33" s="620">
        <v>30</v>
      </c>
      <c r="M33" s="621">
        <v>10.043285640000001</v>
      </c>
      <c r="N33" s="621">
        <v>32.112285890000003</v>
      </c>
      <c r="O33" s="621">
        <v>5.6338571819999999</v>
      </c>
    </row>
    <row r="34" spans="1:15" ht="11.25" customHeight="1">
      <c r="A34" s="158"/>
      <c r="B34" s="158"/>
      <c r="C34" s="158"/>
      <c r="D34" s="158"/>
      <c r="E34" s="158"/>
      <c r="F34" s="158"/>
      <c r="G34" s="158"/>
      <c r="H34" s="32"/>
      <c r="I34" s="8"/>
      <c r="L34" s="620">
        <v>31</v>
      </c>
      <c r="M34" s="621">
        <v>10.086428642272944</v>
      </c>
      <c r="N34" s="621">
        <v>29.132714407784558</v>
      </c>
      <c r="O34" s="621">
        <v>5.181999887738904</v>
      </c>
    </row>
    <row r="35" spans="1:15" ht="11.25" customHeight="1">
      <c r="A35" s="898" t="s">
        <v>548</v>
      </c>
      <c r="B35" s="898"/>
      <c r="C35" s="898"/>
      <c r="D35" s="898"/>
      <c r="E35" s="898"/>
      <c r="F35" s="898"/>
      <c r="G35" s="898"/>
      <c r="H35" s="32"/>
      <c r="I35" s="8"/>
      <c r="K35" s="619">
        <v>32</v>
      </c>
      <c r="L35" s="620">
        <v>32</v>
      </c>
      <c r="M35" s="621">
        <v>12.08228561</v>
      </c>
      <c r="N35" s="621">
        <v>34.150143489999998</v>
      </c>
      <c r="O35" s="621">
        <v>4.8032856669999999</v>
      </c>
    </row>
    <row r="36" spans="1:15" ht="11.25" customHeight="1">
      <c r="A36" s="158"/>
      <c r="B36" s="158"/>
      <c r="C36" s="158"/>
      <c r="D36" s="158"/>
      <c r="E36" s="158"/>
      <c r="F36" s="158"/>
      <c r="G36" s="158"/>
      <c r="H36" s="32"/>
      <c r="I36" s="8"/>
      <c r="L36" s="620">
        <v>33</v>
      </c>
      <c r="M36" s="621">
        <v>11.874000004359614</v>
      </c>
      <c r="N36" s="621">
        <v>35.225571223667643</v>
      </c>
      <c r="O36" s="621">
        <v>4.3821428843906904</v>
      </c>
    </row>
    <row r="37" spans="1:15" ht="11.25" customHeight="1">
      <c r="A37" s="157"/>
      <c r="B37" s="159"/>
      <c r="C37" s="159"/>
      <c r="D37" s="159"/>
      <c r="E37" s="159"/>
      <c r="F37" s="159"/>
      <c r="G37" s="159"/>
      <c r="H37" s="33"/>
      <c r="I37" s="8"/>
      <c r="L37" s="620">
        <v>34</v>
      </c>
      <c r="M37" s="621">
        <v>10.842857090000001</v>
      </c>
      <c r="N37" s="621">
        <v>35.168570930000001</v>
      </c>
      <c r="O37" s="621">
        <v>13.837000059999999</v>
      </c>
    </row>
    <row r="38" spans="1:15" ht="11.25" customHeight="1">
      <c r="A38" s="92"/>
      <c r="B38" s="91"/>
      <c r="C38" s="91"/>
      <c r="D38" s="91"/>
      <c r="E38" s="91"/>
      <c r="F38" s="91"/>
      <c r="G38" s="91"/>
      <c r="H38" s="5"/>
      <c r="I38" s="8"/>
      <c r="L38" s="620">
        <v>35</v>
      </c>
      <c r="M38" s="621">
        <v>10.48142842</v>
      </c>
      <c r="N38" s="621">
        <v>37.824428560000001</v>
      </c>
      <c r="O38" s="621">
        <v>3.922857182</v>
      </c>
    </row>
    <row r="39" spans="1:15" ht="11.25" customHeight="1">
      <c r="A39" s="92"/>
      <c r="B39" s="91"/>
      <c r="C39" s="91"/>
      <c r="D39" s="91"/>
      <c r="E39" s="91"/>
      <c r="F39" s="91"/>
      <c r="G39" s="91"/>
      <c r="H39" s="5"/>
      <c r="I39" s="13"/>
      <c r="K39" s="619">
        <v>36</v>
      </c>
      <c r="L39" s="620">
        <v>36</v>
      </c>
      <c r="M39" s="621">
        <v>11.85</v>
      </c>
      <c r="N39" s="621">
        <v>39.78</v>
      </c>
      <c r="O39" s="621">
        <v>4.9800000000000004</v>
      </c>
    </row>
    <row r="40" spans="1:15" ht="11.25" customHeight="1">
      <c r="A40" s="92"/>
      <c r="B40" s="91"/>
      <c r="C40" s="91"/>
      <c r="D40" s="91"/>
      <c r="E40" s="91"/>
      <c r="F40" s="91"/>
      <c r="G40" s="91"/>
      <c r="H40" s="5"/>
      <c r="I40" s="13"/>
      <c r="L40" s="620">
        <v>37</v>
      </c>
      <c r="M40" s="621">
        <v>12.08</v>
      </c>
      <c r="N40" s="621">
        <v>44.25</v>
      </c>
      <c r="O40" s="621">
        <v>4.92</v>
      </c>
    </row>
    <row r="41" spans="1:15" ht="11.25" customHeight="1">
      <c r="A41" s="92"/>
      <c r="B41" s="91"/>
      <c r="C41" s="91"/>
      <c r="D41" s="91"/>
      <c r="E41" s="91"/>
      <c r="F41" s="91"/>
      <c r="G41" s="91"/>
      <c r="H41" s="5"/>
      <c r="I41" s="9"/>
      <c r="L41" s="620">
        <v>38</v>
      </c>
      <c r="M41" s="621">
        <v>11.88371427</v>
      </c>
      <c r="N41" s="621">
        <v>41.311858039999997</v>
      </c>
      <c r="O41" s="621">
        <v>4.6447142870000002</v>
      </c>
    </row>
    <row r="42" spans="1:15" ht="11.25" customHeight="1">
      <c r="A42" s="92"/>
      <c r="B42" s="91"/>
      <c r="C42" s="91"/>
      <c r="D42" s="91"/>
      <c r="E42" s="91"/>
      <c r="F42" s="91"/>
      <c r="G42" s="91"/>
      <c r="H42" s="5"/>
      <c r="I42" s="9"/>
      <c r="K42" s="619">
        <v>39</v>
      </c>
      <c r="L42" s="620">
        <v>39</v>
      </c>
      <c r="M42" s="621">
        <v>13.06</v>
      </c>
      <c r="N42" s="621">
        <v>41.13</v>
      </c>
      <c r="O42" s="621">
        <v>4.2699999999999996</v>
      </c>
    </row>
    <row r="43" spans="1:15" ht="11.25" customHeight="1">
      <c r="A43" s="92"/>
      <c r="B43" s="91"/>
      <c r="C43" s="91"/>
      <c r="D43" s="91"/>
      <c r="E43" s="91"/>
      <c r="F43" s="91"/>
      <c r="G43" s="91"/>
      <c r="H43" s="5"/>
      <c r="I43" s="9"/>
      <c r="L43" s="620">
        <v>40</v>
      </c>
      <c r="M43" s="621">
        <v>15.945571764285715</v>
      </c>
      <c r="N43" s="621">
        <v>46.466000694285704</v>
      </c>
      <c r="O43" s="621">
        <v>5.3634285927142864</v>
      </c>
    </row>
    <row r="44" spans="1:15" ht="11.25" customHeight="1">
      <c r="A44" s="92"/>
      <c r="B44" s="91"/>
      <c r="C44" s="91"/>
      <c r="D44" s="91"/>
      <c r="E44" s="91"/>
      <c r="F44" s="91"/>
      <c r="G44" s="91"/>
      <c r="H44" s="8"/>
      <c r="I44" s="13"/>
      <c r="L44" s="620">
        <v>41</v>
      </c>
      <c r="M44" s="621">
        <v>15.848856789725129</v>
      </c>
      <c r="N44" s="621">
        <v>37.273714882986837</v>
      </c>
      <c r="O44" s="621">
        <v>6.9682856968470812</v>
      </c>
    </row>
    <row r="45" spans="1:15" ht="11.25" customHeight="1">
      <c r="A45" s="92"/>
      <c r="B45" s="91"/>
      <c r="C45" s="91"/>
      <c r="D45" s="91"/>
      <c r="E45" s="91"/>
      <c r="F45" s="91"/>
      <c r="G45" s="91"/>
      <c r="H45" s="5"/>
      <c r="I45" s="13"/>
      <c r="L45" s="620">
        <v>42</v>
      </c>
      <c r="M45" s="621">
        <v>15.549142972857144</v>
      </c>
      <c r="N45" s="621">
        <v>48.572000228571433</v>
      </c>
      <c r="O45" s="621">
        <v>11.100428648285714</v>
      </c>
    </row>
    <row r="46" spans="1:15" ht="11.25" customHeight="1">
      <c r="A46" s="92"/>
      <c r="B46" s="91"/>
      <c r="C46" s="91"/>
      <c r="D46" s="91"/>
      <c r="E46" s="91"/>
      <c r="F46" s="91"/>
      <c r="G46" s="91"/>
      <c r="H46" s="5"/>
      <c r="I46" s="13"/>
      <c r="K46" s="619">
        <v>43</v>
      </c>
      <c r="L46" s="620">
        <v>43</v>
      </c>
      <c r="M46" s="621">
        <v>13.17</v>
      </c>
      <c r="N46" s="621">
        <v>35.32</v>
      </c>
      <c r="O46" s="621">
        <v>6.01</v>
      </c>
    </row>
    <row r="47" spans="1:15" ht="11.25" customHeight="1">
      <c r="A47" s="92"/>
      <c r="B47" s="91"/>
      <c r="C47" s="91"/>
      <c r="D47" s="91"/>
      <c r="E47" s="91"/>
      <c r="F47" s="91"/>
      <c r="G47" s="91"/>
      <c r="H47" s="15"/>
      <c r="I47" s="15"/>
      <c r="L47" s="620">
        <v>44</v>
      </c>
      <c r="M47" s="621">
        <v>13.18</v>
      </c>
      <c r="N47" s="621">
        <v>36.83</v>
      </c>
      <c r="O47" s="621">
        <v>4.57</v>
      </c>
    </row>
    <row r="48" spans="1:15" ht="11.25" customHeight="1">
      <c r="A48" s="92"/>
      <c r="B48" s="91"/>
      <c r="C48" s="91"/>
      <c r="D48" s="91"/>
      <c r="E48" s="91"/>
      <c r="F48" s="91"/>
      <c r="G48" s="91"/>
      <c r="H48" s="14"/>
      <c r="I48" s="14"/>
      <c r="L48" s="620">
        <v>45</v>
      </c>
      <c r="M48" s="621">
        <v>13.49</v>
      </c>
      <c r="N48" s="621">
        <v>39.520000000000003</v>
      </c>
      <c r="O48" s="621">
        <v>4.83</v>
      </c>
    </row>
    <row r="49" spans="1:15" ht="11.25" customHeight="1">
      <c r="A49" s="92"/>
      <c r="B49" s="91"/>
      <c r="C49" s="91"/>
      <c r="D49" s="91"/>
      <c r="E49" s="91"/>
      <c r="F49" s="91"/>
      <c r="G49" s="91"/>
      <c r="H49" s="14"/>
      <c r="I49" s="14"/>
      <c r="L49" s="620">
        <v>46</v>
      </c>
      <c r="M49" s="621">
        <v>15.4</v>
      </c>
      <c r="N49" s="621">
        <v>53.38</v>
      </c>
      <c r="O49" s="621">
        <v>3.73</v>
      </c>
    </row>
    <row r="50" spans="1:15" ht="11.25" customHeight="1">
      <c r="A50" s="92"/>
      <c r="B50" s="91"/>
      <c r="C50" s="91"/>
      <c r="D50" s="91"/>
      <c r="E50" s="91"/>
      <c r="F50" s="91"/>
      <c r="G50" s="91"/>
      <c r="H50" s="14"/>
      <c r="I50" s="14"/>
      <c r="L50" s="620">
        <v>47</v>
      </c>
      <c r="M50" s="621">
        <v>16.408999999999999</v>
      </c>
      <c r="N50" s="621">
        <v>61.853000000000002</v>
      </c>
      <c r="O50" s="621">
        <v>2.5211429999999999</v>
      </c>
    </row>
    <row r="51" spans="1:15" ht="11.25" customHeight="1">
      <c r="A51" s="92"/>
      <c r="B51" s="91"/>
      <c r="C51" s="91"/>
      <c r="D51" s="91"/>
      <c r="E51" s="91"/>
      <c r="F51" s="91"/>
      <c r="G51" s="91"/>
      <c r="H51" s="14"/>
      <c r="I51" s="14"/>
      <c r="K51" s="619">
        <v>48</v>
      </c>
      <c r="L51" s="620">
        <v>48</v>
      </c>
      <c r="M51" s="621">
        <v>16.328857422857144</v>
      </c>
      <c r="N51" s="621">
        <v>65.330427987142869</v>
      </c>
      <c r="O51" s="621">
        <v>3.571428503285714</v>
      </c>
    </row>
    <row r="52" spans="1:15" ht="11.25" customHeight="1">
      <c r="A52" s="92"/>
      <c r="B52" s="91"/>
      <c r="C52" s="91"/>
      <c r="D52" s="91"/>
      <c r="E52" s="91"/>
      <c r="F52" s="91"/>
      <c r="G52" s="91"/>
      <c r="H52" s="14"/>
      <c r="I52" s="14"/>
      <c r="L52" s="620">
        <v>49</v>
      </c>
      <c r="M52" s="621">
        <v>20.236285890000001</v>
      </c>
      <c r="N52" s="621">
        <v>66.680000000000007</v>
      </c>
      <c r="O52" s="621">
        <v>6.1</v>
      </c>
    </row>
    <row r="53" spans="1:15" ht="11.25" customHeight="1">
      <c r="A53" s="92"/>
      <c r="B53" s="91"/>
      <c r="C53" s="91"/>
      <c r="D53" s="91"/>
      <c r="E53" s="91"/>
      <c r="F53" s="91"/>
      <c r="G53" s="91"/>
      <c r="H53" s="14"/>
      <c r="I53" s="14"/>
      <c r="L53" s="620">
        <v>50</v>
      </c>
      <c r="M53" s="621">
        <v>19.809999999999999</v>
      </c>
      <c r="N53" s="621">
        <v>61.31</v>
      </c>
      <c r="O53" s="621">
        <v>6.69</v>
      </c>
    </row>
    <row r="54" spans="1:15" ht="11.25" customHeight="1">
      <c r="A54" s="92"/>
      <c r="B54" s="91"/>
      <c r="C54" s="91"/>
      <c r="D54" s="91"/>
      <c r="E54" s="91"/>
      <c r="F54" s="91"/>
      <c r="G54" s="91"/>
      <c r="H54" s="14"/>
      <c r="I54" s="14"/>
      <c r="L54" s="620">
        <v>51</v>
      </c>
      <c r="M54" s="621">
        <v>21.91</v>
      </c>
      <c r="N54" s="621">
        <v>70.790000000000006</v>
      </c>
      <c r="O54" s="621">
        <v>13.15</v>
      </c>
    </row>
    <row r="55" spans="1:15" ht="12.75">
      <c r="A55" s="92"/>
      <c r="B55" s="91"/>
      <c r="C55" s="91"/>
      <c r="D55" s="91"/>
      <c r="E55" s="91"/>
      <c r="F55" s="91"/>
      <c r="G55" s="91"/>
      <c r="H55" s="14"/>
      <c r="I55" s="14"/>
      <c r="K55" s="619">
        <v>52</v>
      </c>
      <c r="L55" s="620">
        <v>52</v>
      </c>
      <c r="M55" s="621">
        <v>22</v>
      </c>
      <c r="N55" s="621">
        <v>77.434859137142865</v>
      </c>
      <c r="O55" s="621">
        <v>17.75700037857143</v>
      </c>
    </row>
    <row r="56" spans="1:15" ht="12.75">
      <c r="A56" s="92"/>
      <c r="B56" s="91"/>
      <c r="C56" s="91"/>
      <c r="D56" s="91"/>
      <c r="E56" s="91"/>
      <c r="F56" s="91"/>
      <c r="G56" s="91"/>
      <c r="H56" s="14"/>
      <c r="I56" s="14"/>
      <c r="J56" s="574">
        <v>2017</v>
      </c>
      <c r="K56" s="619">
        <v>1</v>
      </c>
      <c r="L56" s="620">
        <v>1</v>
      </c>
      <c r="M56" s="621">
        <v>41.55</v>
      </c>
      <c r="N56" s="621">
        <v>103.58</v>
      </c>
      <c r="O56" s="621">
        <v>29.67</v>
      </c>
    </row>
    <row r="57" spans="1:15" ht="12.75">
      <c r="A57" s="92"/>
      <c r="B57" s="91"/>
      <c r="C57" s="91"/>
      <c r="D57" s="91"/>
      <c r="E57" s="91"/>
      <c r="F57" s="91"/>
      <c r="G57" s="91"/>
      <c r="H57" s="14"/>
      <c r="I57" s="14"/>
      <c r="L57" s="620">
        <v>2</v>
      </c>
      <c r="M57" s="621">
        <v>39.6</v>
      </c>
      <c r="N57" s="621">
        <v>105.01</v>
      </c>
      <c r="O57" s="621">
        <v>51.2</v>
      </c>
    </row>
    <row r="58" spans="1:15" ht="12.75">
      <c r="A58" s="92"/>
      <c r="B58" s="91"/>
      <c r="C58" s="91"/>
      <c r="D58" s="91"/>
      <c r="E58" s="91"/>
      <c r="F58" s="91"/>
      <c r="G58" s="91"/>
      <c r="H58" s="14"/>
      <c r="I58" s="14"/>
      <c r="L58" s="620">
        <v>3</v>
      </c>
      <c r="M58" s="621">
        <v>73.650000000000006</v>
      </c>
      <c r="N58" s="621">
        <v>137.41</v>
      </c>
      <c r="O58" s="621">
        <v>43.26</v>
      </c>
    </row>
    <row r="59" spans="1:15" ht="12.75">
      <c r="A59" s="92"/>
      <c r="B59" s="91"/>
      <c r="C59" s="91"/>
      <c r="D59" s="91"/>
      <c r="E59" s="91"/>
      <c r="F59" s="91"/>
      <c r="G59" s="91"/>
      <c r="H59" s="14"/>
      <c r="I59" s="14"/>
      <c r="K59" s="619">
        <v>4</v>
      </c>
      <c r="L59" s="620">
        <v>4</v>
      </c>
      <c r="M59" s="621">
        <v>65.03</v>
      </c>
      <c r="N59" s="621">
        <v>127.83</v>
      </c>
      <c r="O59" s="621">
        <v>32.72</v>
      </c>
    </row>
    <row r="60" spans="1:15" ht="12.75">
      <c r="A60" s="92"/>
      <c r="B60" s="91"/>
      <c r="C60" s="91"/>
      <c r="D60" s="91"/>
      <c r="E60" s="91"/>
      <c r="F60" s="91"/>
      <c r="G60" s="91"/>
      <c r="H60" s="14"/>
      <c r="I60" s="14"/>
      <c r="L60" s="620">
        <v>5</v>
      </c>
      <c r="M60" s="621">
        <v>56.95</v>
      </c>
      <c r="N60" s="621">
        <v>97.31</v>
      </c>
      <c r="O60" s="621">
        <v>48.46</v>
      </c>
    </row>
    <row r="61" spans="1:15" ht="12.75">
      <c r="A61" s="454" t="s">
        <v>304</v>
      </c>
      <c r="B61" s="91"/>
      <c r="C61" s="91"/>
      <c r="D61" s="91"/>
      <c r="E61" s="91"/>
      <c r="F61" s="91"/>
      <c r="G61" s="91"/>
      <c r="H61" s="14"/>
      <c r="I61" s="14"/>
      <c r="L61" s="620">
        <v>6</v>
      </c>
      <c r="M61" s="621">
        <v>61.87</v>
      </c>
      <c r="N61" s="621">
        <v>123.44</v>
      </c>
      <c r="O61" s="621">
        <v>72.52</v>
      </c>
    </row>
    <row r="62" spans="1:15">
      <c r="L62" s="620">
        <v>7</v>
      </c>
      <c r="M62" s="621">
        <v>77.569999999999993</v>
      </c>
      <c r="N62" s="621">
        <v>145.02000000000001</v>
      </c>
      <c r="O62" s="621">
        <v>59.16</v>
      </c>
    </row>
    <row r="63" spans="1:15">
      <c r="K63" s="619">
        <v>8</v>
      </c>
      <c r="L63" s="620">
        <v>8</v>
      </c>
      <c r="M63" s="621">
        <v>86.94</v>
      </c>
      <c r="N63" s="621">
        <v>175.03</v>
      </c>
      <c r="O63" s="621">
        <v>24.36</v>
      </c>
    </row>
    <row r="64" spans="1:15">
      <c r="L64" s="620">
        <v>9</v>
      </c>
      <c r="M64" s="621">
        <v>85.13</v>
      </c>
      <c r="N64" s="621">
        <v>206.14</v>
      </c>
      <c r="O64" s="621">
        <v>39.07</v>
      </c>
    </row>
    <row r="65" spans="11:15">
      <c r="L65" s="620">
        <v>10</v>
      </c>
      <c r="M65" s="621">
        <v>84.78</v>
      </c>
      <c r="N65" s="621">
        <v>270.17</v>
      </c>
      <c r="O65" s="621">
        <v>109.16</v>
      </c>
    </row>
    <row r="66" spans="11:15">
      <c r="L66" s="620">
        <v>11</v>
      </c>
      <c r="M66" s="621">
        <v>84.78</v>
      </c>
      <c r="N66" s="621">
        <v>376.42</v>
      </c>
      <c r="O66" s="621">
        <v>188.18</v>
      </c>
    </row>
    <row r="67" spans="11:15">
      <c r="K67" s="619">
        <v>12</v>
      </c>
      <c r="L67" s="620">
        <v>12</v>
      </c>
      <c r="M67" s="621">
        <v>106.16</v>
      </c>
      <c r="N67" s="621">
        <v>351.57</v>
      </c>
      <c r="O67" s="621">
        <v>159.6</v>
      </c>
    </row>
    <row r="68" spans="11:15">
      <c r="L68" s="620">
        <v>13</v>
      </c>
      <c r="M68" s="621">
        <v>101.71</v>
      </c>
      <c r="N68" s="621">
        <v>384.37</v>
      </c>
      <c r="O68" s="621">
        <v>161.77000000000001</v>
      </c>
    </row>
    <row r="69" spans="11:15">
      <c r="L69" s="620">
        <v>14</v>
      </c>
      <c r="M69" s="621">
        <v>83.1</v>
      </c>
      <c r="N69" s="621">
        <v>337.84</v>
      </c>
      <c r="O69" s="621">
        <v>115.43</v>
      </c>
    </row>
    <row r="70" spans="11:15">
      <c r="L70" s="620">
        <v>15</v>
      </c>
      <c r="M70" s="621">
        <v>61.23</v>
      </c>
      <c r="N70" s="621">
        <v>282.32</v>
      </c>
      <c r="O70" s="621">
        <v>98.92</v>
      </c>
    </row>
    <row r="71" spans="11:15">
      <c r="K71" s="619">
        <v>16</v>
      </c>
      <c r="L71" s="620">
        <v>16</v>
      </c>
      <c r="M71" s="621">
        <v>49.8</v>
      </c>
      <c r="N71" s="621">
        <v>191.65</v>
      </c>
      <c r="O71" s="621">
        <v>82.48</v>
      </c>
    </row>
    <row r="72" spans="11:15">
      <c r="L72" s="620">
        <v>17</v>
      </c>
      <c r="M72" s="621">
        <v>40.21</v>
      </c>
      <c r="N72" s="621">
        <v>160.35</v>
      </c>
      <c r="O72" s="621">
        <v>77.02</v>
      </c>
    </row>
    <row r="73" spans="11:15">
      <c r="L73" s="620">
        <v>18</v>
      </c>
      <c r="M73" s="621">
        <v>43.46</v>
      </c>
      <c r="N73" s="621">
        <v>136.65</v>
      </c>
      <c r="O73" s="621">
        <v>62.63</v>
      </c>
    </row>
    <row r="74" spans="11:15">
      <c r="L74" s="620">
        <v>19</v>
      </c>
      <c r="M74" s="621">
        <v>35.65</v>
      </c>
      <c r="N74" s="621">
        <v>135.97</v>
      </c>
      <c r="O74" s="621">
        <v>93.03</v>
      </c>
    </row>
    <row r="75" spans="11:15">
      <c r="K75" s="619">
        <v>20</v>
      </c>
      <c r="L75" s="620">
        <v>20</v>
      </c>
      <c r="M75" s="621">
        <v>26.22</v>
      </c>
      <c r="N75" s="621">
        <v>135.66</v>
      </c>
      <c r="O75" s="621">
        <v>72.349999999999994</v>
      </c>
    </row>
    <row r="76" spans="11:15">
      <c r="L76" s="620">
        <v>21</v>
      </c>
      <c r="M76" s="621">
        <v>27.95</v>
      </c>
      <c r="N76" s="621">
        <v>113.82</v>
      </c>
      <c r="O76" s="621">
        <v>90.75</v>
      </c>
    </row>
    <row r="77" spans="11:15">
      <c r="L77" s="620">
        <v>22</v>
      </c>
      <c r="M77" s="621">
        <v>32.409999999999997</v>
      </c>
      <c r="N77" s="621">
        <v>64.03</v>
      </c>
      <c r="O77" s="621">
        <v>53.02</v>
      </c>
    </row>
    <row r="78" spans="11:15">
      <c r="L78" s="620">
        <v>23</v>
      </c>
      <c r="M78" s="621">
        <v>28.93</v>
      </c>
      <c r="N78" s="621">
        <v>53.15</v>
      </c>
      <c r="O78" s="621">
        <v>32.43</v>
      </c>
    </row>
    <row r="79" spans="11:15">
      <c r="K79" s="619">
        <v>24</v>
      </c>
      <c r="L79" s="620">
        <v>24</v>
      </c>
      <c r="M79" s="621">
        <v>26.59</v>
      </c>
      <c r="N79" s="621">
        <v>45.98</v>
      </c>
      <c r="O79" s="621">
        <v>27.75</v>
      </c>
    </row>
    <row r="80" spans="11:15">
      <c r="L80" s="620">
        <v>25</v>
      </c>
      <c r="M80" s="621">
        <v>23.61</v>
      </c>
      <c r="N80" s="621">
        <v>38.68</v>
      </c>
      <c r="O80" s="621">
        <v>24.81</v>
      </c>
    </row>
    <row r="81" spans="11:15">
      <c r="L81" s="620">
        <v>26</v>
      </c>
      <c r="M81" s="621">
        <v>24.94</v>
      </c>
      <c r="N81" s="621">
        <v>34.68</v>
      </c>
      <c r="O81" s="621">
        <v>21.81</v>
      </c>
    </row>
    <row r="82" spans="11:15">
      <c r="L82" s="620">
        <v>27</v>
      </c>
      <c r="M82" s="621">
        <v>25.54</v>
      </c>
      <c r="N82" s="621">
        <v>31.72</v>
      </c>
      <c r="O82" s="621">
        <v>18.649999999999999</v>
      </c>
    </row>
    <row r="83" spans="11:15">
      <c r="K83" s="619">
        <v>28</v>
      </c>
      <c r="L83" s="620">
        <v>28</v>
      </c>
      <c r="M83" s="621">
        <v>23.56</v>
      </c>
      <c r="N83" s="621">
        <v>29.25</v>
      </c>
      <c r="O83" s="621">
        <v>14.27</v>
      </c>
    </row>
    <row r="84" spans="11:15">
      <c r="L84" s="620">
        <v>29</v>
      </c>
      <c r="M84" s="621">
        <v>22.4</v>
      </c>
      <c r="N84" s="621">
        <v>29.53</v>
      </c>
      <c r="O84" s="621">
        <v>11.51</v>
      </c>
    </row>
    <row r="85" spans="11:15">
      <c r="L85" s="620">
        <v>30</v>
      </c>
      <c r="M85" s="621">
        <v>21.29</v>
      </c>
      <c r="N85" s="621">
        <v>27.62</v>
      </c>
      <c r="O85" s="621">
        <v>9.7200000000000006</v>
      </c>
    </row>
    <row r="86" spans="11:15">
      <c r="L86" s="620">
        <v>31</v>
      </c>
      <c r="M86" s="621">
        <v>19.34</v>
      </c>
      <c r="N86" s="621">
        <v>27.99</v>
      </c>
      <c r="O86" s="621">
        <v>8.09</v>
      </c>
    </row>
    <row r="87" spans="11:15">
      <c r="K87" s="619">
        <v>32</v>
      </c>
      <c r="L87" s="620">
        <v>32</v>
      </c>
      <c r="M87" s="621">
        <v>19.649999999999999</v>
      </c>
      <c r="N87" s="621">
        <v>31.42</v>
      </c>
      <c r="O87" s="621">
        <v>7.62</v>
      </c>
    </row>
    <row r="88" spans="11:15">
      <c r="L88" s="620">
        <v>33</v>
      </c>
      <c r="M88" s="621">
        <v>18.420000000000002</v>
      </c>
      <c r="N88" s="621">
        <v>29.71</v>
      </c>
      <c r="O88" s="621">
        <v>9.5500000000000007</v>
      </c>
    </row>
    <row r="89" spans="11:15">
      <c r="L89" s="620">
        <v>34</v>
      </c>
      <c r="M89" s="621">
        <v>17.170000000000002</v>
      </c>
      <c r="N89" s="621">
        <v>30.51</v>
      </c>
      <c r="O89" s="621">
        <v>10.75</v>
      </c>
    </row>
    <row r="90" spans="11:15">
      <c r="L90" s="620">
        <v>35</v>
      </c>
      <c r="M90" s="621">
        <v>17.47</v>
      </c>
      <c r="N90" s="621">
        <v>27.5</v>
      </c>
      <c r="O90" s="621">
        <v>8.31</v>
      </c>
    </row>
    <row r="91" spans="11:15">
      <c r="K91" s="619">
        <v>36</v>
      </c>
      <c r="L91" s="620">
        <v>36</v>
      </c>
      <c r="M91" s="621">
        <v>13.42</v>
      </c>
      <c r="N91" s="621">
        <v>26.21</v>
      </c>
      <c r="O91" s="621">
        <v>6.53</v>
      </c>
    </row>
    <row r="92" spans="11:15">
      <c r="L92" s="620">
        <v>37</v>
      </c>
      <c r="M92" s="621">
        <v>11.2</v>
      </c>
      <c r="N92" s="621">
        <v>29.98</v>
      </c>
      <c r="O92" s="621">
        <v>9.7799999999999994</v>
      </c>
    </row>
    <row r="93" spans="11:15">
      <c r="L93" s="620">
        <v>38</v>
      </c>
      <c r="M93" s="621">
        <v>11</v>
      </c>
      <c r="N93" s="621">
        <v>34.369999999999997</v>
      </c>
      <c r="O93" s="621">
        <v>7.47</v>
      </c>
    </row>
    <row r="94" spans="11:15">
      <c r="K94" s="619">
        <v>39</v>
      </c>
      <c r="L94" s="620">
        <v>39</v>
      </c>
      <c r="M94" s="621">
        <v>11.14</v>
      </c>
      <c r="N94" s="621">
        <v>42.17</v>
      </c>
      <c r="O94" s="621">
        <v>7.49</v>
      </c>
    </row>
    <row r="95" spans="11:15">
      <c r="L95" s="620">
        <v>40</v>
      </c>
      <c r="M95" s="621">
        <v>12.8</v>
      </c>
      <c r="N95" s="621">
        <v>37.270000000000003</v>
      </c>
      <c r="O95" s="621">
        <v>15.47</v>
      </c>
    </row>
    <row r="96" spans="11:15">
      <c r="L96" s="620">
        <v>41</v>
      </c>
      <c r="M96" s="621">
        <v>14.41</v>
      </c>
      <c r="N96" s="621">
        <v>40.04</v>
      </c>
      <c r="O96" s="621">
        <v>18</v>
      </c>
    </row>
    <row r="97" spans="10:15">
      <c r="L97" s="620">
        <v>42</v>
      </c>
      <c r="M97" s="621">
        <v>15.87</v>
      </c>
      <c r="N97" s="621">
        <v>35.79</v>
      </c>
      <c r="O97" s="621">
        <v>12.74</v>
      </c>
    </row>
    <row r="98" spans="10:15">
      <c r="K98" s="619">
        <v>43</v>
      </c>
      <c r="L98" s="620">
        <v>43</v>
      </c>
      <c r="M98" s="621">
        <v>19.61</v>
      </c>
      <c r="N98" s="621">
        <v>50.36</v>
      </c>
      <c r="O98" s="621">
        <v>30.75</v>
      </c>
    </row>
    <row r="99" spans="10:15">
      <c r="L99" s="620">
        <v>44</v>
      </c>
      <c r="M99" s="621">
        <v>21.85</v>
      </c>
      <c r="N99" s="621">
        <v>54.94</v>
      </c>
      <c r="O99" s="621">
        <v>23.58</v>
      </c>
    </row>
    <row r="100" spans="10:15">
      <c r="L100" s="620">
        <v>45</v>
      </c>
      <c r="M100" s="621">
        <v>16.79</v>
      </c>
      <c r="N100" s="621">
        <v>41.16</v>
      </c>
      <c r="O100" s="621">
        <v>11.77</v>
      </c>
    </row>
    <row r="101" spans="10:15">
      <c r="L101" s="620">
        <v>46</v>
      </c>
      <c r="M101" s="621">
        <v>16.010000000000002</v>
      </c>
      <c r="N101" s="621">
        <v>42.65</v>
      </c>
      <c r="O101" s="621">
        <v>9.33</v>
      </c>
    </row>
    <row r="102" spans="10:15">
      <c r="L102" s="620">
        <v>47</v>
      </c>
      <c r="M102" s="621">
        <v>14.72</v>
      </c>
      <c r="N102" s="621">
        <v>39.76</v>
      </c>
      <c r="O102" s="621">
        <v>8.19</v>
      </c>
    </row>
    <row r="103" spans="10:15">
      <c r="K103" s="619">
        <v>48</v>
      </c>
      <c r="L103" s="620">
        <v>48</v>
      </c>
      <c r="M103" s="621">
        <v>18.932000297142856</v>
      </c>
      <c r="N103" s="621">
        <v>47.388000487142854</v>
      </c>
      <c r="O103" s="621">
        <v>19.661285946</v>
      </c>
    </row>
    <row r="104" spans="10:15">
      <c r="L104" s="620">
        <v>49</v>
      </c>
      <c r="M104" s="621">
        <v>28.48371397</v>
      </c>
      <c r="N104" s="621">
        <v>78.087428497142852</v>
      </c>
      <c r="O104" s="621">
        <v>19.181428364285715</v>
      </c>
    </row>
    <row r="105" spans="10:15">
      <c r="L105" s="620">
        <v>50</v>
      </c>
      <c r="M105" s="621">
        <v>32.583286012857144</v>
      </c>
      <c r="N105" s="621">
        <v>69.764142717142846</v>
      </c>
      <c r="O105" s="621">
        <v>23.7245715</v>
      </c>
    </row>
    <row r="106" spans="10:15">
      <c r="L106" s="620">
        <v>51</v>
      </c>
      <c r="M106" s="621">
        <v>34.501856668571428</v>
      </c>
      <c r="N106" s="621">
        <v>71.14499991142857</v>
      </c>
      <c r="O106" s="621">
        <v>26.158142907142857</v>
      </c>
    </row>
    <row r="107" spans="10:15">
      <c r="K107" s="619">
        <v>52</v>
      </c>
      <c r="L107" s="620">
        <v>52</v>
      </c>
      <c r="M107" s="621">
        <v>27.781857355714287</v>
      </c>
      <c r="N107" s="621">
        <v>83.196000228571435</v>
      </c>
      <c r="O107" s="621">
        <v>21.776999882857144</v>
      </c>
    </row>
    <row r="108" spans="10:15">
      <c r="J108" s="574">
        <v>2018</v>
      </c>
      <c r="K108" s="619">
        <v>1</v>
      </c>
      <c r="L108" s="620">
        <v>1</v>
      </c>
      <c r="M108" s="621">
        <v>29.44</v>
      </c>
      <c r="N108" s="621">
        <v>69.087142857142865</v>
      </c>
      <c r="O108" s="621">
        <v>15.747142857142856</v>
      </c>
    </row>
    <row r="109" spans="10:15">
      <c r="L109" s="620">
        <v>2</v>
      </c>
      <c r="M109" s="621">
        <v>42.880857194285717</v>
      </c>
      <c r="N109" s="621">
        <v>96.785858138571413</v>
      </c>
      <c r="O109" s="621">
        <v>37.6</v>
      </c>
    </row>
    <row r="110" spans="10:15">
      <c r="L110" s="620">
        <v>3</v>
      </c>
      <c r="M110" s="621">
        <v>74.002572194285705</v>
      </c>
      <c r="N110" s="621">
        <v>158.17728531428571</v>
      </c>
      <c r="O110" s="621">
        <v>101.26128550142856</v>
      </c>
    </row>
    <row r="111" spans="10:15">
      <c r="K111" s="619">
        <v>4</v>
      </c>
      <c r="L111" s="620">
        <v>4</v>
      </c>
      <c r="M111" s="621">
        <v>77.812570845714291</v>
      </c>
      <c r="N111" s="621">
        <v>167.02357267142858</v>
      </c>
      <c r="O111" s="621">
        <v>77.354000085714276</v>
      </c>
    </row>
    <row r="112" spans="10:15">
      <c r="L112" s="620">
        <v>5</v>
      </c>
      <c r="M112" s="621">
        <v>61.531714848571433</v>
      </c>
      <c r="N112" s="621">
        <v>113.19585745142855</v>
      </c>
      <c r="O112" s="621">
        <v>30.667142595714285</v>
      </c>
    </row>
    <row r="113" spans="11:15">
      <c r="L113" s="620">
        <v>6</v>
      </c>
      <c r="M113" s="621">
        <v>54.024142672857138</v>
      </c>
      <c r="N113" s="621">
        <v>88.535714287142852</v>
      </c>
      <c r="O113" s="621">
        <v>32.444142750000005</v>
      </c>
    </row>
    <row r="114" spans="11:15">
      <c r="L114" s="620">
        <v>7</v>
      </c>
      <c r="M114" s="621">
        <v>59.271427155714285</v>
      </c>
      <c r="N114" s="621">
        <v>99.37822619047617</v>
      </c>
      <c r="O114" s="621">
        <v>30.338148809523812</v>
      </c>
    </row>
    <row r="115" spans="11:15">
      <c r="K115" s="619">
        <v>8</v>
      </c>
      <c r="L115" s="620">
        <v>8</v>
      </c>
      <c r="M115" s="621">
        <v>78.025571005714284</v>
      </c>
      <c r="N115" s="621">
        <v>140.28</v>
      </c>
      <c r="O115" s="621">
        <v>62.97</v>
      </c>
    </row>
    <row r="116" spans="11:15">
      <c r="L116" s="620">
        <v>9</v>
      </c>
      <c r="M116" s="621">
        <v>61.11871501571428</v>
      </c>
      <c r="N116" s="621">
        <v>102.99642836285715</v>
      </c>
      <c r="O116" s="621">
        <v>31.244571685714288</v>
      </c>
    </row>
  </sheetData>
  <mergeCells count="2">
    <mergeCell ref="A3:G3"/>
    <mergeCell ref="A35:G35"/>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19"/>
  <sheetViews>
    <sheetView showGridLines="0" view="pageBreakPreview" zoomScale="130" zoomScaleNormal="100" zoomScaleSheetLayoutView="130" zoomScalePageLayoutView="130" workbookViewId="0">
      <selection activeCell="K12" sqref="K12"/>
    </sheetView>
  </sheetViews>
  <sheetFormatPr defaultRowHeight="11.25"/>
  <cols>
    <col min="1" max="9" width="9.33203125" style="3"/>
    <col min="10" max="11" width="9.33203125" style="3" customWidth="1"/>
    <col min="12" max="13" width="9.33203125" style="3"/>
    <col min="14" max="30" width="9.33203125" style="619"/>
    <col min="31" max="32" width="9.33203125" style="574"/>
    <col min="33" max="16384" width="9.33203125" style="3"/>
  </cols>
  <sheetData>
    <row r="1" spans="1:25" ht="11.25" customHeight="1">
      <c r="A1" s="160"/>
      <c r="B1" s="160"/>
      <c r="C1" s="160"/>
      <c r="D1" s="160"/>
      <c r="E1" s="160"/>
      <c r="F1" s="160"/>
      <c r="G1" s="160"/>
      <c r="H1" s="160"/>
      <c r="I1" s="160"/>
      <c r="J1" s="160"/>
      <c r="K1" s="160"/>
      <c r="L1" s="160"/>
    </row>
    <row r="2" spans="1:25" ht="11.25" customHeight="1">
      <c r="A2" s="622"/>
      <c r="B2" s="623"/>
      <c r="C2" s="623"/>
      <c r="D2" s="623"/>
      <c r="E2" s="623"/>
      <c r="F2" s="623"/>
      <c r="G2" s="238"/>
      <c r="H2" s="238"/>
      <c r="I2" s="203"/>
      <c r="J2" s="160"/>
      <c r="K2" s="160"/>
      <c r="L2" s="160"/>
    </row>
    <row r="3" spans="1:25" ht="11.25" customHeight="1">
      <c r="A3" s="203"/>
      <c r="B3" s="203"/>
      <c r="C3" s="203"/>
      <c r="D3" s="203"/>
      <c r="E3" s="203"/>
      <c r="F3" s="203"/>
      <c r="G3" s="159"/>
      <c r="H3" s="159"/>
      <c r="I3" s="159"/>
      <c r="J3" s="178"/>
      <c r="K3" s="178"/>
      <c r="L3" s="178"/>
      <c r="O3" s="619" t="s">
        <v>321</v>
      </c>
      <c r="P3" s="620"/>
      <c r="Q3" s="619" t="s">
        <v>325</v>
      </c>
      <c r="R3" s="619" t="s">
        <v>326</v>
      </c>
      <c r="S3" s="619" t="s">
        <v>327</v>
      </c>
      <c r="T3" s="619" t="s">
        <v>328</v>
      </c>
      <c r="U3" s="619" t="s">
        <v>329</v>
      </c>
      <c r="V3" s="619" t="s">
        <v>330</v>
      </c>
      <c r="W3" s="619" t="s">
        <v>331</v>
      </c>
      <c r="X3" s="619" t="s">
        <v>332</v>
      </c>
      <c r="Y3" s="619" t="s">
        <v>333</v>
      </c>
    </row>
    <row r="4" spans="1:25" ht="11.25" customHeight="1">
      <c r="A4" s="203"/>
      <c r="B4" s="203"/>
      <c r="C4" s="203"/>
      <c r="D4" s="203"/>
      <c r="E4" s="203"/>
      <c r="F4" s="203"/>
      <c r="G4" s="159"/>
      <c r="H4" s="159"/>
      <c r="I4" s="159"/>
      <c r="J4" s="178"/>
      <c r="K4" s="178"/>
      <c r="L4" s="178"/>
      <c r="N4" s="619">
        <v>2016</v>
      </c>
      <c r="O4" s="619">
        <v>1</v>
      </c>
      <c r="P4" s="620">
        <v>1</v>
      </c>
      <c r="Q4" s="621">
        <v>12.12</v>
      </c>
      <c r="R4" s="621">
        <v>8.33</v>
      </c>
      <c r="S4" s="621">
        <v>165.03200000000001</v>
      </c>
      <c r="T4" s="621">
        <v>95.83</v>
      </c>
      <c r="U4" s="621">
        <v>18.5</v>
      </c>
      <c r="V4" s="621">
        <v>10.01</v>
      </c>
      <c r="W4" s="621">
        <v>1.23</v>
      </c>
      <c r="X4" s="621">
        <v>109.19</v>
      </c>
      <c r="Y4" s="621">
        <v>37.270000000000003</v>
      </c>
    </row>
    <row r="5" spans="1:25" ht="11.25" customHeight="1">
      <c r="A5" s="624"/>
      <c r="B5" s="624"/>
      <c r="C5" s="624"/>
      <c r="D5" s="624"/>
      <c r="E5" s="624"/>
      <c r="F5" s="624"/>
      <c r="G5" s="624"/>
      <c r="H5" s="624"/>
      <c r="I5" s="624"/>
      <c r="J5" s="31"/>
      <c r="K5" s="31"/>
      <c r="L5" s="152"/>
      <c r="P5" s="620">
        <v>2</v>
      </c>
      <c r="Q5" s="621">
        <v>10.45</v>
      </c>
      <c r="R5" s="621">
        <v>5.38</v>
      </c>
      <c r="S5" s="621">
        <v>137.04</v>
      </c>
      <c r="T5" s="621">
        <v>78.260000000000005</v>
      </c>
      <c r="U5" s="621">
        <v>13.1</v>
      </c>
      <c r="V5" s="621">
        <v>10</v>
      </c>
      <c r="W5" s="621">
        <v>1.18</v>
      </c>
      <c r="X5" s="621">
        <v>177.91</v>
      </c>
      <c r="Y5" s="621">
        <v>53.34</v>
      </c>
    </row>
    <row r="6" spans="1:25" ht="11.25" customHeight="1">
      <c r="A6" s="203"/>
      <c r="B6" s="625"/>
      <c r="C6" s="626"/>
      <c r="D6" s="627"/>
      <c r="E6" s="627"/>
      <c r="F6" s="628"/>
      <c r="G6" s="629"/>
      <c r="H6" s="629"/>
      <c r="I6" s="253"/>
      <c r="J6" s="31"/>
      <c r="K6" s="31"/>
      <c r="L6" s="26"/>
      <c r="P6" s="620">
        <v>3</v>
      </c>
      <c r="Q6" s="621">
        <v>10.396000000000001</v>
      </c>
      <c r="R6" s="621">
        <v>5.29</v>
      </c>
      <c r="S6" s="621">
        <v>102.45</v>
      </c>
      <c r="T6" s="621">
        <v>101.264</v>
      </c>
      <c r="U6" s="621">
        <v>15.26</v>
      </c>
      <c r="V6" s="621">
        <v>10.01</v>
      </c>
      <c r="W6" s="621">
        <v>1.2529999999999999</v>
      </c>
      <c r="X6" s="621">
        <v>248.28</v>
      </c>
      <c r="Y6" s="621">
        <v>76.69</v>
      </c>
    </row>
    <row r="7" spans="1:25" ht="11.25" customHeight="1">
      <c r="A7" s="203"/>
      <c r="B7" s="254"/>
      <c r="C7" s="254"/>
      <c r="D7" s="255"/>
      <c r="E7" s="255"/>
      <c r="F7" s="628"/>
      <c r="G7" s="629"/>
      <c r="H7" s="629"/>
      <c r="I7" s="253"/>
      <c r="J7" s="32"/>
      <c r="K7" s="32"/>
      <c r="L7" s="29"/>
      <c r="O7" s="619">
        <v>4</v>
      </c>
      <c r="P7" s="620">
        <v>4</v>
      </c>
      <c r="Q7" s="621">
        <v>10.32</v>
      </c>
      <c r="R7" s="621">
        <v>6.0640000000000001</v>
      </c>
      <c r="S7" s="621">
        <v>93.71</v>
      </c>
      <c r="T7" s="621">
        <v>79.73</v>
      </c>
      <c r="U7" s="621">
        <v>12.66</v>
      </c>
      <c r="V7" s="621">
        <v>10.01</v>
      </c>
      <c r="W7" s="621">
        <v>1.22</v>
      </c>
      <c r="X7" s="621">
        <v>142.55000000000001</v>
      </c>
      <c r="Y7" s="621">
        <v>40.92</v>
      </c>
    </row>
    <row r="8" spans="1:25" ht="11.25" customHeight="1">
      <c r="A8" s="203"/>
      <c r="B8" s="256"/>
      <c r="C8" s="182"/>
      <c r="D8" s="194"/>
      <c r="E8" s="194"/>
      <c r="F8" s="628"/>
      <c r="G8" s="629"/>
      <c r="H8" s="629"/>
      <c r="I8" s="253"/>
      <c r="J8" s="30"/>
      <c r="K8" s="30"/>
      <c r="L8" s="31"/>
      <c r="P8" s="620">
        <v>5</v>
      </c>
      <c r="Q8" s="621">
        <v>14.34</v>
      </c>
      <c r="R8" s="621">
        <v>9.59</v>
      </c>
      <c r="S8" s="621">
        <v>142.55000000000001</v>
      </c>
      <c r="T8" s="621">
        <v>128.66</v>
      </c>
      <c r="U8" s="621">
        <v>24.24</v>
      </c>
      <c r="V8" s="621">
        <v>10.01</v>
      </c>
      <c r="W8" s="621">
        <v>1.17</v>
      </c>
      <c r="X8" s="621">
        <v>251.59399999999999</v>
      </c>
      <c r="Y8" s="621">
        <v>58.97</v>
      </c>
    </row>
    <row r="9" spans="1:25" ht="11.25" customHeight="1">
      <c r="A9" s="203"/>
      <c r="B9" s="256"/>
      <c r="C9" s="182"/>
      <c r="D9" s="194"/>
      <c r="E9" s="194"/>
      <c r="F9" s="628"/>
      <c r="G9" s="629"/>
      <c r="H9" s="629"/>
      <c r="I9" s="253"/>
      <c r="J9" s="32"/>
      <c r="K9" s="33"/>
      <c r="L9" s="34"/>
      <c r="P9" s="620">
        <v>6</v>
      </c>
      <c r="Q9" s="621">
        <v>14.98</v>
      </c>
      <c r="R9" s="621">
        <v>12.82</v>
      </c>
      <c r="S9" s="621">
        <v>223.15</v>
      </c>
      <c r="T9" s="621">
        <v>174.87</v>
      </c>
      <c r="U9" s="621">
        <v>35.18</v>
      </c>
      <c r="V9" s="621">
        <v>9.01</v>
      </c>
      <c r="W9" s="621">
        <v>0.82</v>
      </c>
      <c r="X9" s="621">
        <v>388.05428210000002</v>
      </c>
      <c r="Y9" s="621">
        <v>80.41</v>
      </c>
    </row>
    <row r="10" spans="1:25" ht="11.25" customHeight="1">
      <c r="A10" s="203"/>
      <c r="B10" s="256"/>
      <c r="C10" s="182"/>
      <c r="D10" s="194"/>
      <c r="E10" s="194"/>
      <c r="F10" s="628"/>
      <c r="G10" s="629"/>
      <c r="H10" s="629"/>
      <c r="I10" s="253"/>
      <c r="J10" s="32"/>
      <c r="K10" s="32"/>
      <c r="L10" s="29"/>
      <c r="P10" s="620">
        <v>7</v>
      </c>
      <c r="Q10" s="621">
        <v>15.86</v>
      </c>
      <c r="R10" s="621">
        <v>12.43</v>
      </c>
      <c r="S10" s="621">
        <v>223.86</v>
      </c>
      <c r="T10" s="621">
        <v>126.56</v>
      </c>
      <c r="U10" s="621">
        <v>25.04</v>
      </c>
      <c r="V10" s="621">
        <v>9.01</v>
      </c>
      <c r="W10" s="621">
        <v>1.59</v>
      </c>
      <c r="X10" s="621">
        <v>283.21000240000001</v>
      </c>
      <c r="Y10" s="621">
        <v>53.36</v>
      </c>
    </row>
    <row r="11" spans="1:25" ht="11.25" customHeight="1">
      <c r="A11" s="203"/>
      <c r="B11" s="194"/>
      <c r="C11" s="182"/>
      <c r="D11" s="194"/>
      <c r="E11" s="194"/>
      <c r="F11" s="628"/>
      <c r="G11" s="629"/>
      <c r="H11" s="629"/>
      <c r="I11" s="253"/>
      <c r="J11" s="32"/>
      <c r="K11" s="32"/>
      <c r="L11" s="29"/>
      <c r="O11" s="619">
        <v>8</v>
      </c>
      <c r="P11" s="620">
        <v>8</v>
      </c>
      <c r="Q11" s="621">
        <v>22.12</v>
      </c>
      <c r="R11" s="621">
        <v>19.3</v>
      </c>
      <c r="S11" s="621">
        <v>297.45999999999998</v>
      </c>
      <c r="T11" s="621">
        <v>188.83</v>
      </c>
      <c r="U11" s="621">
        <v>26.72</v>
      </c>
      <c r="V11" s="621">
        <v>18.309999999999999</v>
      </c>
      <c r="W11" s="621">
        <v>14.62</v>
      </c>
      <c r="X11" s="621">
        <v>414.29357470000002</v>
      </c>
      <c r="Y11" s="621">
        <v>65.55</v>
      </c>
    </row>
    <row r="12" spans="1:25" ht="11.25" customHeight="1">
      <c r="A12" s="203"/>
      <c r="B12" s="194"/>
      <c r="C12" s="182"/>
      <c r="D12" s="194"/>
      <c r="E12" s="194"/>
      <c r="F12" s="628"/>
      <c r="G12" s="629"/>
      <c r="H12" s="629"/>
      <c r="I12" s="253"/>
      <c r="J12" s="32"/>
      <c r="K12" s="32"/>
      <c r="L12" s="29"/>
      <c r="P12" s="620">
        <v>9</v>
      </c>
      <c r="Q12" s="621">
        <v>31.986428669999999</v>
      </c>
      <c r="R12" s="621">
        <v>19.514333090000001</v>
      </c>
      <c r="S12" s="621">
        <v>326.48699649999998</v>
      </c>
      <c r="T12" s="621">
        <v>170.33500290000001</v>
      </c>
      <c r="U12" s="621">
        <v>30.940000529999999</v>
      </c>
      <c r="V12" s="621">
        <v>16.54985727582655</v>
      </c>
      <c r="W12" s="621">
        <v>7.4597144130000004</v>
      </c>
      <c r="X12" s="621">
        <v>382.60643219999997</v>
      </c>
      <c r="Y12" s="621">
        <v>72.96314185</v>
      </c>
    </row>
    <row r="13" spans="1:25" ht="11.25" customHeight="1">
      <c r="A13" s="203"/>
      <c r="B13" s="194"/>
      <c r="C13" s="182"/>
      <c r="D13" s="194"/>
      <c r="E13" s="194"/>
      <c r="F13" s="628"/>
      <c r="G13" s="629"/>
      <c r="H13" s="629"/>
      <c r="I13" s="253"/>
      <c r="J13" s="30"/>
      <c r="K13" s="30"/>
      <c r="L13" s="31"/>
      <c r="P13" s="620">
        <v>10</v>
      </c>
      <c r="Q13" s="621">
        <v>21.817856924874398</v>
      </c>
      <c r="R13" s="621">
        <v>20.1870002746582</v>
      </c>
      <c r="S13" s="621">
        <v>281.91442869999997</v>
      </c>
      <c r="T13" s="621">
        <v>164.05856977190246</v>
      </c>
      <c r="U13" s="621">
        <v>30.751428604125927</v>
      </c>
      <c r="V13" s="621">
        <v>9.5257144655499921</v>
      </c>
      <c r="W13" s="621">
        <v>2.1815714495522598</v>
      </c>
      <c r="X13" s="621">
        <v>245.78571646554084</v>
      </c>
      <c r="Y13" s="621">
        <v>47.002858298165428</v>
      </c>
    </row>
    <row r="14" spans="1:25" ht="11.25" customHeight="1">
      <c r="A14" s="203"/>
      <c r="B14" s="194"/>
      <c r="C14" s="182"/>
      <c r="D14" s="194"/>
      <c r="E14" s="194"/>
      <c r="F14" s="628"/>
      <c r="G14" s="629"/>
      <c r="H14" s="629"/>
      <c r="I14" s="253"/>
      <c r="J14" s="32"/>
      <c r="K14" s="33"/>
      <c r="L14" s="34"/>
      <c r="P14" s="620">
        <v>11</v>
      </c>
      <c r="Q14" s="621">
        <v>21.645000185285259</v>
      </c>
      <c r="R14" s="621">
        <v>18.452999932425314</v>
      </c>
      <c r="S14" s="621">
        <v>302.97000000000003</v>
      </c>
      <c r="T14" s="621">
        <v>146.11571393694155</v>
      </c>
      <c r="U14" s="621">
        <v>26.230000359671411</v>
      </c>
      <c r="V14" s="621">
        <v>10.001428604125973</v>
      </c>
      <c r="W14" s="621">
        <v>1.7041428429739771</v>
      </c>
      <c r="X14" s="621">
        <v>239.62</v>
      </c>
      <c r="Y14" s="621">
        <v>42.29</v>
      </c>
    </row>
    <row r="15" spans="1:25" ht="11.25" customHeight="1">
      <c r="A15" s="203"/>
      <c r="B15" s="194"/>
      <c r="C15" s="182"/>
      <c r="D15" s="194"/>
      <c r="E15" s="194"/>
      <c r="F15" s="628"/>
      <c r="G15" s="629"/>
      <c r="H15" s="629"/>
      <c r="I15" s="253"/>
      <c r="J15" s="32"/>
      <c r="K15" s="33"/>
      <c r="L15" s="29"/>
      <c r="O15" s="619">
        <v>12</v>
      </c>
      <c r="P15" s="620">
        <v>12</v>
      </c>
      <c r="Q15" s="621">
        <v>15.247000013078916</v>
      </c>
      <c r="R15" s="621">
        <v>12.7100000381469</v>
      </c>
      <c r="S15" s="621">
        <v>179.33771623883899</v>
      </c>
      <c r="T15" s="621">
        <v>114.18428584507485</v>
      </c>
      <c r="U15" s="621">
        <v>18.61999988555905</v>
      </c>
      <c r="V15" s="621">
        <v>9.9999999999999964</v>
      </c>
      <c r="W15" s="621">
        <v>1.2444285835538544</v>
      </c>
      <c r="X15" s="621">
        <v>150.27357046944684</v>
      </c>
      <c r="Y15" s="621">
        <v>24.915714263915959</v>
      </c>
    </row>
    <row r="16" spans="1:25" ht="11.25" customHeight="1">
      <c r="A16" s="203"/>
      <c r="B16" s="194"/>
      <c r="C16" s="182"/>
      <c r="D16" s="194"/>
      <c r="E16" s="194"/>
      <c r="F16" s="628"/>
      <c r="G16" s="629"/>
      <c r="H16" s="629"/>
      <c r="I16" s="253"/>
      <c r="J16" s="32"/>
      <c r="K16" s="33"/>
      <c r="L16" s="29"/>
      <c r="P16" s="620">
        <v>13</v>
      </c>
      <c r="Q16" s="621">
        <v>17.322999954223601</v>
      </c>
      <c r="R16" s="621">
        <v>15.171999931335399</v>
      </c>
      <c r="S16" s="621">
        <v>130.67500305175699</v>
      </c>
      <c r="T16" s="621">
        <v>89.040000915527301</v>
      </c>
      <c r="U16" s="621">
        <v>15.310000419616699</v>
      </c>
      <c r="V16" s="621">
        <v>10</v>
      </c>
      <c r="W16" s="621">
        <v>1.0199999809265099</v>
      </c>
      <c r="X16" s="621">
        <v>116.33999633789</v>
      </c>
      <c r="Y16" s="621">
        <v>24.159999847412099</v>
      </c>
    </row>
    <row r="17" spans="1:25" ht="11.25" customHeight="1">
      <c r="A17" s="203"/>
      <c r="B17" s="194"/>
      <c r="C17" s="182"/>
      <c r="D17" s="194"/>
      <c r="E17" s="194"/>
      <c r="F17" s="628"/>
      <c r="G17" s="629"/>
      <c r="H17" s="629"/>
      <c r="I17" s="253"/>
      <c r="J17" s="32"/>
      <c r="K17" s="33"/>
      <c r="L17" s="29"/>
      <c r="P17" s="620">
        <v>14</v>
      </c>
      <c r="Q17" s="621">
        <v>14.828142711094401</v>
      </c>
      <c r="R17" s="621">
        <v>13.217000007629398</v>
      </c>
      <c r="S17" s="621">
        <v>121.81457192557171</v>
      </c>
      <c r="T17" s="621">
        <v>78.037142072405103</v>
      </c>
      <c r="U17" s="621">
        <v>14.082857131957956</v>
      </c>
      <c r="V17" s="621">
        <v>10.001428604125973</v>
      </c>
      <c r="W17" s="621">
        <v>1.3691428899764975</v>
      </c>
      <c r="X17" s="621">
        <v>126.18428475516127</v>
      </c>
      <c r="Y17" s="621">
        <v>22.646999904087572</v>
      </c>
    </row>
    <row r="18" spans="1:25" ht="11.25" customHeight="1">
      <c r="A18" s="900" t="s">
        <v>305</v>
      </c>
      <c r="B18" s="900"/>
      <c r="C18" s="900"/>
      <c r="D18" s="900"/>
      <c r="E18" s="900"/>
      <c r="F18" s="900"/>
      <c r="G18" s="900"/>
      <c r="H18" s="900"/>
      <c r="I18" s="900"/>
      <c r="J18" s="900"/>
      <c r="K18" s="900"/>
      <c r="L18" s="900"/>
      <c r="P18" s="620">
        <v>15</v>
      </c>
      <c r="Q18" s="621">
        <v>15.017142977033298</v>
      </c>
      <c r="R18" s="621">
        <v>11.291000366210898</v>
      </c>
      <c r="S18" s="621">
        <v>184.69442967006074</v>
      </c>
      <c r="T18" s="621">
        <v>74.048570905412902</v>
      </c>
      <c r="U18" s="621">
        <v>17.312857082911869</v>
      </c>
      <c r="V18" s="621">
        <v>10.005714416503881</v>
      </c>
      <c r="W18" s="621">
        <v>1.6558571543012313</v>
      </c>
      <c r="X18" s="621">
        <v>140.54571315220355</v>
      </c>
      <c r="Y18" s="621">
        <v>22.742571422031897</v>
      </c>
    </row>
    <row r="19" spans="1:25" ht="11.25" customHeight="1">
      <c r="A19" s="257"/>
      <c r="B19" s="194"/>
      <c r="C19" s="182"/>
      <c r="D19" s="194"/>
      <c r="E19" s="194"/>
      <c r="F19" s="251"/>
      <c r="G19" s="252"/>
      <c r="H19" s="252"/>
      <c r="I19" s="253"/>
      <c r="J19" s="32"/>
      <c r="K19" s="33"/>
      <c r="L19" s="29"/>
      <c r="O19" s="619">
        <v>16</v>
      </c>
      <c r="P19" s="620">
        <v>16</v>
      </c>
      <c r="Q19" s="621">
        <v>13.98</v>
      </c>
      <c r="R19" s="621">
        <v>11.63</v>
      </c>
      <c r="S19" s="621">
        <v>164.52</v>
      </c>
      <c r="T19" s="621">
        <v>81.069999999999993</v>
      </c>
      <c r="U19" s="621">
        <v>21.07</v>
      </c>
      <c r="V19" s="621">
        <v>10.01</v>
      </c>
      <c r="W19" s="621">
        <v>1.27</v>
      </c>
      <c r="X19" s="621">
        <v>141.29</v>
      </c>
      <c r="Y19" s="621">
        <v>23.21</v>
      </c>
    </row>
    <row r="20" spans="1:25" ht="11.25" customHeight="1">
      <c r="A20" s="153"/>
      <c r="B20" s="194"/>
      <c r="C20" s="182"/>
      <c r="D20" s="194"/>
      <c r="E20" s="194"/>
      <c r="F20" s="251"/>
      <c r="G20" s="252"/>
      <c r="H20" s="252"/>
      <c r="I20" s="253"/>
      <c r="J20" s="32"/>
      <c r="K20" s="33"/>
      <c r="L20" s="29"/>
      <c r="P20" s="620">
        <v>17</v>
      </c>
      <c r="Q20" s="621">
        <v>12.944285669999999</v>
      </c>
      <c r="R20" s="621">
        <v>10.010000228881799</v>
      </c>
      <c r="S20" s="621">
        <v>152.88357325962556</v>
      </c>
      <c r="T20" s="621">
        <v>64.311428070000005</v>
      </c>
      <c r="U20" s="621">
        <v>16.638571469999999</v>
      </c>
      <c r="V20" s="621">
        <v>10.004285812377887</v>
      </c>
      <c r="W20" s="621">
        <v>1.7342857122421229</v>
      </c>
      <c r="X20" s="621">
        <v>105.73500061035119</v>
      </c>
      <c r="Y20" s="621">
        <v>19.724285806928286</v>
      </c>
    </row>
    <row r="21" spans="1:25" ht="11.25" customHeight="1">
      <c r="A21" s="153"/>
      <c r="B21" s="194"/>
      <c r="C21" s="182"/>
      <c r="D21" s="194"/>
      <c r="E21" s="194"/>
      <c r="F21" s="251"/>
      <c r="G21" s="252"/>
      <c r="H21" s="252"/>
      <c r="I21" s="253"/>
      <c r="J21" s="32"/>
      <c r="K21" s="38"/>
      <c r="L21" s="39"/>
      <c r="P21" s="620">
        <v>18</v>
      </c>
      <c r="Q21" s="621">
        <v>10.727142742701899</v>
      </c>
      <c r="R21" s="621">
        <v>6.3112858363560251</v>
      </c>
      <c r="S21" s="621">
        <v>98.225285121372636</v>
      </c>
      <c r="T21" s="621">
        <v>46.242857796805197</v>
      </c>
      <c r="U21" s="621">
        <v>10.637142998831566</v>
      </c>
      <c r="V21" s="621">
        <v>10.007143020629858</v>
      </c>
      <c r="W21" s="621">
        <v>1.4345714194433998</v>
      </c>
      <c r="X21" s="621">
        <v>72.620000566754968</v>
      </c>
      <c r="Y21" s="621">
        <v>14.075714383806471</v>
      </c>
    </row>
    <row r="22" spans="1:25" ht="11.25" customHeight="1">
      <c r="A22" s="158"/>
      <c r="B22" s="194"/>
      <c r="C22" s="182"/>
      <c r="D22" s="194"/>
      <c r="E22" s="194"/>
      <c r="F22" s="251"/>
      <c r="G22" s="252"/>
      <c r="H22" s="252"/>
      <c r="I22" s="253"/>
      <c r="J22" s="32"/>
      <c r="K22" s="33"/>
      <c r="L22" s="29"/>
      <c r="P22" s="620">
        <v>19</v>
      </c>
      <c r="Q22" s="621">
        <v>9.4342857088361427</v>
      </c>
      <c r="R22" s="621">
        <v>7.4910001754760689</v>
      </c>
      <c r="S22" s="621">
        <v>86.615142822265582</v>
      </c>
      <c r="T22" s="621">
        <v>41.954286302838973</v>
      </c>
      <c r="U22" s="621">
        <v>9.4342857088361427</v>
      </c>
      <c r="V22" s="621">
        <v>10.004285812377914</v>
      </c>
      <c r="W22" s="621">
        <v>1.3051428794860784</v>
      </c>
      <c r="X22" s="621">
        <v>60.497857775006928</v>
      </c>
      <c r="Y22" s="621">
        <v>12.797142846243686</v>
      </c>
    </row>
    <row r="23" spans="1:25" ht="11.25" customHeight="1">
      <c r="A23" s="158"/>
      <c r="B23" s="194"/>
      <c r="C23" s="182"/>
      <c r="D23" s="194"/>
      <c r="E23" s="194"/>
      <c r="F23" s="251"/>
      <c r="G23" s="252"/>
      <c r="H23" s="252"/>
      <c r="I23" s="253"/>
      <c r="J23" s="32"/>
      <c r="K23" s="33"/>
      <c r="L23" s="29"/>
      <c r="O23" s="619">
        <v>20</v>
      </c>
      <c r="P23" s="620">
        <v>20</v>
      </c>
      <c r="Q23" s="621">
        <v>9.1999999999999993</v>
      </c>
      <c r="R23" s="621">
        <v>6.8</v>
      </c>
      <c r="S23" s="621">
        <v>78.2</v>
      </c>
      <c r="T23" s="621">
        <v>39.6</v>
      </c>
      <c r="U23" s="621">
        <v>8.6</v>
      </c>
      <c r="V23" s="621">
        <v>10</v>
      </c>
      <c r="W23" s="621">
        <v>1.6</v>
      </c>
      <c r="X23" s="621">
        <v>56.6</v>
      </c>
      <c r="Y23" s="621">
        <v>12.9</v>
      </c>
    </row>
    <row r="24" spans="1:25" ht="11.25" customHeight="1">
      <c r="A24" s="158"/>
      <c r="B24" s="194"/>
      <c r="C24" s="182"/>
      <c r="D24" s="194"/>
      <c r="E24" s="194"/>
      <c r="F24" s="251"/>
      <c r="G24" s="252"/>
      <c r="H24" s="252"/>
      <c r="I24" s="253"/>
      <c r="J24" s="33"/>
      <c r="K24" s="33"/>
      <c r="L24" s="29"/>
      <c r="P24" s="620">
        <v>21</v>
      </c>
      <c r="Q24" s="621">
        <v>9.0128573008945967</v>
      </c>
      <c r="R24" s="621">
        <v>5.4099998474121005</v>
      </c>
      <c r="S24" s="621">
        <v>73.744141714913454</v>
      </c>
      <c r="T24" s="621">
        <v>44.79285812377924</v>
      </c>
      <c r="U24" s="621">
        <v>10.11999988555907</v>
      </c>
      <c r="V24" s="621">
        <v>10.011428560529414</v>
      </c>
      <c r="W24" s="621">
        <v>1.2349999972752113</v>
      </c>
      <c r="X24" s="621">
        <v>52.17071369716097</v>
      </c>
      <c r="Y24" s="621">
        <v>11.968571390424414</v>
      </c>
    </row>
    <row r="25" spans="1:25" ht="11.25" customHeight="1">
      <c r="A25" s="158"/>
      <c r="B25" s="194"/>
      <c r="C25" s="182"/>
      <c r="D25" s="194"/>
      <c r="E25" s="194"/>
      <c r="F25" s="251"/>
      <c r="G25" s="252"/>
      <c r="H25" s="252"/>
      <c r="I25" s="253"/>
      <c r="J25" s="32"/>
      <c r="K25" s="38"/>
      <c r="L25" s="39"/>
      <c r="P25" s="620">
        <v>22</v>
      </c>
      <c r="Q25" s="621">
        <v>7.95</v>
      </c>
      <c r="R25" s="621">
        <v>3.82</v>
      </c>
      <c r="S25" s="621">
        <v>66.739999999999995</v>
      </c>
      <c r="T25" s="621">
        <v>34.01</v>
      </c>
      <c r="U25" s="621">
        <v>8.15</v>
      </c>
      <c r="V25" s="621">
        <v>10.02</v>
      </c>
      <c r="W25" s="621">
        <v>1.52</v>
      </c>
      <c r="X25" s="621">
        <v>46.88</v>
      </c>
      <c r="Y25" s="621">
        <v>9.89</v>
      </c>
    </row>
    <row r="26" spans="1:25" ht="11.25" customHeight="1">
      <c r="A26" s="158"/>
      <c r="B26" s="194"/>
      <c r="C26" s="182"/>
      <c r="D26" s="194"/>
      <c r="E26" s="194"/>
      <c r="F26" s="159"/>
      <c r="G26" s="159"/>
      <c r="H26" s="159"/>
      <c r="I26" s="159"/>
      <c r="J26" s="30"/>
      <c r="K26" s="33"/>
      <c r="L26" s="29"/>
      <c r="P26" s="620">
        <v>23</v>
      </c>
      <c r="Q26" s="621">
        <v>7.6</v>
      </c>
      <c r="R26" s="621">
        <v>3.22</v>
      </c>
      <c r="S26" s="621">
        <v>59.4</v>
      </c>
      <c r="T26" s="621">
        <v>28.71</v>
      </c>
      <c r="U26" s="621">
        <v>7.74</v>
      </c>
      <c r="V26" s="621">
        <v>10</v>
      </c>
      <c r="W26" s="621">
        <v>1.55</v>
      </c>
      <c r="X26" s="621">
        <v>43.39</v>
      </c>
      <c r="Y26" s="621">
        <v>8.57</v>
      </c>
    </row>
    <row r="27" spans="1:25" ht="11.25" customHeight="1">
      <c r="A27" s="158"/>
      <c r="B27" s="194"/>
      <c r="C27" s="182"/>
      <c r="D27" s="194"/>
      <c r="E27" s="194"/>
      <c r="F27" s="159"/>
      <c r="G27" s="159"/>
      <c r="H27" s="159"/>
      <c r="I27" s="159"/>
      <c r="J27" s="30"/>
      <c r="K27" s="33"/>
      <c r="L27" s="29"/>
      <c r="O27" s="619">
        <v>24</v>
      </c>
      <c r="P27" s="620">
        <v>24</v>
      </c>
      <c r="Q27" s="621">
        <v>9.57</v>
      </c>
      <c r="R27" s="621">
        <v>3.42</v>
      </c>
      <c r="S27" s="621">
        <v>54.3</v>
      </c>
      <c r="T27" s="621">
        <v>30.83</v>
      </c>
      <c r="U27" s="621">
        <v>7.53</v>
      </c>
      <c r="V27" s="621">
        <v>10</v>
      </c>
      <c r="W27" s="621">
        <v>1.6</v>
      </c>
      <c r="X27" s="621">
        <v>40.28</v>
      </c>
      <c r="Y27" s="621">
        <v>9.6</v>
      </c>
    </row>
    <row r="28" spans="1:25" ht="11.25" customHeight="1">
      <c r="A28" s="157"/>
      <c r="B28" s="159"/>
      <c r="C28" s="159"/>
      <c r="D28" s="159"/>
      <c r="E28" s="159"/>
      <c r="F28" s="159"/>
      <c r="G28" s="159"/>
      <c r="H28" s="159"/>
      <c r="I28" s="159"/>
      <c r="J28" s="32"/>
      <c r="K28" s="33"/>
      <c r="L28" s="29"/>
      <c r="P28" s="620">
        <v>25</v>
      </c>
      <c r="Q28" s="621">
        <v>9.0548571179999993</v>
      </c>
      <c r="R28" s="621">
        <v>3.2130000590000001</v>
      </c>
      <c r="S28" s="621">
        <v>56.674428669999998</v>
      </c>
      <c r="T28" s="621">
        <v>25.690000260000001</v>
      </c>
      <c r="U28" s="621">
        <v>6.9342856409999998</v>
      </c>
      <c r="V28" s="621">
        <v>10.00571442</v>
      </c>
      <c r="W28" s="621">
        <v>1.254714302</v>
      </c>
      <c r="X28" s="621">
        <v>37.560714179999998</v>
      </c>
      <c r="Y28" s="621">
        <v>7.91285726</v>
      </c>
    </row>
    <row r="29" spans="1:25" ht="11.25" customHeight="1">
      <c r="A29" s="157"/>
      <c r="B29" s="159"/>
      <c r="C29" s="159"/>
      <c r="D29" s="159"/>
      <c r="E29" s="159"/>
      <c r="F29" s="159"/>
      <c r="G29" s="159"/>
      <c r="H29" s="159"/>
      <c r="I29" s="159"/>
      <c r="J29" s="32"/>
      <c r="K29" s="33"/>
      <c r="L29" s="29"/>
      <c r="P29" s="620">
        <v>26</v>
      </c>
      <c r="Q29" s="621">
        <v>8.8612857550000008</v>
      </c>
      <c r="R29" s="621">
        <v>3.5</v>
      </c>
      <c r="S29" s="621">
        <v>68.087428501674069</v>
      </c>
      <c r="T29" s="621">
        <v>30.317143300000001</v>
      </c>
      <c r="U29" s="621">
        <v>8.8971428190000008</v>
      </c>
      <c r="V29" s="621">
        <v>10</v>
      </c>
      <c r="W29" s="621">
        <v>1.4324285809999999</v>
      </c>
      <c r="X29" s="621">
        <v>37.759999409999999</v>
      </c>
      <c r="Y29" s="621">
        <v>8.911428656</v>
      </c>
    </row>
    <row r="30" spans="1:25" ht="11.25" customHeight="1">
      <c r="A30" s="157"/>
      <c r="B30" s="159"/>
      <c r="C30" s="159"/>
      <c r="D30" s="159"/>
      <c r="E30" s="159"/>
      <c r="F30" s="159"/>
      <c r="G30" s="159"/>
      <c r="H30" s="159"/>
      <c r="I30" s="159"/>
      <c r="J30" s="32"/>
      <c r="K30" s="33"/>
      <c r="L30" s="29"/>
      <c r="P30" s="620">
        <v>27</v>
      </c>
      <c r="Q30" s="621">
        <v>8.3185714990000008</v>
      </c>
      <c r="R30" s="621">
        <v>4.0900001530000001</v>
      </c>
      <c r="S30" s="621">
        <v>60.110428400000004</v>
      </c>
      <c r="T30" s="621">
        <v>28.581429350000001</v>
      </c>
      <c r="U30" s="621">
        <v>7.9442856649999998</v>
      </c>
      <c r="V30" s="621">
        <v>10.001428600000001</v>
      </c>
      <c r="W30" s="621">
        <v>1.455999987</v>
      </c>
      <c r="X30" s="621">
        <v>35.967143470000003</v>
      </c>
      <c r="Y30" s="621">
        <v>7.2057142259999996</v>
      </c>
    </row>
    <row r="31" spans="1:25" ht="11.25" customHeight="1">
      <c r="A31" s="157"/>
      <c r="B31" s="159"/>
      <c r="C31" s="159"/>
      <c r="D31" s="159"/>
      <c r="E31" s="159"/>
      <c r="F31" s="159"/>
      <c r="G31" s="159"/>
      <c r="H31" s="159"/>
      <c r="I31" s="159"/>
      <c r="J31" s="32"/>
      <c r="K31" s="33"/>
      <c r="L31" s="29"/>
      <c r="O31" s="619">
        <v>28</v>
      </c>
      <c r="P31" s="620">
        <v>28</v>
      </c>
      <c r="Q31" s="621">
        <v>7.789714268</v>
      </c>
      <c r="R31" s="621">
        <v>3.119999886</v>
      </c>
      <c r="S31" s="621">
        <v>60.986856189999997</v>
      </c>
      <c r="T31" s="621">
        <v>27.099999836512943</v>
      </c>
      <c r="U31" s="621">
        <v>7.4514284819999999</v>
      </c>
      <c r="V31" s="621">
        <v>10.0128573</v>
      </c>
      <c r="W31" s="621">
        <v>1.5508571609999999</v>
      </c>
      <c r="X31" s="621">
        <v>47.66357095</v>
      </c>
      <c r="Y31" s="621">
        <v>9.9999998639999994</v>
      </c>
    </row>
    <row r="32" spans="1:25" ht="11.25" customHeight="1">
      <c r="A32" s="157"/>
      <c r="B32" s="159"/>
      <c r="C32" s="159"/>
      <c r="D32" s="159"/>
      <c r="E32" s="159"/>
      <c r="F32" s="159"/>
      <c r="G32" s="159"/>
      <c r="H32" s="159"/>
      <c r="I32" s="159"/>
      <c r="J32" s="33"/>
      <c r="K32" s="33"/>
      <c r="L32" s="29"/>
      <c r="P32" s="620">
        <v>29</v>
      </c>
      <c r="Q32" s="621">
        <v>7.1615714349999999</v>
      </c>
      <c r="R32" s="621">
        <v>3.4249999519999998</v>
      </c>
      <c r="S32" s="621">
        <v>56.540714260000001</v>
      </c>
      <c r="T32" s="621">
        <v>23.477142610000001</v>
      </c>
      <c r="U32" s="621">
        <v>6.2828570089999998</v>
      </c>
      <c r="V32" s="621">
        <v>10.001428600000001</v>
      </c>
      <c r="W32" s="621">
        <v>2.1035714489999999</v>
      </c>
      <c r="X32" s="621">
        <v>44.25</v>
      </c>
      <c r="Y32" s="621">
        <v>6.7128572460000004</v>
      </c>
    </row>
    <row r="33" spans="1:25" ht="11.25" customHeight="1">
      <c r="A33" s="157"/>
      <c r="B33" s="159"/>
      <c r="C33" s="159"/>
      <c r="D33" s="159"/>
      <c r="E33" s="159"/>
      <c r="F33" s="159"/>
      <c r="G33" s="159"/>
      <c r="H33" s="159"/>
      <c r="I33" s="159"/>
      <c r="J33" s="32"/>
      <c r="K33" s="33"/>
      <c r="L33" s="29"/>
      <c r="P33" s="620">
        <v>30</v>
      </c>
      <c r="Q33" s="621">
        <v>6.6714285440000003</v>
      </c>
      <c r="R33" s="621">
        <v>2.8789999489999998</v>
      </c>
      <c r="S33" s="621">
        <v>65.491856709999993</v>
      </c>
      <c r="T33" s="621">
        <v>21.095714300000001</v>
      </c>
      <c r="U33" s="621">
        <v>5.8057142669999999</v>
      </c>
      <c r="V33" s="621">
        <v>10.01142883</v>
      </c>
      <c r="W33" s="621">
        <v>1.8491428750000001</v>
      </c>
      <c r="X33" s="621">
        <v>42.498571668352326</v>
      </c>
      <c r="Y33" s="621">
        <v>6.0797142300000004</v>
      </c>
    </row>
    <row r="34" spans="1:25" ht="11.25" customHeight="1">
      <c r="A34" s="157"/>
      <c r="B34" s="159"/>
      <c r="C34" s="159"/>
      <c r="D34" s="159"/>
      <c r="E34" s="159"/>
      <c r="F34" s="159"/>
      <c r="G34" s="159"/>
      <c r="H34" s="159"/>
      <c r="I34" s="159"/>
      <c r="J34" s="32"/>
      <c r="K34" s="43"/>
      <c r="L34" s="29"/>
      <c r="P34" s="620">
        <v>31</v>
      </c>
      <c r="Q34" s="621">
        <v>6.2387143543788328</v>
      </c>
      <c r="R34" s="621">
        <v>2.9382856232779297</v>
      </c>
      <c r="S34" s="621">
        <v>65.491856711251344</v>
      </c>
      <c r="T34" s="621">
        <v>20.037142889840243</v>
      </c>
      <c r="U34" s="621">
        <v>5.4814286231994549</v>
      </c>
      <c r="V34" s="621">
        <v>10.011428833007772</v>
      </c>
      <c r="W34" s="621">
        <v>1.8019999946866672</v>
      </c>
      <c r="X34" s="621">
        <v>39.98428617204933</v>
      </c>
      <c r="Y34" s="621">
        <v>4.9059999329703157</v>
      </c>
    </row>
    <row r="35" spans="1:25" ht="11.25" customHeight="1">
      <c r="A35" s="157"/>
      <c r="B35" s="159"/>
      <c r="C35" s="159"/>
      <c r="D35" s="159"/>
      <c r="E35" s="159"/>
      <c r="F35" s="159"/>
      <c r="G35" s="159"/>
      <c r="H35" s="159"/>
      <c r="I35" s="159"/>
      <c r="J35" s="32"/>
      <c r="K35" s="43"/>
      <c r="L35" s="48"/>
      <c r="O35" s="619">
        <v>32</v>
      </c>
      <c r="P35" s="620">
        <v>32</v>
      </c>
      <c r="Q35" s="621">
        <v>6.1697142459999998</v>
      </c>
      <c r="R35" s="621">
        <v>3.2030000689999998</v>
      </c>
      <c r="S35" s="621">
        <v>49.942714418571427</v>
      </c>
      <c r="T35" s="621">
        <v>23.275714059999999</v>
      </c>
      <c r="U35" s="621">
        <v>5.8257142479999997</v>
      </c>
      <c r="V35" s="621">
        <v>10.004285810000001</v>
      </c>
      <c r="W35" s="621">
        <v>1.2214285650000001</v>
      </c>
      <c r="X35" s="621">
        <v>36.654999320000002</v>
      </c>
      <c r="Y35" s="621">
        <v>4.0242800000000001</v>
      </c>
    </row>
    <row r="36" spans="1:25" ht="11.25" customHeight="1">
      <c r="A36" s="157"/>
      <c r="B36" s="159"/>
      <c r="C36" s="159"/>
      <c r="D36" s="159"/>
      <c r="E36" s="159"/>
      <c r="F36" s="159"/>
      <c r="G36" s="159"/>
      <c r="H36" s="159"/>
      <c r="I36" s="159"/>
      <c r="J36" s="32"/>
      <c r="K36" s="38"/>
      <c r="L36" s="29"/>
      <c r="P36" s="620">
        <v>33</v>
      </c>
      <c r="Q36" s="621">
        <v>6.3728570940000004</v>
      </c>
      <c r="R36" s="621">
        <v>2.841857144</v>
      </c>
      <c r="S36" s="621">
        <v>57.183571406773112</v>
      </c>
      <c r="T36" s="621">
        <v>22.619999750000002</v>
      </c>
      <c r="U36" s="621">
        <v>5.5228571210000004</v>
      </c>
      <c r="V36" s="621">
        <v>10</v>
      </c>
      <c r="W36" s="621">
        <v>1.3032857349940685</v>
      </c>
      <c r="X36" s="621">
        <v>35.152857099999999</v>
      </c>
      <c r="Y36" s="621">
        <v>4.354285752</v>
      </c>
    </row>
    <row r="37" spans="1:25" ht="11.25" customHeight="1">
      <c r="A37" s="157"/>
      <c r="B37" s="159"/>
      <c r="C37" s="159"/>
      <c r="D37" s="159"/>
      <c r="E37" s="159"/>
      <c r="F37" s="159"/>
      <c r="G37" s="159"/>
      <c r="H37" s="159"/>
      <c r="I37" s="159"/>
      <c r="J37" s="32"/>
      <c r="K37" s="38"/>
      <c r="L37" s="29"/>
      <c r="P37" s="620">
        <v>34</v>
      </c>
      <c r="Q37" s="621">
        <v>6.1195714130000001</v>
      </c>
      <c r="R37" s="621">
        <v>3.058000088</v>
      </c>
      <c r="S37" s="621">
        <v>49.366142269999997</v>
      </c>
      <c r="T37" s="621">
        <v>25.04757145</v>
      </c>
      <c r="U37" s="621">
        <v>5.8727143149999996</v>
      </c>
      <c r="V37" s="621">
        <v>10.00857162</v>
      </c>
      <c r="W37" s="621">
        <v>1.2842857160000001</v>
      </c>
      <c r="X37" s="621">
        <v>34.115715029999997</v>
      </c>
      <c r="Y37" s="621">
        <v>4.3511429509999999</v>
      </c>
    </row>
    <row r="38" spans="1:25" ht="11.25" customHeight="1">
      <c r="A38" s="157"/>
      <c r="B38" s="159"/>
      <c r="C38" s="159"/>
      <c r="D38" s="159"/>
      <c r="E38" s="159"/>
      <c r="F38" s="159"/>
      <c r="G38" s="159"/>
      <c r="H38" s="159"/>
      <c r="I38" s="159"/>
      <c r="J38" s="32"/>
      <c r="K38" s="38"/>
      <c r="L38" s="29"/>
      <c r="P38" s="620">
        <v>35</v>
      </c>
      <c r="Q38" s="621">
        <v>5.9814286230000002</v>
      </c>
      <c r="R38" s="621">
        <v>1.506999969</v>
      </c>
      <c r="S38" s="621">
        <v>56.934856959999998</v>
      </c>
      <c r="T38" s="621">
        <v>21.374285830000002</v>
      </c>
      <c r="U38" s="621">
        <v>4.9342857090000001</v>
      </c>
      <c r="V38" s="621">
        <v>10.28714289</v>
      </c>
      <c r="W38" s="621">
        <v>1.5979999810000001</v>
      </c>
      <c r="X38" s="621">
        <v>30.92</v>
      </c>
      <c r="Y38" s="621">
        <v>5.3042856629999999</v>
      </c>
    </row>
    <row r="39" spans="1:25" ht="11.25" customHeight="1">
      <c r="O39" s="619">
        <v>36</v>
      </c>
      <c r="P39" s="620">
        <v>36</v>
      </c>
      <c r="Q39" s="621">
        <v>6.03</v>
      </c>
      <c r="R39" s="621">
        <v>2.8</v>
      </c>
      <c r="S39" s="621">
        <v>48.51</v>
      </c>
      <c r="T39" s="621">
        <v>22.661428449999999</v>
      </c>
      <c r="U39" s="621">
        <v>4.9800000000000004</v>
      </c>
      <c r="V39" s="621">
        <v>11.01</v>
      </c>
      <c r="W39" s="621">
        <v>1.63</v>
      </c>
      <c r="X39" s="621">
        <v>30.922143120000001</v>
      </c>
      <c r="Y39" s="621">
        <v>7.46</v>
      </c>
    </row>
    <row r="40" spans="1:25" ht="11.25" customHeight="1">
      <c r="A40" s="900" t="s">
        <v>306</v>
      </c>
      <c r="B40" s="900"/>
      <c r="C40" s="900"/>
      <c r="D40" s="900"/>
      <c r="E40" s="900"/>
      <c r="F40" s="900"/>
      <c r="G40" s="900"/>
      <c r="H40" s="900"/>
      <c r="I40" s="900"/>
      <c r="J40" s="900"/>
      <c r="K40" s="900"/>
      <c r="L40" s="900"/>
      <c r="P40" s="620">
        <v>37</v>
      </c>
      <c r="Q40" s="621">
        <v>6.03</v>
      </c>
      <c r="R40" s="621">
        <v>2.37</v>
      </c>
      <c r="S40" s="621">
        <v>43.99</v>
      </c>
      <c r="T40" s="621">
        <v>19.149999999999999</v>
      </c>
      <c r="U40" s="621">
        <v>5.31</v>
      </c>
      <c r="V40" s="621">
        <v>11</v>
      </c>
      <c r="W40" s="621">
        <v>1.59</v>
      </c>
      <c r="X40" s="621">
        <v>29.33</v>
      </c>
      <c r="Y40" s="621">
        <v>7.79</v>
      </c>
    </row>
    <row r="41" spans="1:25" ht="11.25" customHeight="1">
      <c r="P41" s="620">
        <v>38</v>
      </c>
      <c r="Q41" s="621">
        <v>6.5951428410000004</v>
      </c>
      <c r="R41" s="621">
        <v>3.0060000420000001</v>
      </c>
      <c r="S41" s="621">
        <v>47.220570700000003</v>
      </c>
      <c r="T41" s="621">
        <v>22.304285589999999</v>
      </c>
      <c r="U41" s="621">
        <v>5.581428528</v>
      </c>
      <c r="V41" s="621">
        <v>10.85142858</v>
      </c>
      <c r="W41" s="621">
        <v>1.5402856890000001</v>
      </c>
      <c r="X41" s="621">
        <v>34.179286410000003</v>
      </c>
      <c r="Y41" s="621">
        <v>8.5442856379999998</v>
      </c>
    </row>
    <row r="42" spans="1:25" ht="11.25" customHeight="1">
      <c r="A42" s="157"/>
      <c r="B42" s="159"/>
      <c r="C42" s="159"/>
      <c r="D42" s="159"/>
      <c r="E42" s="159"/>
      <c r="F42" s="159"/>
      <c r="G42" s="159"/>
      <c r="H42" s="159"/>
      <c r="I42" s="159"/>
      <c r="J42" s="160"/>
      <c r="K42" s="160"/>
      <c r="L42" s="160"/>
      <c r="O42" s="619">
        <v>39</v>
      </c>
      <c r="P42" s="620">
        <v>39</v>
      </c>
      <c r="Q42" s="621">
        <v>6.84</v>
      </c>
      <c r="R42" s="621">
        <v>3.32</v>
      </c>
      <c r="S42" s="621">
        <v>63.05</v>
      </c>
      <c r="T42" s="621">
        <v>48.7</v>
      </c>
      <c r="U42" s="621">
        <v>7.81</v>
      </c>
      <c r="V42" s="621">
        <v>11.15</v>
      </c>
      <c r="W42" s="621">
        <v>1.32</v>
      </c>
      <c r="X42" s="621">
        <v>38.82</v>
      </c>
      <c r="Y42" s="621">
        <v>6.81</v>
      </c>
    </row>
    <row r="43" spans="1:25" ht="11.25" customHeight="1">
      <c r="A43" s="157"/>
      <c r="B43" s="159"/>
      <c r="C43" s="159"/>
      <c r="D43" s="159"/>
      <c r="E43" s="159"/>
      <c r="F43" s="159"/>
      <c r="G43" s="159"/>
      <c r="H43" s="159"/>
      <c r="I43" s="159"/>
      <c r="J43" s="160"/>
      <c r="K43" s="160"/>
      <c r="L43" s="160"/>
      <c r="P43" s="620">
        <v>40</v>
      </c>
      <c r="Q43" s="621">
        <v>7.6862857681428576</v>
      </c>
      <c r="R43" s="621">
        <v>3.1560000009999998</v>
      </c>
      <c r="S43" s="621">
        <v>61.54114314571428</v>
      </c>
      <c r="T43" s="621">
        <v>37.928571428999994</v>
      </c>
      <c r="U43" s="621">
        <v>7.9165713450000004</v>
      </c>
      <c r="V43" s="621">
        <v>11.005714417142856</v>
      </c>
      <c r="W43" s="621">
        <v>1.3828571522857145</v>
      </c>
      <c r="X43" s="621">
        <v>43.879284992857151</v>
      </c>
      <c r="Y43" s="621">
        <v>6.2752857208571422</v>
      </c>
    </row>
    <row r="44" spans="1:25" ht="11.25" customHeight="1">
      <c r="A44" s="157"/>
      <c r="B44" s="159"/>
      <c r="C44" s="159"/>
      <c r="D44" s="159"/>
      <c r="E44" s="159"/>
      <c r="F44" s="159"/>
      <c r="G44" s="159"/>
      <c r="H44" s="159"/>
      <c r="I44" s="159"/>
      <c r="P44" s="620">
        <v>41</v>
      </c>
      <c r="Q44" s="621">
        <v>7.1000001089913463</v>
      </c>
      <c r="R44" s="621">
        <v>2.9028571673801928</v>
      </c>
      <c r="S44" s="621">
        <v>58.117285592215353</v>
      </c>
      <c r="T44" s="621">
        <v>48.921429225376635</v>
      </c>
      <c r="U44" s="621">
        <v>8.5942858287266173</v>
      </c>
      <c r="V44" s="621">
        <v>11.002857208251914</v>
      </c>
      <c r="W44" s="621">
        <v>1.3182857036590543</v>
      </c>
      <c r="X44" s="621">
        <v>45.627857753208637</v>
      </c>
      <c r="Y44" s="621">
        <v>9.9285714966910028</v>
      </c>
    </row>
    <row r="45" spans="1:25" ht="11.25" customHeight="1">
      <c r="A45" s="157"/>
      <c r="B45" s="159"/>
      <c r="C45" s="159"/>
      <c r="D45" s="159"/>
      <c r="E45" s="159"/>
      <c r="F45" s="159"/>
      <c r="G45" s="159"/>
      <c r="H45" s="159"/>
      <c r="I45" s="159"/>
      <c r="P45" s="620">
        <v>42</v>
      </c>
      <c r="Q45" s="621">
        <v>6.7610000201428573</v>
      </c>
      <c r="R45" s="621">
        <v>2.8671428815714286</v>
      </c>
      <c r="S45" s="621">
        <v>58.888142721428572</v>
      </c>
      <c r="T45" s="621">
        <v>55.619142805714283</v>
      </c>
      <c r="U45" s="621">
        <v>9.5089999614285716</v>
      </c>
      <c r="V45" s="621">
        <v>11.007142884285715</v>
      </c>
      <c r="W45" s="621">
        <v>1.2221428497142859</v>
      </c>
      <c r="X45" s="621">
        <v>52.615000045714282</v>
      </c>
      <c r="Y45" s="621">
        <v>9.6800000322857152</v>
      </c>
    </row>
    <row r="46" spans="1:25" ht="11.25" customHeight="1">
      <c r="A46" s="157"/>
      <c r="B46" s="159"/>
      <c r="C46" s="159"/>
      <c r="D46" s="159"/>
      <c r="E46" s="159"/>
      <c r="F46" s="159"/>
      <c r="G46" s="159"/>
      <c r="H46" s="159"/>
      <c r="I46" s="159"/>
      <c r="O46" s="619">
        <v>43</v>
      </c>
      <c r="P46" s="620">
        <v>43</v>
      </c>
      <c r="Q46" s="621">
        <v>6.53</v>
      </c>
      <c r="R46" s="621">
        <v>2.37</v>
      </c>
      <c r="S46" s="621">
        <v>69.2</v>
      </c>
      <c r="T46" s="621">
        <v>54.58</v>
      </c>
      <c r="U46" s="621">
        <v>8.23</v>
      </c>
      <c r="V46" s="621">
        <v>11.01</v>
      </c>
      <c r="W46" s="621">
        <v>1.35</v>
      </c>
      <c r="X46" s="621">
        <v>50.71</v>
      </c>
      <c r="Y46" s="621">
        <v>10.33</v>
      </c>
    </row>
    <row r="47" spans="1:25" ht="11.25" customHeight="1">
      <c r="A47" s="157"/>
      <c r="B47" s="159"/>
      <c r="C47" s="159"/>
      <c r="D47" s="159"/>
      <c r="E47" s="159"/>
      <c r="F47" s="159"/>
      <c r="G47" s="159"/>
      <c r="H47" s="159"/>
      <c r="I47" s="159"/>
      <c r="P47" s="620">
        <v>44</v>
      </c>
      <c r="Q47" s="621">
        <v>7.58</v>
      </c>
      <c r="R47" s="621">
        <v>4.8899999999999997</v>
      </c>
      <c r="S47" s="621">
        <v>51.59</v>
      </c>
      <c r="T47" s="621">
        <v>57.65</v>
      </c>
      <c r="U47" s="621">
        <v>7.72</v>
      </c>
      <c r="V47" s="621">
        <v>11.01</v>
      </c>
      <c r="W47" s="621">
        <v>1.47</v>
      </c>
      <c r="X47" s="621">
        <v>48.41</v>
      </c>
      <c r="Y47" s="621">
        <v>11.29</v>
      </c>
    </row>
    <row r="48" spans="1:25">
      <c r="A48" s="157"/>
      <c r="B48" s="159"/>
      <c r="C48" s="159"/>
      <c r="D48" s="159"/>
      <c r="E48" s="159"/>
      <c r="F48" s="159"/>
      <c r="G48" s="159"/>
      <c r="H48" s="159"/>
      <c r="I48" s="159"/>
      <c r="P48" s="620">
        <v>45</v>
      </c>
      <c r="Q48" s="621">
        <v>6.95</v>
      </c>
      <c r="R48" s="621">
        <v>1.61</v>
      </c>
      <c r="S48" s="621">
        <v>72.92</v>
      </c>
      <c r="T48" s="621">
        <v>67.069999999999993</v>
      </c>
      <c r="U48" s="621">
        <v>6.9</v>
      </c>
      <c r="V48" s="621">
        <v>11</v>
      </c>
      <c r="W48" s="621">
        <v>1.42</v>
      </c>
      <c r="X48" s="621">
        <v>47.24</v>
      </c>
      <c r="Y48" s="621">
        <v>9</v>
      </c>
    </row>
    <row r="49" spans="1:25">
      <c r="A49" s="157"/>
      <c r="B49" s="159"/>
      <c r="C49" s="159"/>
      <c r="D49" s="159"/>
      <c r="E49" s="159"/>
      <c r="F49" s="159"/>
      <c r="G49" s="159"/>
      <c r="H49" s="159"/>
      <c r="I49" s="159"/>
      <c r="P49" s="620">
        <v>46</v>
      </c>
      <c r="Q49" s="621">
        <v>6.8571429249999998</v>
      </c>
      <c r="R49" s="621">
        <v>1.6428571599999999</v>
      </c>
      <c r="S49" s="621">
        <v>58.4</v>
      </c>
      <c r="T49" s="621">
        <v>34.982142860000003</v>
      </c>
      <c r="U49" s="621">
        <v>5.0667143550000002</v>
      </c>
      <c r="V49" s="621">
        <v>11.01</v>
      </c>
      <c r="W49" s="621">
        <v>1.38</v>
      </c>
      <c r="X49" s="621">
        <v>40.61</v>
      </c>
      <c r="Y49" s="621">
        <v>8.81</v>
      </c>
    </row>
    <row r="50" spans="1:25">
      <c r="A50" s="157"/>
      <c r="B50" s="159"/>
      <c r="C50" s="159"/>
      <c r="D50" s="159"/>
      <c r="E50" s="159"/>
      <c r="F50" s="159"/>
      <c r="G50" s="159"/>
      <c r="H50" s="159"/>
      <c r="I50" s="159"/>
      <c r="P50" s="620">
        <v>47</v>
      </c>
      <c r="Q50" s="621">
        <v>6.9940000260000001</v>
      </c>
      <c r="R50" s="621">
        <v>1.5142857009999999</v>
      </c>
      <c r="S50" s="621">
        <v>52.554856440000002</v>
      </c>
      <c r="T50" s="621">
        <v>29.07742855</v>
      </c>
      <c r="U50" s="621">
        <v>4.2727143420000004</v>
      </c>
      <c r="V50" s="621">
        <v>11.00286</v>
      </c>
      <c r="W50" s="621">
        <v>1.63</v>
      </c>
      <c r="X50" s="621">
        <v>41.625</v>
      </c>
      <c r="Y50" s="621">
        <v>9.3542860000000001</v>
      </c>
    </row>
    <row r="51" spans="1:25">
      <c r="A51" s="157"/>
      <c r="B51" s="159"/>
      <c r="C51" s="159"/>
      <c r="D51" s="159"/>
      <c r="E51" s="159"/>
      <c r="F51" s="159"/>
      <c r="G51" s="159"/>
      <c r="H51" s="159"/>
      <c r="I51" s="159"/>
      <c r="O51" s="619">
        <v>48</v>
      </c>
      <c r="P51" s="620">
        <v>48</v>
      </c>
      <c r="Q51" s="621">
        <v>7.1124285970000001</v>
      </c>
      <c r="R51" s="621">
        <v>1.4714285645714287</v>
      </c>
      <c r="S51" s="621">
        <v>53.429429191428575</v>
      </c>
      <c r="T51" s="621">
        <v>88.059571399999996</v>
      </c>
      <c r="U51" s="621">
        <v>7.879285812428571</v>
      </c>
      <c r="V51" s="621">
        <v>10.862857274285714</v>
      </c>
      <c r="W51" s="621">
        <v>1.6007142748571428</v>
      </c>
      <c r="X51" s="621">
        <v>41.014285495714283</v>
      </c>
      <c r="Y51" s="621">
        <v>14.194285802</v>
      </c>
    </row>
    <row r="52" spans="1:25">
      <c r="A52" s="157"/>
      <c r="B52" s="159"/>
      <c r="C52" s="159"/>
      <c r="D52" s="159"/>
      <c r="E52" s="159"/>
      <c r="F52" s="159"/>
      <c r="G52" s="159"/>
      <c r="H52" s="159"/>
      <c r="I52" s="159"/>
      <c r="P52" s="620">
        <v>49</v>
      </c>
      <c r="Q52" s="621">
        <v>8.43</v>
      </c>
      <c r="R52" s="621">
        <v>2.2400000000000002</v>
      </c>
      <c r="S52" s="621">
        <v>61.07</v>
      </c>
      <c r="T52" s="621">
        <v>106.59</v>
      </c>
      <c r="U52" s="621">
        <v>16.09</v>
      </c>
      <c r="V52" s="621">
        <v>10.5</v>
      </c>
      <c r="W52" s="621">
        <v>1.1200000000000001</v>
      </c>
      <c r="X52" s="621">
        <v>83.6</v>
      </c>
      <c r="Y52" s="621">
        <v>22.62</v>
      </c>
    </row>
    <row r="53" spans="1:25">
      <c r="A53" s="157"/>
      <c r="B53" s="159"/>
      <c r="C53" s="159"/>
      <c r="D53" s="159"/>
      <c r="E53" s="159"/>
      <c r="F53" s="159"/>
      <c r="G53" s="159"/>
      <c r="H53" s="159"/>
      <c r="I53" s="159"/>
      <c r="P53" s="620">
        <v>50</v>
      </c>
      <c r="Q53" s="621">
        <v>8.32</v>
      </c>
      <c r="R53" s="621">
        <v>2.19</v>
      </c>
      <c r="S53" s="621">
        <v>78.02</v>
      </c>
      <c r="T53" s="621">
        <v>104.79</v>
      </c>
      <c r="U53" s="621">
        <v>18.649999999999999</v>
      </c>
      <c r="V53" s="621">
        <v>10.51</v>
      </c>
      <c r="W53" s="621">
        <v>1.1399999999999999</v>
      </c>
      <c r="X53" s="621">
        <v>66.8</v>
      </c>
      <c r="Y53" s="621">
        <v>22.62</v>
      </c>
    </row>
    <row r="54" spans="1:25">
      <c r="A54" s="157"/>
      <c r="B54" s="159"/>
      <c r="C54" s="159"/>
      <c r="D54" s="159"/>
      <c r="E54" s="159"/>
      <c r="F54" s="159"/>
      <c r="G54" s="159"/>
      <c r="H54" s="159"/>
      <c r="I54" s="159"/>
      <c r="P54" s="620">
        <v>51</v>
      </c>
      <c r="Q54" s="621">
        <v>9.08</v>
      </c>
      <c r="R54" s="621">
        <v>3.71</v>
      </c>
      <c r="S54" s="621">
        <v>67.64</v>
      </c>
      <c r="T54" s="621">
        <v>69.61</v>
      </c>
      <c r="U54" s="621">
        <v>11.22</v>
      </c>
      <c r="V54" s="621">
        <v>10.5</v>
      </c>
      <c r="W54" s="621">
        <v>1.37</v>
      </c>
      <c r="X54" s="621">
        <v>55.42</v>
      </c>
      <c r="Y54" s="621">
        <v>17.489999999999998</v>
      </c>
    </row>
    <row r="55" spans="1:25">
      <c r="A55" s="157"/>
      <c r="B55" s="159"/>
      <c r="C55" s="159"/>
      <c r="D55" s="159"/>
      <c r="E55" s="159"/>
      <c r="F55" s="159"/>
      <c r="G55" s="159"/>
      <c r="H55" s="159"/>
      <c r="I55" s="159"/>
      <c r="O55" s="619">
        <v>52</v>
      </c>
      <c r="P55" s="620">
        <v>52</v>
      </c>
      <c r="Q55" s="621">
        <v>8.42</v>
      </c>
      <c r="R55" s="621">
        <v>3.57</v>
      </c>
      <c r="S55" s="621">
        <v>56.187571937142856</v>
      </c>
      <c r="T55" s="621">
        <v>58.452428545714284</v>
      </c>
      <c r="U55" s="621">
        <v>8.01</v>
      </c>
      <c r="V55" s="621">
        <v>10.507142884285715</v>
      </c>
      <c r="W55" s="621">
        <v>1.53</v>
      </c>
      <c r="X55" s="621">
        <v>59.550713675714292</v>
      </c>
      <c r="Y55" s="621">
        <v>18.608285904285712</v>
      </c>
    </row>
    <row r="56" spans="1:25">
      <c r="A56" s="157"/>
      <c r="B56" s="159"/>
      <c r="C56" s="159"/>
      <c r="D56" s="159"/>
      <c r="E56" s="159"/>
      <c r="F56" s="159"/>
      <c r="G56" s="159"/>
      <c r="H56" s="159"/>
      <c r="I56" s="159"/>
      <c r="N56" s="619">
        <v>2017</v>
      </c>
      <c r="O56" s="619">
        <v>1</v>
      </c>
      <c r="P56" s="620">
        <v>1</v>
      </c>
      <c r="Q56" s="621">
        <v>13.85</v>
      </c>
      <c r="R56" s="621">
        <v>11.3</v>
      </c>
      <c r="S56" s="621">
        <v>104.02</v>
      </c>
      <c r="T56" s="621">
        <v>148.43</v>
      </c>
      <c r="U56" s="621">
        <v>24.1</v>
      </c>
      <c r="V56" s="621">
        <v>10.220000000000001</v>
      </c>
      <c r="W56" s="621">
        <v>3.28</v>
      </c>
      <c r="X56" s="621">
        <v>89.46</v>
      </c>
      <c r="Y56" s="621">
        <v>25.43</v>
      </c>
    </row>
    <row r="57" spans="1:25">
      <c r="A57" s="157"/>
      <c r="B57" s="159"/>
      <c r="C57" s="159"/>
      <c r="D57" s="159"/>
      <c r="E57" s="159"/>
      <c r="F57" s="159"/>
      <c r="G57" s="159"/>
      <c r="H57" s="159"/>
      <c r="I57" s="159"/>
      <c r="P57" s="620">
        <v>2</v>
      </c>
      <c r="Q57" s="621">
        <v>14.96</v>
      </c>
      <c r="R57" s="621">
        <v>15.4</v>
      </c>
      <c r="S57" s="621">
        <v>143.97</v>
      </c>
      <c r="T57" s="621">
        <v>175.88</v>
      </c>
      <c r="U57" s="621">
        <v>33.74</v>
      </c>
      <c r="V57" s="621">
        <v>10.17</v>
      </c>
      <c r="W57" s="621">
        <v>6.45</v>
      </c>
      <c r="X57" s="621">
        <v>178.14</v>
      </c>
      <c r="Y57" s="621">
        <v>55.67</v>
      </c>
    </row>
    <row r="58" spans="1:25">
      <c r="A58" s="157"/>
      <c r="B58" s="159"/>
      <c r="C58" s="159"/>
      <c r="D58" s="159"/>
      <c r="E58" s="159"/>
      <c r="F58" s="159"/>
      <c r="G58" s="159"/>
      <c r="H58" s="159"/>
      <c r="I58" s="159"/>
      <c r="P58" s="620">
        <v>3</v>
      </c>
      <c r="Q58" s="621">
        <v>28.98</v>
      </c>
      <c r="R58" s="621">
        <v>21.94</v>
      </c>
      <c r="S58" s="621">
        <v>355.12</v>
      </c>
      <c r="T58" s="621">
        <v>177.57</v>
      </c>
      <c r="U58" s="621">
        <v>35.49</v>
      </c>
      <c r="V58" s="621">
        <v>10</v>
      </c>
      <c r="W58" s="621">
        <v>9.0500000000000007</v>
      </c>
      <c r="X58" s="621">
        <v>174.94</v>
      </c>
      <c r="Y58" s="621">
        <v>58.31</v>
      </c>
    </row>
    <row r="59" spans="1:25">
      <c r="A59" s="157"/>
      <c r="B59" s="159"/>
      <c r="C59" s="159"/>
      <c r="D59" s="159"/>
      <c r="E59" s="159"/>
      <c r="F59" s="159"/>
      <c r="G59" s="159"/>
      <c r="H59" s="159"/>
      <c r="I59" s="159"/>
      <c r="O59" s="619">
        <v>4</v>
      </c>
      <c r="P59" s="620">
        <v>4</v>
      </c>
      <c r="Q59" s="621">
        <v>30.46</v>
      </c>
      <c r="R59" s="621">
        <v>23.91</v>
      </c>
      <c r="S59" s="621">
        <v>519.4</v>
      </c>
      <c r="T59" s="621">
        <v>205.76</v>
      </c>
      <c r="U59" s="621">
        <v>48.48</v>
      </c>
      <c r="V59" s="621">
        <v>10</v>
      </c>
      <c r="W59" s="621">
        <v>2.4300000000000002</v>
      </c>
      <c r="X59" s="621">
        <v>141.31</v>
      </c>
      <c r="Y59" s="621">
        <v>47.49</v>
      </c>
    </row>
    <row r="60" spans="1:25">
      <c r="A60" s="157"/>
      <c r="B60" s="159"/>
      <c r="C60" s="159"/>
      <c r="D60" s="159"/>
      <c r="E60" s="159"/>
      <c r="F60" s="159"/>
      <c r="G60" s="159"/>
      <c r="H60" s="159"/>
      <c r="I60" s="159"/>
      <c r="P60" s="620">
        <v>5</v>
      </c>
      <c r="Q60" s="621">
        <v>21.36</v>
      </c>
      <c r="R60" s="621">
        <v>18.07</v>
      </c>
      <c r="S60" s="621">
        <v>330.78</v>
      </c>
      <c r="T60" s="621">
        <v>123.41</v>
      </c>
      <c r="U60" s="621">
        <v>25.33</v>
      </c>
      <c r="V60" s="621">
        <v>11.41</v>
      </c>
      <c r="W60" s="621">
        <v>2.87</v>
      </c>
      <c r="X60" s="621">
        <v>123.59</v>
      </c>
      <c r="Y60" s="621">
        <v>45.46</v>
      </c>
    </row>
    <row r="61" spans="1:25">
      <c r="A61" s="157"/>
      <c r="B61" s="159"/>
      <c r="C61" s="159"/>
      <c r="D61" s="159"/>
      <c r="E61" s="159"/>
      <c r="F61" s="159"/>
      <c r="G61" s="159"/>
      <c r="H61" s="159"/>
      <c r="I61" s="159"/>
      <c r="P61" s="620">
        <v>6</v>
      </c>
      <c r="Q61" s="621">
        <v>25.42</v>
      </c>
      <c r="R61" s="621">
        <v>21.42</v>
      </c>
      <c r="S61" s="621">
        <v>200.58</v>
      </c>
      <c r="T61" s="621">
        <v>108.48</v>
      </c>
      <c r="U61" s="621">
        <v>22.99</v>
      </c>
      <c r="V61" s="621">
        <v>10.57</v>
      </c>
      <c r="W61" s="621">
        <v>3.01</v>
      </c>
      <c r="X61" s="621">
        <v>85.48</v>
      </c>
      <c r="Y61" s="621">
        <v>28.56</v>
      </c>
    </row>
    <row r="62" spans="1:25">
      <c r="A62" s="157"/>
      <c r="B62" s="159"/>
      <c r="C62" s="159"/>
      <c r="D62" s="159"/>
      <c r="E62" s="159"/>
      <c r="F62" s="159"/>
      <c r="G62" s="159"/>
      <c r="H62" s="159"/>
      <c r="I62" s="159"/>
      <c r="P62" s="620">
        <v>7</v>
      </c>
      <c r="Q62" s="621">
        <v>35.43</v>
      </c>
      <c r="R62" s="621">
        <v>25.12</v>
      </c>
      <c r="S62" s="621">
        <v>393.69</v>
      </c>
      <c r="T62" s="621">
        <v>144.62</v>
      </c>
      <c r="U62" s="621">
        <v>39.44</v>
      </c>
      <c r="V62" s="621">
        <v>10</v>
      </c>
      <c r="W62" s="621">
        <v>2.88</v>
      </c>
      <c r="X62" s="621">
        <v>100.57</v>
      </c>
      <c r="Y62" s="621">
        <v>25.04</v>
      </c>
    </row>
    <row r="63" spans="1:25">
      <c r="A63" s="157"/>
      <c r="B63" s="159"/>
      <c r="C63" s="159"/>
      <c r="D63" s="159"/>
      <c r="E63" s="159"/>
      <c r="F63" s="159"/>
      <c r="G63" s="159"/>
      <c r="H63" s="159"/>
      <c r="I63" s="159"/>
      <c r="O63" s="619">
        <v>8</v>
      </c>
      <c r="P63" s="620">
        <v>8</v>
      </c>
      <c r="Q63" s="621">
        <v>30.45</v>
      </c>
      <c r="R63" s="621">
        <v>23.33</v>
      </c>
      <c r="S63" s="621">
        <v>345.37</v>
      </c>
      <c r="T63" s="621">
        <v>140.63</v>
      </c>
      <c r="U63" s="621">
        <v>30.47</v>
      </c>
      <c r="V63" s="621">
        <v>9.58</v>
      </c>
      <c r="W63" s="621">
        <v>2.0699999999999998</v>
      </c>
      <c r="X63" s="621">
        <v>163.72999999999999</v>
      </c>
      <c r="Y63" s="621">
        <v>58.84</v>
      </c>
    </row>
    <row r="64" spans="1:25" ht="6" customHeight="1">
      <c r="A64" s="157"/>
      <c r="B64" s="159"/>
      <c r="C64" s="159"/>
      <c r="D64" s="159"/>
      <c r="E64" s="159"/>
      <c r="F64" s="159"/>
      <c r="G64" s="159"/>
      <c r="H64" s="159"/>
      <c r="I64" s="159"/>
      <c r="P64" s="620">
        <v>9</v>
      </c>
      <c r="Q64" s="621">
        <v>37.72</v>
      </c>
      <c r="R64" s="621">
        <v>24.83</v>
      </c>
      <c r="S64" s="621">
        <v>567.22</v>
      </c>
      <c r="T64" s="621">
        <v>245.85</v>
      </c>
      <c r="U64" s="621">
        <v>67.56</v>
      </c>
      <c r="V64" s="621">
        <v>9.01</v>
      </c>
      <c r="W64" s="621">
        <v>7.33</v>
      </c>
      <c r="X64" s="621">
        <v>285.31</v>
      </c>
      <c r="Y64" s="621">
        <v>102.26</v>
      </c>
    </row>
    <row r="65" spans="1:25" ht="24.75" customHeight="1">
      <c r="A65" s="899" t="s">
        <v>307</v>
      </c>
      <c r="B65" s="899"/>
      <c r="C65" s="899"/>
      <c r="D65" s="899"/>
      <c r="E65" s="899"/>
      <c r="F65" s="899"/>
      <c r="G65" s="899"/>
      <c r="H65" s="899"/>
      <c r="I65" s="899"/>
      <c r="J65" s="899"/>
      <c r="K65" s="899"/>
      <c r="L65" s="899"/>
      <c r="P65" s="620">
        <v>10</v>
      </c>
      <c r="Q65" s="621">
        <v>36.46</v>
      </c>
      <c r="R65" s="621">
        <v>24.95</v>
      </c>
      <c r="S65" s="621">
        <v>467.04</v>
      </c>
      <c r="T65" s="621">
        <v>188.01</v>
      </c>
      <c r="U65" s="621">
        <v>50.5</v>
      </c>
      <c r="V65" s="621">
        <v>10.06</v>
      </c>
      <c r="W65" s="621">
        <v>3.71</v>
      </c>
      <c r="X65" s="621">
        <v>374.33</v>
      </c>
      <c r="Y65" s="621">
        <v>83.74</v>
      </c>
    </row>
    <row r="66" spans="1:25" ht="20.25" customHeight="1">
      <c r="P66" s="620">
        <v>11</v>
      </c>
      <c r="Q66" s="621">
        <v>35.590000000000003</v>
      </c>
      <c r="R66" s="621">
        <v>26.89</v>
      </c>
      <c r="S66" s="621">
        <v>448.3</v>
      </c>
      <c r="T66" s="621">
        <v>169.95</v>
      </c>
      <c r="U66" s="621">
        <v>51.21</v>
      </c>
      <c r="V66" s="621">
        <v>26.15</v>
      </c>
      <c r="W66" s="621">
        <v>8.66</v>
      </c>
      <c r="X66" s="621">
        <v>219.86</v>
      </c>
      <c r="Y66" s="621">
        <v>62.42</v>
      </c>
    </row>
    <row r="67" spans="1:25">
      <c r="O67" s="619">
        <v>12</v>
      </c>
      <c r="P67" s="620">
        <v>12</v>
      </c>
      <c r="Q67" s="621">
        <v>37.82</v>
      </c>
      <c r="R67" s="621">
        <v>20.6</v>
      </c>
      <c r="S67" s="621">
        <v>350.87</v>
      </c>
      <c r="T67" s="621">
        <v>146.01</v>
      </c>
      <c r="U67" s="621">
        <v>38.08</v>
      </c>
      <c r="V67" s="621">
        <v>12.43</v>
      </c>
      <c r="W67" s="621">
        <v>5.63</v>
      </c>
      <c r="X67" s="621">
        <v>190.11</v>
      </c>
      <c r="Y67" s="621">
        <v>52.01</v>
      </c>
    </row>
    <row r="68" spans="1:25">
      <c r="P68" s="620">
        <v>13</v>
      </c>
      <c r="Q68" s="621">
        <v>35.93</v>
      </c>
      <c r="R68" s="621">
        <v>24.02</v>
      </c>
      <c r="S68" s="621">
        <v>380.48</v>
      </c>
      <c r="T68" s="621">
        <v>173.02</v>
      </c>
      <c r="U68" s="621">
        <v>38.869999999999997</v>
      </c>
      <c r="V68" s="621">
        <v>11.98</v>
      </c>
      <c r="W68" s="621">
        <v>5.83</v>
      </c>
      <c r="X68" s="621">
        <v>272.08999999999997</v>
      </c>
      <c r="Y68" s="621">
        <v>65.430000000000007</v>
      </c>
    </row>
    <row r="69" spans="1:25">
      <c r="P69" s="620">
        <v>14</v>
      </c>
      <c r="Q69" s="621">
        <v>42.9</v>
      </c>
      <c r="R69" s="621">
        <v>17.87</v>
      </c>
      <c r="S69" s="621">
        <v>427.28</v>
      </c>
      <c r="T69" s="621">
        <v>137.65</v>
      </c>
      <c r="U69" s="621">
        <v>35.950000000000003</v>
      </c>
      <c r="V69" s="621">
        <v>28.72</v>
      </c>
      <c r="W69" s="621">
        <v>4.95</v>
      </c>
      <c r="X69" s="621">
        <v>301.82</v>
      </c>
      <c r="Y69" s="621">
        <v>71.06</v>
      </c>
    </row>
    <row r="70" spans="1:25">
      <c r="P70" s="620">
        <v>15</v>
      </c>
      <c r="Q70" s="621">
        <v>31.19</v>
      </c>
      <c r="R70" s="621">
        <v>17.87</v>
      </c>
      <c r="S70" s="621">
        <v>334.14</v>
      </c>
      <c r="T70" s="621">
        <v>129.9</v>
      </c>
      <c r="U70" s="621">
        <v>29.93</v>
      </c>
      <c r="V70" s="621">
        <v>16.28</v>
      </c>
      <c r="W70" s="621">
        <v>1.82</v>
      </c>
      <c r="X70" s="621">
        <v>203.49</v>
      </c>
      <c r="Y70" s="621">
        <v>77.099999999999994</v>
      </c>
    </row>
    <row r="71" spans="1:25">
      <c r="O71" s="619">
        <v>16</v>
      </c>
      <c r="P71" s="620">
        <v>16</v>
      </c>
      <c r="Q71" s="621">
        <v>22.8</v>
      </c>
      <c r="R71" s="621">
        <v>11.46</v>
      </c>
      <c r="S71" s="621">
        <v>218.96</v>
      </c>
      <c r="T71" s="621">
        <v>100.66</v>
      </c>
      <c r="U71" s="621">
        <v>21.85</v>
      </c>
      <c r="V71" s="621">
        <v>15.43</v>
      </c>
      <c r="W71" s="621">
        <v>2.33</v>
      </c>
      <c r="X71" s="621">
        <v>155.33000000000001</v>
      </c>
      <c r="Y71" s="621">
        <v>48.77</v>
      </c>
    </row>
    <row r="72" spans="1:25">
      <c r="P72" s="620">
        <v>17</v>
      </c>
      <c r="Q72" s="621">
        <v>20.18</v>
      </c>
      <c r="R72" s="621">
        <v>11.46</v>
      </c>
      <c r="S72" s="621">
        <v>180.47</v>
      </c>
      <c r="T72" s="621">
        <v>91.24</v>
      </c>
      <c r="U72" s="621">
        <v>18.89</v>
      </c>
      <c r="V72" s="621">
        <v>12.29</v>
      </c>
      <c r="W72" s="621">
        <v>1.9</v>
      </c>
      <c r="X72" s="621">
        <v>111.37</v>
      </c>
      <c r="Y72" s="621">
        <v>34.409999999999997</v>
      </c>
    </row>
    <row r="73" spans="1:25">
      <c r="P73" s="620">
        <v>18</v>
      </c>
      <c r="Q73" s="621">
        <v>19.84</v>
      </c>
      <c r="R73" s="621">
        <v>10.36</v>
      </c>
      <c r="S73" s="621">
        <v>212.89</v>
      </c>
      <c r="T73" s="621">
        <v>98.95</v>
      </c>
      <c r="U73" s="621">
        <v>19.899999999999999</v>
      </c>
      <c r="V73" s="621">
        <v>11.64</v>
      </c>
      <c r="W73" s="621">
        <v>1.46</v>
      </c>
      <c r="X73" s="621">
        <v>117.05</v>
      </c>
      <c r="Y73" s="621">
        <v>28.8</v>
      </c>
    </row>
    <row r="74" spans="1:25">
      <c r="P74" s="620">
        <v>19</v>
      </c>
      <c r="Q74" s="621">
        <v>21.4</v>
      </c>
      <c r="R74" s="621">
        <v>9.25</v>
      </c>
      <c r="S74" s="621">
        <v>199.54</v>
      </c>
      <c r="T74" s="621">
        <v>89.02</v>
      </c>
      <c r="U74" s="621">
        <v>15.9</v>
      </c>
      <c r="V74" s="621">
        <v>11</v>
      </c>
      <c r="W74" s="621">
        <v>1.36</v>
      </c>
      <c r="X74" s="621">
        <v>79.2</v>
      </c>
      <c r="Y74" s="621">
        <v>22.78</v>
      </c>
    </row>
    <row r="75" spans="1:25">
      <c r="O75" s="619">
        <v>20</v>
      </c>
      <c r="P75" s="620">
        <v>20</v>
      </c>
      <c r="Q75" s="621">
        <v>17.23</v>
      </c>
      <c r="R75" s="621">
        <v>6.32</v>
      </c>
      <c r="S75" s="621">
        <v>136.84</v>
      </c>
      <c r="T75" s="621">
        <v>72.95</v>
      </c>
      <c r="U75" s="621">
        <v>15.03</v>
      </c>
      <c r="V75" s="621">
        <v>11</v>
      </c>
      <c r="W75" s="621">
        <v>1.98</v>
      </c>
      <c r="X75" s="621">
        <v>69.37</v>
      </c>
      <c r="Y75" s="621">
        <v>17.8</v>
      </c>
    </row>
    <row r="76" spans="1:25">
      <c r="P76" s="620">
        <v>21</v>
      </c>
      <c r="Q76" s="621">
        <v>16.09</v>
      </c>
      <c r="R76" s="621">
        <v>6.32</v>
      </c>
      <c r="S76" s="621">
        <v>116.86</v>
      </c>
      <c r="T76" s="621">
        <v>99.42</v>
      </c>
      <c r="U76" s="621">
        <v>20.059999999999999</v>
      </c>
      <c r="V76" s="621">
        <v>11.01</v>
      </c>
      <c r="W76" s="621">
        <v>1.6</v>
      </c>
      <c r="X76" s="621">
        <v>68.8</v>
      </c>
      <c r="Y76" s="621">
        <v>17.84</v>
      </c>
    </row>
    <row r="77" spans="1:25">
      <c r="P77" s="620">
        <v>22</v>
      </c>
      <c r="Q77" s="621">
        <v>15.1</v>
      </c>
      <c r="R77" s="621">
        <v>5.59</v>
      </c>
      <c r="S77" s="621">
        <v>118.58</v>
      </c>
      <c r="T77" s="621">
        <v>79.099999999999994</v>
      </c>
      <c r="U77" s="621">
        <v>16</v>
      </c>
      <c r="V77" s="621">
        <v>11</v>
      </c>
      <c r="W77" s="621">
        <v>1.01</v>
      </c>
      <c r="X77" s="621">
        <v>69.05</v>
      </c>
      <c r="Y77" s="621">
        <v>16.37</v>
      </c>
    </row>
    <row r="78" spans="1:25">
      <c r="P78" s="620">
        <v>23</v>
      </c>
      <c r="Q78" s="621">
        <v>14.28</v>
      </c>
      <c r="R78" s="621">
        <v>4.8499999999999996</v>
      </c>
      <c r="S78" s="621">
        <v>112.05</v>
      </c>
      <c r="T78" s="621">
        <v>63.27</v>
      </c>
      <c r="U78" s="621">
        <v>13.78</v>
      </c>
      <c r="V78" s="621">
        <v>11</v>
      </c>
      <c r="W78" s="621">
        <v>1.82</v>
      </c>
      <c r="X78" s="621">
        <v>54.09</v>
      </c>
      <c r="Y78" s="621">
        <v>13.15</v>
      </c>
    </row>
    <row r="79" spans="1:25">
      <c r="O79" s="619">
        <v>24</v>
      </c>
      <c r="P79" s="620">
        <v>24</v>
      </c>
      <c r="Q79" s="621">
        <v>13.3</v>
      </c>
      <c r="R79" s="621">
        <v>4.8499999999999996</v>
      </c>
      <c r="S79" s="621">
        <v>91.62</v>
      </c>
      <c r="T79" s="621">
        <v>49.79</v>
      </c>
      <c r="U79" s="621">
        <v>11.29</v>
      </c>
      <c r="V79" s="621">
        <v>11</v>
      </c>
      <c r="W79" s="621">
        <v>1.89</v>
      </c>
      <c r="X79" s="621">
        <v>45.31</v>
      </c>
      <c r="Y79" s="621">
        <v>10.85</v>
      </c>
    </row>
    <row r="80" spans="1:25">
      <c r="P80" s="620">
        <v>25</v>
      </c>
      <c r="Q80" s="621">
        <v>12.63</v>
      </c>
      <c r="R80" s="621">
        <v>3.77</v>
      </c>
      <c r="S80" s="621">
        <v>81.33</v>
      </c>
      <c r="T80" s="621">
        <v>46.74</v>
      </c>
      <c r="U80" s="621">
        <v>10.02</v>
      </c>
      <c r="V80" s="621">
        <v>11</v>
      </c>
      <c r="W80" s="621">
        <v>1.77</v>
      </c>
      <c r="X80" s="621">
        <v>40.42</v>
      </c>
      <c r="Y80" s="621">
        <v>8.98</v>
      </c>
    </row>
    <row r="81" spans="15:25">
      <c r="P81" s="620">
        <v>26</v>
      </c>
      <c r="Q81" s="621">
        <v>11.92</v>
      </c>
      <c r="R81" s="621">
        <v>3.77</v>
      </c>
      <c r="S81" s="621">
        <v>80.900000000000006</v>
      </c>
      <c r="T81" s="621">
        <v>41.45</v>
      </c>
      <c r="U81" s="621">
        <v>9.24</v>
      </c>
      <c r="V81" s="621">
        <v>12</v>
      </c>
      <c r="W81" s="621">
        <v>1.86</v>
      </c>
      <c r="X81" s="621">
        <v>37.89</v>
      </c>
      <c r="Y81" s="621">
        <v>9.41</v>
      </c>
    </row>
    <row r="82" spans="15:25">
      <c r="P82" s="620">
        <v>27</v>
      </c>
      <c r="Q82" s="621">
        <v>11.92</v>
      </c>
      <c r="R82" s="621">
        <v>3.91</v>
      </c>
      <c r="S82" s="621">
        <v>82.99</v>
      </c>
      <c r="T82" s="621">
        <v>60.31</v>
      </c>
      <c r="U82" s="621">
        <v>9.73</v>
      </c>
      <c r="V82" s="621">
        <v>12</v>
      </c>
      <c r="W82" s="621">
        <v>1.9</v>
      </c>
      <c r="X82" s="621">
        <v>38.229999999999997</v>
      </c>
      <c r="Y82" s="621">
        <v>8.58</v>
      </c>
    </row>
    <row r="83" spans="15:25">
      <c r="O83" s="619">
        <v>28</v>
      </c>
      <c r="P83" s="620">
        <v>28</v>
      </c>
      <c r="Q83" s="621">
        <v>11.04</v>
      </c>
      <c r="R83" s="621">
        <v>3.91</v>
      </c>
      <c r="S83" s="621">
        <v>71.739999999999995</v>
      </c>
      <c r="T83" s="621">
        <v>39.090000000000003</v>
      </c>
      <c r="U83" s="621">
        <v>8.42</v>
      </c>
      <c r="V83" s="621">
        <v>12</v>
      </c>
      <c r="W83" s="621">
        <v>1.65</v>
      </c>
      <c r="X83" s="621">
        <v>33.9</v>
      </c>
      <c r="Y83" s="621">
        <v>6.64</v>
      </c>
    </row>
    <row r="84" spans="15:25">
      <c r="P84" s="620">
        <v>29</v>
      </c>
      <c r="Q84" s="621">
        <v>10.27</v>
      </c>
      <c r="R84" s="621">
        <v>3.42</v>
      </c>
      <c r="S84" s="621">
        <v>67.8</v>
      </c>
      <c r="T84" s="621">
        <v>32.590000000000003</v>
      </c>
      <c r="U84" s="621">
        <v>7.7</v>
      </c>
      <c r="V84" s="621">
        <v>10.51</v>
      </c>
      <c r="W84" s="621">
        <v>1.79</v>
      </c>
      <c r="X84" s="621">
        <v>31.97</v>
      </c>
      <c r="Y84" s="621">
        <v>6.49</v>
      </c>
    </row>
    <row r="85" spans="15:25">
      <c r="P85" s="620">
        <v>30</v>
      </c>
      <c r="Q85" s="621">
        <v>9.4700000000000006</v>
      </c>
      <c r="R85" s="621">
        <v>3.42</v>
      </c>
      <c r="S85" s="621">
        <v>69.62</v>
      </c>
      <c r="T85" s="621">
        <v>28.39</v>
      </c>
      <c r="U85" s="621">
        <v>7.39</v>
      </c>
      <c r="V85" s="621">
        <v>12</v>
      </c>
      <c r="W85" s="621">
        <v>1.64</v>
      </c>
      <c r="X85" s="621">
        <v>31.76</v>
      </c>
      <c r="Y85" s="621">
        <v>6.15</v>
      </c>
    </row>
    <row r="86" spans="15:25">
      <c r="P86" s="620">
        <v>31</v>
      </c>
      <c r="Q86" s="621">
        <v>9.0500000000000007</v>
      </c>
      <c r="R86" s="621">
        <v>3.3</v>
      </c>
      <c r="S86" s="621">
        <v>61.71</v>
      </c>
      <c r="T86" s="621">
        <v>26.51</v>
      </c>
      <c r="U86" s="621">
        <v>7.02</v>
      </c>
      <c r="V86" s="621">
        <v>12</v>
      </c>
      <c r="W86" s="621">
        <v>1.87</v>
      </c>
      <c r="X86" s="621">
        <v>31.68</v>
      </c>
      <c r="Y86" s="621">
        <v>5.51</v>
      </c>
    </row>
    <row r="87" spans="15:25">
      <c r="O87" s="619">
        <v>32</v>
      </c>
      <c r="P87" s="620">
        <v>32</v>
      </c>
      <c r="Q87" s="621">
        <v>9.9</v>
      </c>
      <c r="R87" s="621">
        <v>2.68</v>
      </c>
      <c r="S87" s="621">
        <v>65.38</v>
      </c>
      <c r="T87" s="621">
        <v>24.1</v>
      </c>
      <c r="U87" s="621">
        <v>6.7</v>
      </c>
      <c r="V87" s="621">
        <v>12</v>
      </c>
      <c r="W87" s="621">
        <v>1.95</v>
      </c>
      <c r="X87" s="621">
        <v>31.01</v>
      </c>
      <c r="Y87" s="621">
        <v>5.16</v>
      </c>
    </row>
    <row r="88" spans="15:25">
      <c r="P88" s="620">
        <v>33</v>
      </c>
      <c r="Q88" s="621">
        <v>9.17</v>
      </c>
      <c r="R88" s="621">
        <v>2.4300000000000002</v>
      </c>
      <c r="S88" s="621">
        <v>59.63</v>
      </c>
      <c r="T88" s="621">
        <v>24.29</v>
      </c>
      <c r="U88" s="621">
        <v>6.44</v>
      </c>
      <c r="V88" s="621">
        <v>12</v>
      </c>
      <c r="W88" s="621">
        <v>1.82</v>
      </c>
      <c r="X88" s="621">
        <v>30.23</v>
      </c>
      <c r="Y88" s="621">
        <v>5.27</v>
      </c>
    </row>
    <row r="89" spans="15:25">
      <c r="P89" s="620">
        <v>34</v>
      </c>
      <c r="Q89" s="621">
        <v>7.78</v>
      </c>
      <c r="R89" s="621">
        <v>2.61</v>
      </c>
      <c r="S89" s="621">
        <v>60.62</v>
      </c>
      <c r="T89" s="621">
        <v>25.9</v>
      </c>
      <c r="U89" s="621">
        <v>6.62</v>
      </c>
      <c r="V89" s="621">
        <v>12</v>
      </c>
      <c r="W89" s="621">
        <v>1.89</v>
      </c>
      <c r="X89" s="621">
        <v>32.17</v>
      </c>
      <c r="Y89" s="621">
        <v>5.0599999999999996</v>
      </c>
    </row>
    <row r="90" spans="15:25">
      <c r="P90" s="620">
        <v>35</v>
      </c>
      <c r="Q90" s="621">
        <v>7.73</v>
      </c>
      <c r="R90" s="621">
        <v>3.07</v>
      </c>
      <c r="S90" s="621">
        <v>58.47</v>
      </c>
      <c r="T90" s="621">
        <v>26.33</v>
      </c>
      <c r="U90" s="621">
        <v>6.66</v>
      </c>
      <c r="V90" s="621">
        <v>12.14</v>
      </c>
      <c r="W90" s="621">
        <v>1.97</v>
      </c>
      <c r="X90" s="621">
        <v>31.63</v>
      </c>
      <c r="Y90" s="621">
        <v>4.84</v>
      </c>
    </row>
    <row r="91" spans="15:25">
      <c r="O91" s="619">
        <v>36</v>
      </c>
      <c r="P91" s="620">
        <v>36</v>
      </c>
      <c r="Q91" s="621">
        <v>7.1</v>
      </c>
      <c r="R91" s="621">
        <v>3.57</v>
      </c>
      <c r="S91" s="621">
        <v>61.13</v>
      </c>
      <c r="T91" s="621">
        <v>27.35</v>
      </c>
      <c r="U91" s="621">
        <v>6.84</v>
      </c>
      <c r="V91" s="621">
        <v>13</v>
      </c>
      <c r="W91" s="621">
        <v>1.76</v>
      </c>
      <c r="X91" s="621">
        <v>34.090000000000003</v>
      </c>
      <c r="Y91" s="621">
        <v>4.8899999999999997</v>
      </c>
    </row>
    <row r="92" spans="15:25">
      <c r="P92" s="620">
        <v>37</v>
      </c>
      <c r="Q92" s="621">
        <v>7.53</v>
      </c>
      <c r="R92" s="621">
        <v>5.04</v>
      </c>
      <c r="S92" s="621">
        <v>59.93</v>
      </c>
      <c r="T92" s="621">
        <v>34.56</v>
      </c>
      <c r="U92" s="621">
        <v>7.96</v>
      </c>
      <c r="V92" s="621">
        <v>13</v>
      </c>
      <c r="W92" s="621">
        <v>1.7</v>
      </c>
      <c r="X92" s="621">
        <v>38.06</v>
      </c>
      <c r="Y92" s="621">
        <v>8.4</v>
      </c>
    </row>
    <row r="93" spans="15:25">
      <c r="P93" s="620">
        <v>38</v>
      </c>
      <c r="Q93" s="621">
        <v>9.73</v>
      </c>
      <c r="R93" s="621">
        <v>3.75</v>
      </c>
      <c r="S93" s="621">
        <v>64.319999999999993</v>
      </c>
      <c r="T93" s="621">
        <v>41.74</v>
      </c>
      <c r="U93" s="621">
        <v>9.43</v>
      </c>
      <c r="V93" s="621">
        <v>13</v>
      </c>
      <c r="W93" s="621">
        <v>1.77</v>
      </c>
      <c r="X93" s="621">
        <v>41.12</v>
      </c>
      <c r="Y93" s="621">
        <v>6.42</v>
      </c>
    </row>
    <row r="94" spans="15:25">
      <c r="O94" s="619">
        <v>39</v>
      </c>
      <c r="P94" s="620">
        <v>39</v>
      </c>
      <c r="Q94" s="621">
        <v>7.21</v>
      </c>
      <c r="R94" s="621">
        <v>3.83</v>
      </c>
      <c r="S94" s="621">
        <v>66.83</v>
      </c>
      <c r="T94" s="621">
        <v>46.48</v>
      </c>
      <c r="U94" s="621">
        <v>7.93</v>
      </c>
      <c r="V94" s="621">
        <v>13</v>
      </c>
      <c r="W94" s="621">
        <v>1.99</v>
      </c>
      <c r="X94" s="621">
        <v>33.06</v>
      </c>
      <c r="Y94" s="621">
        <v>7.98</v>
      </c>
    </row>
    <row r="95" spans="15:25">
      <c r="P95" s="620">
        <v>40</v>
      </c>
      <c r="Q95" s="621">
        <v>6.89</v>
      </c>
      <c r="R95" s="621">
        <v>3.2</v>
      </c>
      <c r="S95" s="621">
        <v>56.32</v>
      </c>
      <c r="T95" s="621">
        <v>28.11</v>
      </c>
      <c r="U95" s="621">
        <v>6.02</v>
      </c>
      <c r="V95" s="621">
        <v>13</v>
      </c>
      <c r="W95" s="621">
        <v>1.48</v>
      </c>
      <c r="X95" s="621">
        <v>35.54</v>
      </c>
      <c r="Y95" s="621">
        <v>5.32</v>
      </c>
    </row>
    <row r="96" spans="15:25">
      <c r="P96" s="620">
        <v>41</v>
      </c>
      <c r="Q96" s="621">
        <v>7.51</v>
      </c>
      <c r="R96" s="621">
        <v>3.26</v>
      </c>
      <c r="S96" s="621">
        <v>57.18</v>
      </c>
      <c r="T96" s="621">
        <v>32.11</v>
      </c>
      <c r="U96" s="621">
        <v>6.5</v>
      </c>
      <c r="V96" s="621">
        <v>13</v>
      </c>
      <c r="W96" s="621">
        <v>1.53</v>
      </c>
      <c r="X96" s="621">
        <v>37.47</v>
      </c>
      <c r="Y96" s="621">
        <v>4.95</v>
      </c>
    </row>
    <row r="97" spans="14:25">
      <c r="P97" s="620">
        <v>42</v>
      </c>
      <c r="Q97" s="621">
        <v>7.92</v>
      </c>
      <c r="R97" s="621">
        <v>3.59</v>
      </c>
      <c r="S97" s="621">
        <v>71.87</v>
      </c>
      <c r="T97" s="621">
        <v>64.69</v>
      </c>
      <c r="U97" s="621">
        <v>9.44</v>
      </c>
      <c r="V97" s="621">
        <v>13</v>
      </c>
      <c r="W97" s="621">
        <v>1.93</v>
      </c>
      <c r="X97" s="621">
        <v>52.42</v>
      </c>
      <c r="Y97" s="621">
        <v>7.39</v>
      </c>
    </row>
    <row r="98" spans="14:25">
      <c r="O98" s="619">
        <v>43</v>
      </c>
      <c r="P98" s="620">
        <v>43</v>
      </c>
      <c r="Q98" s="621">
        <v>9.16</v>
      </c>
      <c r="R98" s="621">
        <v>3.99</v>
      </c>
      <c r="S98" s="621">
        <v>73.22</v>
      </c>
      <c r="T98" s="621">
        <v>71.16</v>
      </c>
      <c r="U98" s="621">
        <v>8.8800000000000008</v>
      </c>
      <c r="V98" s="621">
        <v>13</v>
      </c>
      <c r="W98" s="621">
        <v>1.69</v>
      </c>
      <c r="X98" s="621">
        <v>43.93</v>
      </c>
      <c r="Y98" s="621">
        <v>6.18</v>
      </c>
    </row>
    <row r="99" spans="14:25">
      <c r="P99" s="620">
        <v>44</v>
      </c>
      <c r="Q99" s="621">
        <v>8.81</v>
      </c>
      <c r="R99" s="621">
        <v>5.0199999999999996</v>
      </c>
      <c r="S99" s="621">
        <v>75.150000000000006</v>
      </c>
      <c r="T99" s="621">
        <v>62.33</v>
      </c>
      <c r="U99" s="621">
        <v>10.59</v>
      </c>
      <c r="V99" s="621">
        <v>13</v>
      </c>
      <c r="W99" s="621">
        <v>1.65</v>
      </c>
      <c r="X99" s="621">
        <v>40.229999999999997</v>
      </c>
      <c r="Y99" s="621">
        <v>8.7899999999999991</v>
      </c>
    </row>
    <row r="100" spans="14:25">
      <c r="P100" s="620">
        <v>45</v>
      </c>
      <c r="Q100" s="621">
        <v>8.3800000000000008</v>
      </c>
      <c r="R100" s="621">
        <v>4.2</v>
      </c>
      <c r="S100" s="621">
        <v>67.39</v>
      </c>
      <c r="T100" s="621">
        <v>61.76</v>
      </c>
      <c r="U100" s="621">
        <v>10.039999999999999</v>
      </c>
      <c r="V100" s="621">
        <v>13</v>
      </c>
      <c r="W100" s="621">
        <v>1.51</v>
      </c>
      <c r="X100" s="621">
        <v>41.85</v>
      </c>
      <c r="Y100" s="621">
        <v>11.45</v>
      </c>
    </row>
    <row r="101" spans="14:25">
      <c r="P101" s="620">
        <v>46</v>
      </c>
      <c r="Q101" s="621">
        <v>7.55</v>
      </c>
      <c r="R101" s="621">
        <v>3.7</v>
      </c>
      <c r="S101" s="621">
        <v>66.959999999999994</v>
      </c>
      <c r="T101" s="621">
        <v>66.040000000000006</v>
      </c>
      <c r="U101" s="621">
        <v>8.7799999999999994</v>
      </c>
      <c r="V101" s="621">
        <v>13</v>
      </c>
      <c r="W101" s="621">
        <v>1.65</v>
      </c>
      <c r="X101" s="621">
        <v>70.849999999999994</v>
      </c>
      <c r="Y101" s="621">
        <v>14.58</v>
      </c>
    </row>
    <row r="102" spans="14:25">
      <c r="P102" s="620">
        <v>47</v>
      </c>
      <c r="Q102" s="621">
        <v>7.39</v>
      </c>
      <c r="R102" s="621">
        <v>3.85</v>
      </c>
      <c r="S102" s="621">
        <v>67.72</v>
      </c>
      <c r="T102" s="621">
        <v>52.82</v>
      </c>
      <c r="U102" s="621">
        <v>7.81</v>
      </c>
      <c r="V102" s="621">
        <v>13</v>
      </c>
      <c r="W102" s="621">
        <v>1.6</v>
      </c>
      <c r="X102" s="621">
        <v>64.819999999999993</v>
      </c>
      <c r="Y102" s="621">
        <v>12.14</v>
      </c>
    </row>
    <row r="103" spans="14:25">
      <c r="O103" s="619">
        <v>48</v>
      </c>
      <c r="P103" s="620">
        <v>48</v>
      </c>
      <c r="Q103" s="621">
        <v>7.9678571564285718</v>
      </c>
      <c r="R103" s="621">
        <v>3.558142900428571</v>
      </c>
      <c r="S103" s="621">
        <v>77.366571698571434</v>
      </c>
      <c r="T103" s="621">
        <v>66.577285762857144</v>
      </c>
      <c r="U103" s="621">
        <v>9.1851428580000007</v>
      </c>
      <c r="V103" s="621">
        <v>13.005714417142858</v>
      </c>
      <c r="W103" s="621">
        <v>1.6</v>
      </c>
      <c r="X103" s="621">
        <v>47.846427917142854</v>
      </c>
      <c r="Y103" s="621">
        <v>12.516714369142859</v>
      </c>
    </row>
    <row r="104" spans="14:25">
      <c r="P104" s="620">
        <v>49</v>
      </c>
      <c r="Q104" s="621">
        <v>8.4875713758571436</v>
      </c>
      <c r="R104" s="621">
        <v>3.2600000074285718</v>
      </c>
      <c r="S104" s="621">
        <v>84.55585806714285</v>
      </c>
      <c r="T104" s="621">
        <v>72.732000077142857</v>
      </c>
      <c r="U104" s="621">
        <v>14.04828548342857</v>
      </c>
      <c r="V104" s="621">
        <v>13.002857208571429</v>
      </c>
      <c r="W104" s="621">
        <v>1.6</v>
      </c>
      <c r="X104" s="621">
        <v>57.322143555714298</v>
      </c>
      <c r="Y104" s="621">
        <v>18.826999800000003</v>
      </c>
    </row>
    <row r="105" spans="14:25">
      <c r="P105" s="620">
        <v>50</v>
      </c>
      <c r="Q105" s="621">
        <v>8.7257142747142868</v>
      </c>
      <c r="R105" s="621">
        <v>3.4628571441428577</v>
      </c>
      <c r="S105" s="621">
        <v>77.460142951428566</v>
      </c>
      <c r="T105" s="621">
        <v>64.097142899999994</v>
      </c>
      <c r="U105" s="621">
        <v>11.032857077571427</v>
      </c>
      <c r="V105" s="621">
        <v>13</v>
      </c>
      <c r="W105" s="621">
        <v>1.6000000240000001</v>
      </c>
      <c r="X105" s="621">
        <v>51.470714571428573</v>
      </c>
      <c r="Y105" s="621">
        <v>20.280285972857143</v>
      </c>
    </row>
    <row r="106" spans="14:25">
      <c r="P106" s="620">
        <v>51</v>
      </c>
      <c r="Q106" s="621">
        <v>9.7215715127142861</v>
      </c>
      <c r="R106" s="621">
        <v>4.2539999484285715</v>
      </c>
      <c r="S106" s="621">
        <v>78.166143688571424</v>
      </c>
      <c r="T106" s="621">
        <v>94.237856191428577</v>
      </c>
      <c r="U106" s="621">
        <v>14.381428445285712</v>
      </c>
      <c r="V106" s="621">
        <v>13.01285743857143</v>
      </c>
      <c r="W106" s="621">
        <v>1.6257142851428572</v>
      </c>
      <c r="X106" s="621">
        <v>65.58357184285714</v>
      </c>
      <c r="Y106" s="621">
        <v>34.849000112857141</v>
      </c>
    </row>
    <row r="107" spans="14:25">
      <c r="O107" s="619">
        <v>52</v>
      </c>
      <c r="P107" s="620">
        <v>52</v>
      </c>
      <c r="Q107" s="621">
        <v>10.323285784571427</v>
      </c>
      <c r="R107" s="621">
        <v>4.6457142829999993</v>
      </c>
      <c r="S107" s="621">
        <v>86.972714017142849</v>
      </c>
      <c r="T107" s="621">
        <v>94.357285634285716</v>
      </c>
      <c r="U107" s="621">
        <v>13.293999945714287</v>
      </c>
      <c r="V107" s="621">
        <v>13.09681579142857</v>
      </c>
      <c r="W107" s="621">
        <v>1.644999981</v>
      </c>
      <c r="X107" s="621">
        <v>104.27285767571428</v>
      </c>
      <c r="Y107" s="621">
        <v>35.335714887142856</v>
      </c>
    </row>
    <row r="108" spans="14:25">
      <c r="N108" s="619">
        <v>2018</v>
      </c>
      <c r="O108" s="619">
        <v>1</v>
      </c>
      <c r="P108" s="620">
        <v>1</v>
      </c>
      <c r="Q108" s="621">
        <v>10.34</v>
      </c>
      <c r="R108" s="621">
        <v>4.4628571428571426</v>
      </c>
      <c r="S108" s="621">
        <v>140.04142857142858</v>
      </c>
      <c r="T108" s="621">
        <v>143.09</v>
      </c>
      <c r="U108" s="621">
        <v>20.63</v>
      </c>
      <c r="V108" s="621">
        <v>13</v>
      </c>
      <c r="W108" s="621">
        <v>1.64</v>
      </c>
      <c r="X108" s="621">
        <v>201.2428571428571</v>
      </c>
      <c r="Y108" s="621">
        <v>63.23</v>
      </c>
    </row>
    <row r="109" spans="14:25">
      <c r="P109" s="620">
        <v>2</v>
      </c>
      <c r="Q109" s="621">
        <v>13.730999947142859</v>
      </c>
      <c r="R109" s="621">
        <v>3.5944285392857145</v>
      </c>
      <c r="S109" s="621">
        <v>209.91800362857143</v>
      </c>
      <c r="T109" s="621">
        <v>160.98214394285716</v>
      </c>
      <c r="U109" s="621">
        <v>36.213856559999996</v>
      </c>
      <c r="V109" s="621">
        <v>11.774285724285715</v>
      </c>
      <c r="W109" s="621">
        <v>1.5914286031428568</v>
      </c>
      <c r="X109" s="621">
        <v>229.4250030571429</v>
      </c>
      <c r="Y109" s="621">
        <v>56.654285431428562</v>
      </c>
    </row>
    <row r="110" spans="14:25">
      <c r="P110" s="620">
        <v>3</v>
      </c>
      <c r="Q110" s="621">
        <v>15.983285902857142</v>
      </c>
      <c r="R110" s="621">
        <v>8.3045714242857152</v>
      </c>
      <c r="S110" s="621">
        <v>223.6645725857143</v>
      </c>
      <c r="T110" s="621">
        <v>190.44042751428574</v>
      </c>
      <c r="U110" s="621">
        <v>30.819142750000001</v>
      </c>
      <c r="V110" s="621">
        <v>11.857142857142858</v>
      </c>
      <c r="W110" s="621">
        <v>1.5814286125714285</v>
      </c>
      <c r="X110" s="621">
        <v>261.56357028571426</v>
      </c>
      <c r="Y110" s="621">
        <v>68.516428267142857</v>
      </c>
    </row>
    <row r="111" spans="14:25">
      <c r="O111" s="619">
        <v>4</v>
      </c>
      <c r="P111" s="620">
        <v>4</v>
      </c>
      <c r="Q111" s="621">
        <v>21.988571574285714</v>
      </c>
      <c r="R111" s="621">
        <v>15.598142828000002</v>
      </c>
      <c r="S111" s="621">
        <v>346.88342720000003</v>
      </c>
      <c r="T111" s="621">
        <v>205.5832868285714</v>
      </c>
      <c r="U111" s="621">
        <v>40.893000467142862</v>
      </c>
      <c r="V111" s="621">
        <v>18.734285627142857</v>
      </c>
      <c r="W111" s="621">
        <v>1.5700000519999997</v>
      </c>
      <c r="X111" s="621">
        <v>261.98000009999998</v>
      </c>
      <c r="Y111" s="621">
        <v>58.935427530000005</v>
      </c>
    </row>
    <row r="112" spans="14:25">
      <c r="P112" s="620">
        <v>5</v>
      </c>
      <c r="Q112" s="621">
        <v>17.729000225714284</v>
      </c>
      <c r="R112" s="621">
        <v>13.724571365714285</v>
      </c>
      <c r="S112" s="621">
        <v>214.95928737142859</v>
      </c>
      <c r="T112" s="621">
        <v>93.607142857142861</v>
      </c>
      <c r="U112" s="621">
        <v>17.748285841428572</v>
      </c>
      <c r="V112" s="621">
        <v>23.390000208571426</v>
      </c>
      <c r="W112" s="621">
        <v>1.5700000519999997</v>
      </c>
      <c r="X112" s="621">
        <v>141.83571514285714</v>
      </c>
      <c r="Y112" s="621">
        <v>45.332857951428579</v>
      </c>
    </row>
    <row r="113" spans="15:25">
      <c r="P113" s="620">
        <v>6</v>
      </c>
      <c r="Q113" s="621">
        <v>13.582571572857143</v>
      </c>
      <c r="R113" s="621">
        <v>8.6634286477142854</v>
      </c>
      <c r="S113" s="621">
        <v>166.34242902857142</v>
      </c>
      <c r="T113" s="621">
        <v>108.25571334000001</v>
      </c>
      <c r="U113" s="621">
        <v>18.79157175142857</v>
      </c>
      <c r="V113" s="621">
        <v>20.201017107142857</v>
      </c>
      <c r="W113" s="621">
        <v>2.3694285491428571</v>
      </c>
      <c r="X113" s="621">
        <v>164.55714089999998</v>
      </c>
      <c r="Y113" s="621">
        <v>65.987571171428584</v>
      </c>
    </row>
    <row r="114" spans="15:25">
      <c r="P114" s="620">
        <v>7</v>
      </c>
      <c r="Q114" s="621">
        <v>14.722571237142859</v>
      </c>
      <c r="R114" s="621">
        <v>11.071428435428571</v>
      </c>
      <c r="S114" s="621">
        <v>239.50057330000001</v>
      </c>
      <c r="T114" s="621">
        <v>202.98199900000003</v>
      </c>
      <c r="U114" s="621">
        <v>42.088571821428573</v>
      </c>
      <c r="V114" s="621">
        <v>15.283185821428571</v>
      </c>
      <c r="W114" s="621">
        <v>3.1689999100000001</v>
      </c>
      <c r="X114" s="621">
        <v>355.31285748571423</v>
      </c>
      <c r="Y114" s="621">
        <v>97.722999031428586</v>
      </c>
    </row>
    <row r="115" spans="15:25">
      <c r="O115" s="619">
        <v>8</v>
      </c>
      <c r="P115" s="620">
        <v>8</v>
      </c>
      <c r="Q115" s="621">
        <v>18.48</v>
      </c>
      <c r="R115" s="621">
        <v>14.97</v>
      </c>
      <c r="S115" s="621">
        <v>357.61814662857148</v>
      </c>
      <c r="T115" s="621">
        <v>251.1</v>
      </c>
      <c r="U115" s="621">
        <v>43.74</v>
      </c>
      <c r="V115" s="621">
        <v>33.130000000000003</v>
      </c>
      <c r="W115" s="621">
        <v>3.16</v>
      </c>
      <c r="X115" s="621">
        <v>437.78</v>
      </c>
      <c r="Y115" s="621">
        <v>142.13</v>
      </c>
    </row>
    <row r="116" spans="15:25">
      <c r="P116" s="620">
        <v>9</v>
      </c>
      <c r="Q116" s="621">
        <v>21.652428627142854</v>
      </c>
      <c r="R116" s="621">
        <v>14.185285431142857</v>
      </c>
      <c r="S116" s="621">
        <v>333.90885488571433</v>
      </c>
      <c r="T116" s="621">
        <v>204.95843285714287</v>
      </c>
      <c r="U116" s="621">
        <v>31.755000522857138</v>
      </c>
      <c r="V116" s="621">
        <v>15.852976190476195</v>
      </c>
      <c r="W116" s="621">
        <v>3.1689999100000001</v>
      </c>
      <c r="X116" s="621">
        <v>424.14571271428576</v>
      </c>
      <c r="Y116" s="621">
        <v>142.13857270714286</v>
      </c>
    </row>
    <row r="119" spans="15:25">
      <c r="Q119" s="619" t="s">
        <v>325</v>
      </c>
      <c r="R119" s="619" t="s">
        <v>326</v>
      </c>
      <c r="S119" s="619" t="s">
        <v>327</v>
      </c>
      <c r="T119" s="619" t="s">
        <v>328</v>
      </c>
      <c r="U119" s="619" t="s">
        <v>329</v>
      </c>
      <c r="V119" s="619" t="s">
        <v>330</v>
      </c>
      <c r="W119" s="619" t="s">
        <v>331</v>
      </c>
      <c r="X119" s="619" t="s">
        <v>332</v>
      </c>
      <c r="Y119" s="619" t="s">
        <v>333</v>
      </c>
    </row>
  </sheetData>
  <mergeCells count="3">
    <mergeCell ref="A65:L65"/>
    <mergeCell ref="A40:L40"/>
    <mergeCell ref="A18:L18"/>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L59"/>
  <sheetViews>
    <sheetView showGridLines="0" view="pageBreakPreview" zoomScale="160" zoomScaleNormal="100" zoomScaleSheetLayoutView="160" zoomScalePageLayoutView="160" workbookViewId="0">
      <selection activeCell="K12" sqref="K12"/>
    </sheetView>
  </sheetViews>
  <sheetFormatPr defaultRowHeight="11.25"/>
  <cols>
    <col min="1" max="1" width="6" style="3" customWidth="1"/>
    <col min="2" max="3" width="13.5" style="3" customWidth="1"/>
    <col min="4" max="4" width="12.5" style="3" customWidth="1"/>
    <col min="5" max="5" width="12.1640625" style="3" customWidth="1"/>
    <col min="6" max="6" width="15.83203125" style="3" customWidth="1"/>
    <col min="7" max="7" width="13.5" style="3" customWidth="1"/>
    <col min="8" max="8" width="12.5" style="3" customWidth="1"/>
    <col min="9" max="9" width="11.6640625" style="3" customWidth="1"/>
    <col min="10" max="11" width="9.33203125" style="3" customWidth="1"/>
    <col min="12" max="16384" width="9.33203125" style="3"/>
  </cols>
  <sheetData>
    <row r="1" spans="1:12" ht="11.25" customHeight="1"/>
    <row r="2" spans="1:12" ht="11.25" customHeight="1">
      <c r="A2" s="879" t="s">
        <v>549</v>
      </c>
      <c r="B2" s="879"/>
      <c r="C2" s="879"/>
      <c r="D2" s="879"/>
      <c r="E2" s="879"/>
      <c r="F2" s="879"/>
      <c r="G2" s="879"/>
      <c r="H2" s="879"/>
      <c r="I2" s="879"/>
      <c r="J2" s="879"/>
      <c r="K2" s="879"/>
    </row>
    <row r="3" spans="1:12" ht="11.25" customHeight="1">
      <c r="A3" s="258"/>
      <c r="B3" s="258"/>
      <c r="C3" s="258"/>
      <c r="D3" s="258"/>
      <c r="E3" s="258"/>
      <c r="F3" s="258"/>
      <c r="G3" s="258"/>
      <c r="H3" s="258"/>
      <c r="I3" s="258"/>
      <c r="J3" s="258"/>
      <c r="K3" s="723"/>
      <c r="L3" s="45"/>
    </row>
    <row r="4" spans="1:12" ht="11.25" customHeight="1">
      <c r="A4" s="864" t="s">
        <v>550</v>
      </c>
      <c r="B4" s="864"/>
      <c r="C4" s="864"/>
      <c r="D4" s="864"/>
      <c r="E4" s="864"/>
      <c r="F4" s="864"/>
      <c r="G4" s="864"/>
      <c r="H4" s="864"/>
      <c r="I4" s="259"/>
      <c r="J4" s="259"/>
      <c r="K4" s="259"/>
      <c r="L4" s="45"/>
    </row>
    <row r="5" spans="1:12" ht="7.5" customHeight="1">
      <c r="A5" s="260"/>
      <c r="B5" s="260"/>
      <c r="C5" s="260"/>
      <c r="D5" s="260"/>
      <c r="E5" s="260"/>
      <c r="F5" s="260"/>
      <c r="G5" s="260"/>
      <c r="H5" s="260"/>
      <c r="I5" s="260"/>
      <c r="J5" s="260"/>
      <c r="K5" s="260"/>
      <c r="L5" s="10"/>
    </row>
    <row r="6" spans="1:12" ht="11.25" customHeight="1">
      <c r="A6" s="260"/>
      <c r="B6" s="264" t="s">
        <v>551</v>
      </c>
      <c r="C6" s="260"/>
      <c r="D6" s="260"/>
      <c r="E6" s="260"/>
      <c r="F6" s="260"/>
      <c r="G6" s="260"/>
      <c r="H6" s="260"/>
      <c r="I6" s="260"/>
      <c r="J6" s="260"/>
      <c r="K6" s="260"/>
      <c r="L6" s="20"/>
    </row>
    <row r="7" spans="1:12" ht="7.5" customHeight="1">
      <c r="A7" s="260"/>
      <c r="B7" s="261"/>
      <c r="C7" s="260"/>
      <c r="D7" s="260"/>
      <c r="E7" s="260"/>
      <c r="F7" s="260"/>
      <c r="G7" s="260"/>
      <c r="H7" s="260"/>
      <c r="I7" s="260"/>
      <c r="J7" s="260"/>
      <c r="K7" s="260"/>
      <c r="L7" s="16"/>
    </row>
    <row r="8" spans="1:12" ht="21" customHeight="1">
      <c r="A8" s="260"/>
      <c r="B8" s="763" t="s">
        <v>183</v>
      </c>
      <c r="C8" s="764" t="s">
        <v>184</v>
      </c>
      <c r="D8" s="764" t="s">
        <v>185</v>
      </c>
      <c r="E8" s="764" t="s">
        <v>187</v>
      </c>
      <c r="F8" s="764" t="s">
        <v>186</v>
      </c>
      <c r="G8" s="765" t="s">
        <v>188</v>
      </c>
      <c r="H8" s="269"/>
      <c r="I8" s="269"/>
      <c r="J8" s="269"/>
      <c r="K8" s="269"/>
      <c r="L8" s="34"/>
    </row>
    <row r="9" spans="1:12" ht="18" customHeight="1">
      <c r="A9" s="260"/>
      <c r="B9" s="766" t="s">
        <v>189</v>
      </c>
      <c r="C9" s="457">
        <v>31.380768994319606</v>
      </c>
      <c r="D9" s="457">
        <v>30.65486825314678</v>
      </c>
      <c r="E9" s="457">
        <v>30.176715897703449</v>
      </c>
      <c r="F9" s="457">
        <v>29.981937507529391</v>
      </c>
      <c r="G9" s="457">
        <v>29.589522878152298</v>
      </c>
      <c r="H9" s="269"/>
      <c r="I9" s="269"/>
      <c r="J9" s="269"/>
      <c r="K9" s="269"/>
      <c r="L9" s="29"/>
    </row>
    <row r="10" spans="1:12" ht="14.25" customHeight="1">
      <c r="A10" s="260"/>
      <c r="B10" s="901" t="str">
        <f>"Cuadro N°11: Valor de los costos marginales medios registrados en las principales barras del área norte durante el mes de "&amp;'1. Resumen'!Q4</f>
        <v>Cuadro N°11: Valor de los costos marginales medios registrados en las principales barras del área norte durante el mes de febrero</v>
      </c>
      <c r="C10" s="901"/>
      <c r="D10" s="901"/>
      <c r="E10" s="901"/>
      <c r="F10" s="901"/>
      <c r="G10" s="901"/>
      <c r="H10" s="901"/>
      <c r="I10" s="901"/>
      <c r="J10" s="269"/>
      <c r="K10" s="269"/>
      <c r="L10" s="29"/>
    </row>
    <row r="11" spans="1:12" ht="11.25" customHeight="1">
      <c r="A11" s="260"/>
      <c r="B11" s="270"/>
      <c r="C11" s="269"/>
      <c r="D11" s="269"/>
      <c r="E11" s="269"/>
      <c r="F11" s="269"/>
      <c r="G11" s="269"/>
      <c r="H11" s="269"/>
      <c r="I11" s="269"/>
      <c r="J11" s="269"/>
      <c r="K11" s="269"/>
      <c r="L11" s="29"/>
    </row>
    <row r="12" spans="1:12" ht="11.25" customHeight="1">
      <c r="A12" s="260"/>
      <c r="B12" s="269"/>
      <c r="C12" s="269"/>
      <c r="D12" s="269"/>
      <c r="E12" s="269"/>
      <c r="F12" s="269"/>
      <c r="G12" s="269"/>
      <c r="H12" s="269"/>
      <c r="I12" s="269"/>
      <c r="J12" s="269"/>
      <c r="K12" s="269"/>
      <c r="L12" s="31"/>
    </row>
    <row r="13" spans="1:12" ht="11.25" customHeight="1">
      <c r="A13" s="260"/>
      <c r="B13" s="269"/>
      <c r="C13" s="269"/>
      <c r="D13" s="269"/>
      <c r="E13" s="269"/>
      <c r="F13" s="269"/>
      <c r="G13" s="269"/>
      <c r="H13" s="269"/>
      <c r="I13" s="269"/>
      <c r="J13" s="269"/>
      <c r="K13" s="269"/>
      <c r="L13" s="34"/>
    </row>
    <row r="14" spans="1:12" ht="11.25" customHeight="1">
      <c r="A14" s="260"/>
      <c r="B14" s="269"/>
      <c r="C14" s="269"/>
      <c r="D14" s="269"/>
      <c r="E14" s="269"/>
      <c r="F14" s="269"/>
      <c r="G14" s="269"/>
      <c r="H14" s="269"/>
      <c r="I14" s="269"/>
      <c r="J14" s="269"/>
      <c r="K14" s="269"/>
      <c r="L14" s="29"/>
    </row>
    <row r="15" spans="1:12" ht="11.25" customHeight="1">
      <c r="A15" s="260"/>
      <c r="B15" s="269"/>
      <c r="C15" s="269"/>
      <c r="D15" s="269"/>
      <c r="E15" s="269"/>
      <c r="F15" s="269"/>
      <c r="G15" s="269"/>
      <c r="H15" s="269"/>
      <c r="I15" s="269"/>
      <c r="J15" s="269"/>
      <c r="K15" s="269"/>
      <c r="L15" s="29"/>
    </row>
    <row r="16" spans="1:12" ht="11.25" customHeight="1">
      <c r="A16" s="260"/>
      <c r="B16" s="269"/>
      <c r="C16" s="269"/>
      <c r="D16" s="269"/>
      <c r="E16" s="269"/>
      <c r="F16" s="269"/>
      <c r="G16" s="269"/>
      <c r="H16" s="269"/>
      <c r="I16" s="269"/>
      <c r="J16" s="269"/>
      <c r="K16" s="269"/>
      <c r="L16" s="29"/>
    </row>
    <row r="17" spans="1:12" ht="11.25" customHeight="1">
      <c r="A17" s="260"/>
      <c r="B17" s="269"/>
      <c r="C17" s="269"/>
      <c r="D17" s="269"/>
      <c r="E17" s="269"/>
      <c r="F17" s="269"/>
      <c r="G17" s="269"/>
      <c r="H17" s="269"/>
      <c r="I17" s="269"/>
      <c r="J17" s="269"/>
      <c r="K17" s="269"/>
      <c r="L17" s="29"/>
    </row>
    <row r="18" spans="1:12" ht="11.25" customHeight="1">
      <c r="A18" s="260"/>
      <c r="B18" s="269"/>
      <c r="C18" s="269"/>
      <c r="D18" s="269"/>
      <c r="E18" s="269"/>
      <c r="F18" s="269"/>
      <c r="G18" s="269"/>
      <c r="H18" s="269"/>
      <c r="I18" s="269"/>
      <c r="J18" s="269"/>
      <c r="K18" s="269"/>
      <c r="L18" s="29"/>
    </row>
    <row r="19" spans="1:12" ht="11.25" customHeight="1">
      <c r="A19" s="260"/>
      <c r="B19" s="269"/>
      <c r="C19" s="269"/>
      <c r="D19" s="269"/>
      <c r="E19" s="269"/>
      <c r="F19" s="269"/>
      <c r="G19" s="269"/>
      <c r="H19" s="269"/>
      <c r="I19" s="269"/>
      <c r="J19" s="269"/>
      <c r="K19" s="269"/>
      <c r="L19" s="39"/>
    </row>
    <row r="20" spans="1:12" ht="11.25" customHeight="1">
      <c r="A20" s="260"/>
      <c r="B20" s="267"/>
      <c r="C20" s="267"/>
      <c r="D20" s="267"/>
      <c r="E20" s="267"/>
      <c r="F20" s="267"/>
      <c r="G20" s="269"/>
      <c r="H20" s="269"/>
      <c r="I20" s="269"/>
      <c r="J20" s="269"/>
      <c r="K20" s="269"/>
      <c r="L20" s="29"/>
    </row>
    <row r="21" spans="1:12" ht="11.25" customHeight="1">
      <c r="A21" s="260"/>
      <c r="B21" s="902" t="str">
        <f>"Gráfico N°19: Costos marginales medios registrados en las principales barras del área norte durante el mes de "&amp;'1. Resumen'!Q4</f>
        <v>Gráfico N°19: Costos marginales medios registrados en las principales barras del área norte durante el mes de febrero</v>
      </c>
      <c r="C21" s="902"/>
      <c r="D21" s="902"/>
      <c r="E21" s="902"/>
      <c r="F21" s="902"/>
      <c r="G21" s="902"/>
      <c r="H21" s="902"/>
      <c r="I21" s="902"/>
      <c r="J21" s="269"/>
      <c r="K21" s="269"/>
      <c r="L21" s="29"/>
    </row>
    <row r="22" spans="1:12" ht="7.5" customHeight="1">
      <c r="A22" s="260"/>
      <c r="B22" s="262"/>
      <c r="C22" s="262"/>
      <c r="D22" s="262"/>
      <c r="E22" s="262"/>
      <c r="F22" s="262"/>
      <c r="G22" s="260"/>
      <c r="H22" s="260"/>
      <c r="I22" s="260"/>
      <c r="J22" s="260"/>
      <c r="K22" s="260"/>
      <c r="L22" s="20"/>
    </row>
    <row r="23" spans="1:12" ht="11.25" customHeight="1">
      <c r="A23" s="260"/>
      <c r="B23" s="262"/>
      <c r="C23" s="262"/>
      <c r="D23" s="262"/>
      <c r="E23" s="262"/>
      <c r="F23" s="262"/>
      <c r="G23" s="260"/>
      <c r="H23" s="260"/>
      <c r="I23" s="260"/>
      <c r="J23" s="260"/>
      <c r="K23" s="260"/>
      <c r="L23" s="22"/>
    </row>
    <row r="24" spans="1:12" ht="11.25" customHeight="1">
      <c r="A24" s="260"/>
      <c r="B24" s="265" t="s">
        <v>552</v>
      </c>
      <c r="C24" s="262"/>
      <c r="D24" s="262"/>
      <c r="E24" s="262"/>
      <c r="F24" s="262"/>
      <c r="G24" s="260"/>
      <c r="H24" s="260"/>
      <c r="I24" s="260"/>
      <c r="J24" s="260"/>
      <c r="K24" s="260"/>
      <c r="L24" s="20"/>
    </row>
    <row r="25" spans="1:12" ht="6.75" customHeight="1">
      <c r="A25" s="260"/>
      <c r="B25" s="262"/>
      <c r="C25" s="262"/>
      <c r="D25" s="262"/>
      <c r="E25" s="262"/>
      <c r="F25" s="262"/>
      <c r="G25" s="260"/>
      <c r="H25" s="260"/>
      <c r="I25" s="260"/>
      <c r="J25" s="260"/>
      <c r="K25" s="260"/>
      <c r="L25" s="20"/>
    </row>
    <row r="26" spans="1:12" ht="25.5" customHeight="1">
      <c r="A26" s="260"/>
      <c r="B26" s="767" t="s">
        <v>183</v>
      </c>
      <c r="C26" s="764" t="s">
        <v>191</v>
      </c>
      <c r="D26" s="764" t="s">
        <v>194</v>
      </c>
      <c r="E26" s="764" t="s">
        <v>190</v>
      </c>
      <c r="F26" s="764" t="s">
        <v>192</v>
      </c>
      <c r="G26" s="764" t="s">
        <v>193</v>
      </c>
      <c r="H26" s="764" t="s">
        <v>195</v>
      </c>
      <c r="I26" s="765" t="s">
        <v>196</v>
      </c>
      <c r="J26" s="266"/>
      <c r="K26" s="269"/>
      <c r="L26" s="29"/>
    </row>
    <row r="27" spans="1:12" ht="18" customHeight="1">
      <c r="A27" s="260"/>
      <c r="B27" s="768" t="s">
        <v>189</v>
      </c>
      <c r="C27" s="457">
        <v>29.760607269717053</v>
      </c>
      <c r="D27" s="457">
        <v>29.759574848771965</v>
      </c>
      <c r="E27" s="457">
        <v>29.676460665412712</v>
      </c>
      <c r="F27" s="457">
        <v>29.483600532903285</v>
      </c>
      <c r="G27" s="457">
        <v>29.100217856275837</v>
      </c>
      <c r="H27" s="457">
        <v>28.318546790350577</v>
      </c>
      <c r="I27" s="457">
        <v>27.389922017831541</v>
      </c>
      <c r="J27" s="268"/>
      <c r="K27" s="269"/>
      <c r="L27" s="29"/>
    </row>
    <row r="28" spans="1:12" ht="19.5" customHeight="1">
      <c r="A28" s="260"/>
      <c r="B28" s="903" t="str">
        <f>"Cuadro N°12: Valor de los costos marginales medios registrados en las principales barras del área centro durante el mes de "&amp;'1. Resumen'!Q4</f>
        <v>Cuadro N°12: Valor de los costos marginales medios registrados en las principales barras del área centro durante el mes de febrero</v>
      </c>
      <c r="C28" s="903"/>
      <c r="D28" s="903"/>
      <c r="E28" s="903"/>
      <c r="F28" s="903"/>
      <c r="G28" s="903"/>
      <c r="H28" s="903"/>
      <c r="I28" s="903"/>
      <c r="J28" s="269"/>
      <c r="K28" s="269"/>
      <c r="L28" s="29"/>
    </row>
    <row r="29" spans="1:12" ht="11.25" customHeight="1">
      <c r="A29" s="260"/>
      <c r="B29" s="267"/>
      <c r="C29" s="267"/>
      <c r="D29" s="267"/>
      <c r="E29" s="267"/>
      <c r="F29" s="267"/>
      <c r="G29" s="267"/>
      <c r="H29" s="267"/>
      <c r="I29" s="267"/>
      <c r="J29" s="267"/>
      <c r="K29" s="267"/>
      <c r="L29" s="29"/>
    </row>
    <row r="30" spans="1:12" ht="11.25" customHeight="1">
      <c r="A30" s="260"/>
      <c r="B30" s="267"/>
      <c r="C30" s="267"/>
      <c r="D30" s="267"/>
      <c r="E30" s="267"/>
      <c r="F30" s="267"/>
      <c r="G30" s="267"/>
      <c r="H30" s="267"/>
      <c r="I30" s="267"/>
      <c r="J30" s="267"/>
      <c r="K30" s="267"/>
      <c r="L30" s="29"/>
    </row>
    <row r="31" spans="1:12" ht="11.25" customHeight="1">
      <c r="A31" s="260"/>
      <c r="B31" s="267"/>
      <c r="C31" s="267"/>
      <c r="D31" s="267"/>
      <c r="E31" s="267"/>
      <c r="F31" s="267"/>
      <c r="G31" s="267"/>
      <c r="H31" s="267"/>
      <c r="I31" s="267"/>
      <c r="J31" s="267"/>
      <c r="K31" s="267"/>
      <c r="L31" s="29"/>
    </row>
    <row r="32" spans="1:12" ht="11.25" customHeight="1">
      <c r="A32" s="260"/>
      <c r="B32" s="267"/>
      <c r="C32" s="267"/>
      <c r="D32" s="267"/>
      <c r="E32" s="267"/>
      <c r="F32" s="267"/>
      <c r="G32" s="267"/>
      <c r="H32" s="267"/>
      <c r="I32" s="267"/>
      <c r="J32" s="267"/>
      <c r="K32" s="267"/>
      <c r="L32" s="29"/>
    </row>
    <row r="33" spans="1:12" ht="11.25" customHeight="1">
      <c r="A33" s="260"/>
      <c r="B33" s="267"/>
      <c r="C33" s="267"/>
      <c r="D33" s="267"/>
      <c r="E33" s="267"/>
      <c r="F33" s="267"/>
      <c r="G33" s="267"/>
      <c r="H33" s="267"/>
      <c r="I33" s="267"/>
      <c r="J33" s="267"/>
      <c r="K33" s="267"/>
      <c r="L33" s="29"/>
    </row>
    <row r="34" spans="1:12" ht="11.25" customHeight="1">
      <c r="A34" s="260"/>
      <c r="B34" s="267"/>
      <c r="C34" s="267"/>
      <c r="D34" s="267"/>
      <c r="E34" s="267"/>
      <c r="F34" s="267"/>
      <c r="G34" s="267"/>
      <c r="H34" s="267"/>
      <c r="I34" s="267"/>
      <c r="J34" s="267"/>
      <c r="K34" s="267"/>
      <c r="L34" s="29"/>
    </row>
    <row r="35" spans="1:12" ht="11.25" customHeight="1">
      <c r="A35" s="260"/>
      <c r="B35" s="267"/>
      <c r="C35" s="267"/>
      <c r="D35" s="267"/>
      <c r="E35" s="267"/>
      <c r="F35" s="267"/>
      <c r="G35" s="267"/>
      <c r="H35" s="267"/>
      <c r="I35" s="267"/>
      <c r="J35" s="267"/>
      <c r="K35" s="267"/>
      <c r="L35" s="48"/>
    </row>
    <row r="36" spans="1:12" ht="11.25" customHeight="1">
      <c r="A36" s="260"/>
      <c r="B36" s="267"/>
      <c r="C36" s="267"/>
      <c r="D36" s="267"/>
      <c r="E36" s="267"/>
      <c r="F36" s="267"/>
      <c r="G36" s="267"/>
      <c r="H36" s="267"/>
      <c r="I36" s="267"/>
      <c r="J36" s="267"/>
      <c r="K36" s="267"/>
      <c r="L36" s="29"/>
    </row>
    <row r="37" spans="1:12" ht="11.25" customHeight="1">
      <c r="A37" s="260"/>
      <c r="B37" s="267"/>
      <c r="C37" s="267"/>
      <c r="D37" s="267"/>
      <c r="E37" s="267"/>
      <c r="F37" s="267"/>
      <c r="G37" s="267"/>
      <c r="H37" s="267"/>
      <c r="I37" s="267"/>
      <c r="J37" s="267"/>
      <c r="K37" s="267"/>
      <c r="L37" s="29"/>
    </row>
    <row r="38" spans="1:12" ht="11.25" customHeight="1">
      <c r="A38" s="260"/>
      <c r="B38" s="267"/>
      <c r="C38" s="267"/>
      <c r="D38" s="267"/>
      <c r="E38" s="267"/>
      <c r="F38" s="267"/>
      <c r="G38" s="267"/>
      <c r="H38" s="267"/>
      <c r="I38" s="267"/>
      <c r="J38" s="267"/>
      <c r="K38" s="267"/>
      <c r="L38" s="29"/>
    </row>
    <row r="39" spans="1:12" ht="11.25" customHeight="1">
      <c r="A39" s="260"/>
      <c r="B39" s="267"/>
      <c r="C39" s="267"/>
      <c r="D39" s="267"/>
      <c r="E39" s="267"/>
      <c r="F39" s="267"/>
      <c r="G39" s="267"/>
      <c r="H39" s="267"/>
      <c r="I39" s="267"/>
      <c r="J39" s="267"/>
      <c r="K39" s="267"/>
      <c r="L39" s="29"/>
    </row>
    <row r="40" spans="1:12" ht="13.5" customHeight="1">
      <c r="A40" s="260"/>
      <c r="B40" s="901" t="str">
        <f>"Gráfico N°20: Costos marginales medios registrados en las principales barras del área centro durante el mes de "&amp;'1. Resumen'!Q4</f>
        <v>Gráfico N°20: Costos marginales medios registrados en las principales barras del área centro durante el mes de febrero</v>
      </c>
      <c r="C40" s="901"/>
      <c r="D40" s="901"/>
      <c r="E40" s="901"/>
      <c r="F40" s="901"/>
      <c r="G40" s="901"/>
      <c r="H40" s="901"/>
      <c r="I40" s="901"/>
      <c r="J40" s="267"/>
      <c r="K40" s="267"/>
      <c r="L40" s="29"/>
    </row>
    <row r="41" spans="1:12" ht="6.75" customHeight="1">
      <c r="A41" s="260"/>
      <c r="B41" s="267"/>
      <c r="C41" s="267"/>
      <c r="D41" s="267"/>
      <c r="E41" s="267"/>
      <c r="F41" s="267"/>
      <c r="G41" s="267"/>
      <c r="H41" s="267"/>
      <c r="I41" s="267"/>
      <c r="J41" s="267"/>
      <c r="K41" s="267"/>
      <c r="L41" s="29"/>
    </row>
    <row r="42" spans="1:12" ht="8.25" customHeight="1">
      <c r="A42" s="260"/>
      <c r="B42" s="262"/>
      <c r="C42" s="262"/>
      <c r="D42" s="262"/>
      <c r="E42" s="262"/>
      <c r="F42" s="262"/>
      <c r="G42" s="262"/>
      <c r="H42" s="262"/>
      <c r="I42" s="262"/>
      <c r="J42" s="262"/>
      <c r="K42" s="262"/>
      <c r="L42" s="15"/>
    </row>
    <row r="43" spans="1:12" ht="11.25" customHeight="1">
      <c r="A43" s="260"/>
      <c r="B43" s="265" t="s">
        <v>553</v>
      </c>
      <c r="C43" s="262"/>
      <c r="D43" s="262"/>
      <c r="E43" s="262"/>
      <c r="F43" s="262"/>
      <c r="G43" s="262"/>
      <c r="H43" s="262"/>
      <c r="I43" s="262"/>
      <c r="J43" s="262"/>
      <c r="K43" s="262"/>
      <c r="L43" s="14"/>
    </row>
    <row r="44" spans="1:12" ht="6.75" customHeight="1">
      <c r="A44" s="260"/>
      <c r="B44" s="262"/>
      <c r="C44" s="262"/>
      <c r="D44" s="262"/>
      <c r="E44" s="262"/>
      <c r="F44" s="262"/>
      <c r="G44" s="262"/>
      <c r="H44" s="262"/>
      <c r="I44" s="262"/>
      <c r="J44" s="262"/>
      <c r="K44" s="262"/>
      <c r="L44" s="14"/>
    </row>
    <row r="45" spans="1:12" ht="27" customHeight="1">
      <c r="A45" s="260"/>
      <c r="B45" s="767" t="s">
        <v>183</v>
      </c>
      <c r="C45" s="764" t="s">
        <v>197</v>
      </c>
      <c r="D45" s="764" t="s">
        <v>198</v>
      </c>
      <c r="E45" s="764" t="s">
        <v>199</v>
      </c>
      <c r="F45" s="764" t="s">
        <v>200</v>
      </c>
      <c r="G45" s="764" t="s">
        <v>201</v>
      </c>
      <c r="H45" s="764" t="s">
        <v>202</v>
      </c>
      <c r="I45" s="765" t="s">
        <v>203</v>
      </c>
      <c r="J45" s="266"/>
      <c r="K45" s="267"/>
    </row>
    <row r="46" spans="1:12" ht="18.75" customHeight="1">
      <c r="A46" s="260"/>
      <c r="B46" s="768" t="s">
        <v>189</v>
      </c>
      <c r="C46" s="457">
        <v>30.630341060613468</v>
      </c>
      <c r="D46" s="457">
        <v>29.798760575698015</v>
      </c>
      <c r="E46" s="457">
        <v>29.697778402494894</v>
      </c>
      <c r="F46" s="457">
        <v>29.573737345030025</v>
      </c>
      <c r="G46" s="457">
        <v>28.759663311949627</v>
      </c>
      <c r="H46" s="457">
        <v>28.57519010679059</v>
      </c>
      <c r="I46" s="457">
        <v>26.660763031443089</v>
      </c>
      <c r="J46" s="268"/>
      <c r="K46" s="267"/>
    </row>
    <row r="47" spans="1:12" ht="18" customHeight="1">
      <c r="A47" s="260"/>
      <c r="B47" s="903" t="str">
        <f>"Cuadro N°13: Valor de los costos marginales medios registrados en las principales barras del área sur durante el mes de "&amp;'1. Resumen'!Q4</f>
        <v>Cuadro N°13: Valor de los costos marginales medios registrados en las principales barras del área sur durante el mes de febrero</v>
      </c>
      <c r="C47" s="903"/>
      <c r="D47" s="903"/>
      <c r="E47" s="903"/>
      <c r="F47" s="903"/>
      <c r="G47" s="903"/>
      <c r="H47" s="903"/>
      <c r="I47" s="903"/>
      <c r="J47" s="268"/>
      <c r="K47" s="267"/>
    </row>
    <row r="48" spans="1:12" ht="12.75">
      <c r="A48" s="260"/>
      <c r="B48" s="267"/>
      <c r="C48" s="267"/>
      <c r="D48" s="267"/>
      <c r="E48" s="267"/>
      <c r="F48" s="267"/>
      <c r="G48" s="269"/>
      <c r="H48" s="269"/>
      <c r="I48" s="269"/>
      <c r="J48" s="269"/>
      <c r="K48" s="267"/>
    </row>
    <row r="49" spans="1:11" ht="12.75">
      <c r="A49" s="260"/>
      <c r="B49" s="269"/>
      <c r="C49" s="269"/>
      <c r="D49" s="269"/>
      <c r="E49" s="269"/>
      <c r="F49" s="269"/>
      <c r="G49" s="269"/>
      <c r="H49" s="269"/>
      <c r="I49" s="269"/>
      <c r="J49" s="269"/>
      <c r="K49" s="267"/>
    </row>
    <row r="50" spans="1:11" ht="12.75">
      <c r="A50" s="260"/>
      <c r="B50" s="132"/>
      <c r="C50" s="132"/>
      <c r="D50" s="132"/>
      <c r="E50" s="132"/>
      <c r="F50" s="132"/>
      <c r="G50" s="132"/>
      <c r="H50" s="132"/>
      <c r="I50" s="132"/>
      <c r="J50" s="132"/>
      <c r="K50" s="267"/>
    </row>
    <row r="51" spans="1:11" ht="12.75">
      <c r="A51" s="260"/>
      <c r="B51" s="132"/>
      <c r="C51" s="132"/>
      <c r="D51" s="132"/>
      <c r="E51" s="132"/>
      <c r="F51" s="132"/>
      <c r="G51" s="132"/>
      <c r="H51" s="132"/>
      <c r="I51" s="132"/>
      <c r="J51" s="132"/>
      <c r="K51" s="267"/>
    </row>
    <row r="52" spans="1:11" ht="12.75">
      <c r="A52" s="260"/>
      <c r="B52" s="132"/>
      <c r="C52" s="132"/>
      <c r="D52" s="132"/>
      <c r="E52" s="132"/>
      <c r="F52" s="132"/>
      <c r="G52" s="132"/>
      <c r="H52" s="132"/>
      <c r="I52" s="132"/>
      <c r="J52" s="132"/>
      <c r="K52" s="267"/>
    </row>
    <row r="53" spans="1:11" ht="12.75">
      <c r="A53" s="260"/>
      <c r="B53" s="132"/>
      <c r="C53" s="132"/>
      <c r="D53" s="132"/>
      <c r="E53" s="132"/>
      <c r="F53" s="132"/>
      <c r="G53" s="132"/>
      <c r="H53" s="132"/>
      <c r="I53" s="132"/>
      <c r="J53" s="132"/>
      <c r="K53" s="267"/>
    </row>
    <row r="54" spans="1:11" ht="12.75">
      <c r="A54" s="260"/>
      <c r="B54" s="132"/>
      <c r="C54" s="132"/>
      <c r="D54" s="132"/>
      <c r="E54" s="132"/>
      <c r="F54" s="132"/>
      <c r="G54" s="132"/>
      <c r="H54" s="132"/>
      <c r="I54" s="132"/>
      <c r="J54" s="132"/>
      <c r="K54" s="267"/>
    </row>
    <row r="55" spans="1:11" ht="12.75">
      <c r="A55" s="260"/>
      <c r="B55" s="132"/>
      <c r="C55" s="132"/>
      <c r="D55" s="132"/>
      <c r="E55" s="132"/>
      <c r="F55" s="132"/>
      <c r="G55" s="132"/>
      <c r="H55" s="132"/>
      <c r="I55" s="132"/>
      <c r="J55" s="132"/>
      <c r="K55" s="267"/>
    </row>
    <row r="56" spans="1:11" ht="12.75">
      <c r="A56" s="260"/>
      <c r="B56" s="269"/>
      <c r="C56" s="269"/>
      <c r="D56" s="269"/>
      <c r="E56" s="269"/>
      <c r="F56" s="269"/>
      <c r="G56" s="269"/>
      <c r="H56" s="269"/>
      <c r="I56" s="269"/>
      <c r="J56" s="269"/>
      <c r="K56" s="267"/>
    </row>
    <row r="57" spans="1:11" ht="12.75">
      <c r="A57" s="260"/>
      <c r="B57" s="269"/>
      <c r="C57" s="269"/>
      <c r="D57" s="269"/>
      <c r="E57" s="269"/>
      <c r="F57" s="269"/>
      <c r="G57" s="269"/>
      <c r="H57" s="269"/>
      <c r="I57" s="269"/>
      <c r="J57" s="269"/>
      <c r="K57" s="267"/>
    </row>
    <row r="58" spans="1:11" ht="12.75">
      <c r="A58" s="260"/>
      <c r="B58" s="901" t="str">
        <f>"Gráfico N°21: Costos marginales medios registrados en las principales barras del área sur durante el mes de "&amp;'1. Resumen'!Q4</f>
        <v>Gráfico N°21: Costos marginales medios registrados en las principales barras del área sur durante el mes de febrero</v>
      </c>
      <c r="C58" s="901"/>
      <c r="D58" s="901"/>
      <c r="E58" s="901"/>
      <c r="F58" s="901"/>
      <c r="G58" s="901"/>
      <c r="H58" s="901"/>
      <c r="I58" s="901"/>
      <c r="J58" s="269"/>
      <c r="K58" s="267"/>
    </row>
    <row r="59" spans="1:11" ht="12.75">
      <c r="A59" s="92"/>
      <c r="B59" s="157"/>
      <c r="C59" s="157"/>
      <c r="D59" s="157"/>
      <c r="E59" s="157"/>
      <c r="F59" s="157"/>
      <c r="G59" s="157"/>
      <c r="H59" s="269"/>
      <c r="I59" s="269"/>
      <c r="J59" s="269"/>
      <c r="K59" s="267"/>
    </row>
  </sheetData>
  <mergeCells count="8">
    <mergeCell ref="B58:I58"/>
    <mergeCell ref="B21:I21"/>
    <mergeCell ref="B10:I10"/>
    <mergeCell ref="A2:K2"/>
    <mergeCell ref="A4:H4"/>
    <mergeCell ref="B28:I28"/>
    <mergeCell ref="B47:I47"/>
    <mergeCell ref="B40:I40"/>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zoomScale="115" zoomScaleNormal="100" zoomScaleSheetLayoutView="115" zoomScalePageLayoutView="145" workbookViewId="0">
      <selection activeCell="K12" sqref="K12"/>
    </sheetView>
  </sheetViews>
  <sheetFormatPr defaultRowHeight="11.25"/>
  <cols>
    <col min="1" max="9" width="9.33203125" style="3"/>
    <col min="10" max="10" width="9.33203125" style="3" customWidth="1"/>
    <col min="11" max="11" width="11.33203125" style="3" customWidth="1"/>
    <col min="12" max="12" width="12.33203125" style="3" customWidth="1"/>
    <col min="13" max="16384" width="9.33203125" style="3"/>
  </cols>
  <sheetData>
    <row r="1" spans="1:12" ht="11.25" customHeight="1"/>
    <row r="2" spans="1:12" ht="26.25" customHeight="1">
      <c r="A2" s="864" t="s">
        <v>555</v>
      </c>
      <c r="B2" s="864"/>
      <c r="C2" s="864"/>
      <c r="D2" s="864"/>
      <c r="E2" s="864"/>
      <c r="F2" s="864"/>
      <c r="G2" s="864"/>
      <c r="H2" s="864"/>
      <c r="I2" s="864"/>
      <c r="J2" s="864"/>
      <c r="K2" s="864"/>
      <c r="L2" s="864"/>
    </row>
    <row r="3" spans="1:12" ht="11.25" customHeight="1">
      <c r="A3" s="260"/>
      <c r="B3" s="260"/>
      <c r="C3" s="260"/>
      <c r="D3" s="260"/>
      <c r="E3" s="260"/>
      <c r="F3" s="260"/>
      <c r="G3" s="260"/>
      <c r="H3" s="260"/>
      <c r="I3" s="260"/>
      <c r="J3" s="260"/>
      <c r="K3" s="260"/>
      <c r="L3" s="271"/>
    </row>
    <row r="4" spans="1:12" ht="11.25" customHeight="1">
      <c r="A4" s="260"/>
      <c r="B4" s="260"/>
      <c r="C4" s="260"/>
      <c r="D4" s="260"/>
      <c r="E4" s="260"/>
      <c r="F4" s="260"/>
      <c r="G4" s="260"/>
      <c r="H4" s="260"/>
      <c r="I4" s="260"/>
      <c r="J4" s="260"/>
      <c r="K4" s="260"/>
      <c r="L4" s="84"/>
    </row>
    <row r="5" spans="1:12" ht="11.25" customHeight="1">
      <c r="A5" s="260"/>
      <c r="B5" s="260"/>
      <c r="C5" s="260"/>
      <c r="D5" s="260"/>
      <c r="E5" s="260"/>
      <c r="F5" s="260"/>
      <c r="G5" s="260"/>
      <c r="H5" s="260"/>
      <c r="I5" s="260"/>
      <c r="J5" s="260"/>
      <c r="K5" s="260"/>
      <c r="L5" s="84"/>
    </row>
    <row r="6" spans="1:12" ht="11.25" customHeight="1">
      <c r="A6" s="260"/>
      <c r="B6" s="260"/>
      <c r="C6" s="260"/>
      <c r="D6" s="260"/>
      <c r="E6" s="260"/>
      <c r="F6" s="260"/>
      <c r="G6" s="260"/>
      <c r="H6" s="260"/>
      <c r="I6" s="260"/>
      <c r="J6" s="260"/>
      <c r="K6" s="260"/>
      <c r="L6" s="84"/>
    </row>
    <row r="7" spans="1:12" ht="11.25" customHeight="1">
      <c r="A7" s="260"/>
      <c r="B7" s="261"/>
      <c r="C7" s="260"/>
      <c r="D7" s="260"/>
      <c r="E7" s="260"/>
      <c r="F7" s="260"/>
      <c r="G7" s="260"/>
      <c r="H7" s="260"/>
      <c r="I7" s="260"/>
      <c r="J7" s="260"/>
      <c r="K7" s="260"/>
      <c r="L7" s="84"/>
    </row>
    <row r="8" spans="1:12" ht="11.25" customHeight="1">
      <c r="A8" s="260"/>
      <c r="B8" s="261"/>
      <c r="C8" s="260"/>
      <c r="D8" s="260"/>
      <c r="E8" s="260"/>
      <c r="F8" s="260"/>
      <c r="G8" s="260"/>
      <c r="H8" s="260"/>
      <c r="I8" s="260"/>
      <c r="J8" s="260"/>
      <c r="K8" s="260"/>
      <c r="L8" s="84"/>
    </row>
    <row r="9" spans="1:12" ht="11.25" customHeight="1">
      <c r="A9" s="260"/>
      <c r="B9" s="261"/>
      <c r="C9" s="260"/>
      <c r="D9" s="260"/>
      <c r="E9" s="260"/>
      <c r="F9" s="260"/>
      <c r="G9" s="260"/>
      <c r="H9" s="260"/>
      <c r="I9" s="260"/>
      <c r="J9" s="260"/>
      <c r="K9" s="260"/>
      <c r="L9" s="84"/>
    </row>
    <row r="10" spans="1:12" ht="11.25" customHeight="1">
      <c r="A10" s="260"/>
      <c r="B10" s="260"/>
      <c r="C10" s="260"/>
      <c r="D10" s="260"/>
      <c r="E10" s="260"/>
      <c r="F10" s="260"/>
      <c r="G10" s="260"/>
      <c r="H10" s="260"/>
      <c r="I10" s="260"/>
      <c r="J10" s="260"/>
      <c r="K10" s="260"/>
      <c r="L10" s="84"/>
    </row>
    <row r="11" spans="1:12" ht="11.25" customHeight="1">
      <c r="A11" s="260"/>
      <c r="B11" s="260"/>
      <c r="C11" s="260"/>
      <c r="D11" s="260"/>
      <c r="E11" s="260"/>
      <c r="F11" s="260"/>
      <c r="G11" s="260"/>
      <c r="H11" s="260"/>
      <c r="I11" s="260"/>
      <c r="J11" s="260"/>
      <c r="K11" s="260"/>
      <c r="L11" s="84"/>
    </row>
    <row r="12" spans="1:12" ht="11.25" customHeight="1">
      <c r="A12" s="260"/>
      <c r="B12" s="260"/>
      <c r="C12" s="260"/>
      <c r="D12" s="260"/>
      <c r="E12" s="260"/>
      <c r="F12" s="260"/>
      <c r="G12" s="260"/>
      <c r="H12" s="260"/>
      <c r="I12" s="260"/>
      <c r="J12" s="260"/>
      <c r="K12" s="260"/>
      <c r="L12" s="84"/>
    </row>
    <row r="13" spans="1:12" ht="11.25" customHeight="1">
      <c r="A13" s="260"/>
      <c r="B13" s="260"/>
      <c r="C13" s="260"/>
      <c r="D13" s="260"/>
      <c r="E13" s="260"/>
      <c r="F13" s="260"/>
      <c r="G13" s="260"/>
      <c r="H13" s="260"/>
      <c r="I13" s="260"/>
      <c r="J13" s="260"/>
      <c r="K13" s="260"/>
      <c r="L13" s="84"/>
    </row>
    <row r="14" spans="1:12" ht="11.25" customHeight="1">
      <c r="A14" s="260"/>
      <c r="B14" s="260"/>
      <c r="C14" s="260"/>
      <c r="D14" s="260"/>
      <c r="E14" s="260"/>
      <c r="F14" s="260"/>
      <c r="G14" s="260"/>
      <c r="H14" s="260"/>
      <c r="I14" s="260"/>
      <c r="J14" s="260"/>
      <c r="K14" s="260"/>
      <c r="L14" s="84"/>
    </row>
    <row r="15" spans="1:12" ht="11.25" customHeight="1">
      <c r="A15" s="260"/>
      <c r="B15" s="260"/>
      <c r="C15" s="260"/>
      <c r="D15" s="260"/>
      <c r="E15" s="260"/>
      <c r="F15" s="260"/>
      <c r="G15" s="260"/>
      <c r="H15" s="260"/>
      <c r="I15" s="260"/>
      <c r="J15" s="260"/>
      <c r="K15" s="260"/>
      <c r="L15" s="84"/>
    </row>
    <row r="16" spans="1:12" ht="11.25" customHeight="1">
      <c r="A16" s="260"/>
      <c r="B16" s="260"/>
      <c r="C16" s="260"/>
      <c r="D16" s="260"/>
      <c r="E16" s="260"/>
      <c r="F16" s="260"/>
      <c r="G16" s="260"/>
      <c r="H16" s="260"/>
      <c r="I16" s="260"/>
      <c r="J16" s="260"/>
      <c r="K16" s="260"/>
      <c r="L16" s="84"/>
    </row>
    <row r="17" spans="1:12" ht="11.25" customHeight="1">
      <c r="A17" s="260"/>
      <c r="B17" s="260"/>
      <c r="C17" s="260"/>
      <c r="D17" s="260"/>
      <c r="E17" s="260"/>
      <c r="F17" s="260"/>
      <c r="G17" s="260"/>
      <c r="H17" s="260"/>
      <c r="I17" s="260"/>
      <c r="J17" s="260"/>
      <c r="K17" s="260"/>
      <c r="L17" s="84"/>
    </row>
    <row r="18" spans="1:12" ht="11.25" customHeight="1">
      <c r="A18" s="260"/>
      <c r="B18" s="260"/>
      <c r="C18" s="260"/>
      <c r="D18" s="260"/>
      <c r="E18" s="260"/>
      <c r="F18" s="260"/>
      <c r="G18" s="260"/>
      <c r="H18" s="260"/>
      <c r="I18" s="260"/>
      <c r="J18" s="260"/>
      <c r="K18" s="260"/>
      <c r="L18" s="271"/>
    </row>
    <row r="19" spans="1:12" ht="11.25" customHeight="1">
      <c r="A19" s="260"/>
      <c r="B19" s="260"/>
      <c r="C19" s="260"/>
      <c r="D19" s="260"/>
      <c r="E19" s="260"/>
      <c r="F19" s="260"/>
      <c r="G19" s="260"/>
      <c r="H19" s="260"/>
      <c r="I19" s="260"/>
      <c r="J19" s="260"/>
      <c r="K19" s="260"/>
      <c r="L19" s="271"/>
    </row>
    <row r="20" spans="1:12" ht="11.25" customHeight="1">
      <c r="A20" s="260"/>
      <c r="B20" s="260"/>
      <c r="C20" s="260"/>
      <c r="D20" s="260"/>
      <c r="E20" s="260"/>
      <c r="F20" s="260"/>
      <c r="G20" s="260"/>
      <c r="H20" s="260"/>
      <c r="I20" s="260"/>
      <c r="J20" s="260"/>
      <c r="K20" s="260"/>
      <c r="L20" s="271"/>
    </row>
    <row r="21" spans="1:12" ht="11.25" customHeight="1">
      <c r="A21" s="260"/>
      <c r="B21" s="260"/>
      <c r="C21" s="260"/>
      <c r="D21" s="260"/>
      <c r="E21" s="260"/>
      <c r="F21" s="260"/>
      <c r="G21" s="260"/>
      <c r="H21" s="260"/>
      <c r="I21" s="260"/>
      <c r="J21" s="260"/>
      <c r="K21" s="260"/>
      <c r="L21" s="271"/>
    </row>
    <row r="22" spans="1:12" ht="11.25" customHeight="1">
      <c r="A22" s="260"/>
      <c r="B22" s="260"/>
      <c r="C22" s="260"/>
      <c r="D22" s="260"/>
      <c r="E22" s="260"/>
      <c r="F22" s="260"/>
      <c r="G22" s="260"/>
      <c r="H22" s="260"/>
      <c r="I22" s="260"/>
      <c r="J22" s="260"/>
      <c r="K22" s="260"/>
      <c r="L22" s="271"/>
    </row>
    <row r="23" spans="1:12" ht="11.25" customHeight="1">
      <c r="A23" s="260"/>
      <c r="B23" s="260"/>
      <c r="C23" s="260"/>
      <c r="D23" s="260"/>
      <c r="E23" s="260"/>
      <c r="F23" s="260"/>
      <c r="G23" s="260"/>
      <c r="H23" s="260"/>
      <c r="I23" s="260"/>
      <c r="J23" s="260"/>
      <c r="K23" s="260"/>
      <c r="L23" s="271"/>
    </row>
    <row r="24" spans="1:12" ht="11.25" customHeight="1">
      <c r="A24" s="260"/>
      <c r="B24" s="260"/>
      <c r="C24" s="260"/>
      <c r="D24" s="260"/>
      <c r="E24" s="260"/>
      <c r="F24" s="260"/>
      <c r="G24" s="260"/>
      <c r="H24" s="260"/>
      <c r="I24" s="260"/>
      <c r="J24" s="260"/>
      <c r="K24" s="260"/>
      <c r="L24" s="271"/>
    </row>
    <row r="25" spans="1:12" ht="11.25" customHeight="1">
      <c r="A25" s="260"/>
      <c r="B25" s="260"/>
      <c r="C25" s="260"/>
      <c r="D25" s="260"/>
      <c r="E25" s="260"/>
      <c r="F25" s="260"/>
      <c r="G25" s="260"/>
      <c r="H25" s="260"/>
      <c r="I25" s="260"/>
      <c r="J25" s="260"/>
      <c r="K25" s="260"/>
      <c r="L25" s="271"/>
    </row>
    <row r="26" spans="1:12" ht="11.25" customHeight="1">
      <c r="A26" s="260"/>
      <c r="B26" s="260"/>
      <c r="C26" s="260"/>
      <c r="D26" s="260"/>
      <c r="E26" s="260"/>
      <c r="F26" s="260"/>
      <c r="G26" s="260"/>
      <c r="H26" s="260"/>
      <c r="I26" s="260"/>
      <c r="J26" s="260"/>
      <c r="K26" s="260"/>
      <c r="L26" s="271"/>
    </row>
    <row r="27" spans="1:12" ht="11.25" customHeight="1">
      <c r="A27" s="260"/>
      <c r="B27" s="260"/>
      <c r="C27" s="260"/>
      <c r="D27" s="260"/>
      <c r="E27" s="260"/>
      <c r="F27" s="260"/>
      <c r="G27" s="260"/>
      <c r="H27" s="260"/>
      <c r="I27" s="260"/>
      <c r="J27" s="260"/>
      <c r="K27" s="260"/>
      <c r="L27" s="271"/>
    </row>
    <row r="28" spans="1:12" ht="11.25" customHeight="1">
      <c r="A28" s="260"/>
      <c r="B28" s="260"/>
      <c r="C28" s="260"/>
      <c r="D28" s="260"/>
      <c r="E28" s="260"/>
      <c r="F28" s="260"/>
      <c r="G28" s="260"/>
      <c r="H28" s="260"/>
      <c r="I28" s="260"/>
      <c r="J28" s="260"/>
      <c r="K28" s="260"/>
      <c r="L28" s="271"/>
    </row>
    <row r="29" spans="1:12" ht="11.25" customHeight="1">
      <c r="A29" s="260"/>
      <c r="B29" s="260"/>
      <c r="C29" s="260"/>
      <c r="D29" s="260"/>
      <c r="E29" s="260"/>
      <c r="F29" s="260"/>
      <c r="G29" s="260"/>
      <c r="H29" s="260"/>
      <c r="I29" s="260"/>
      <c r="J29" s="260"/>
      <c r="K29" s="260"/>
      <c r="L29" s="271"/>
    </row>
    <row r="30" spans="1:12" ht="11.25" customHeight="1">
      <c r="A30" s="260"/>
      <c r="B30" s="260"/>
      <c r="C30" s="260"/>
      <c r="D30" s="260"/>
      <c r="E30" s="260"/>
      <c r="F30" s="260"/>
      <c r="G30" s="260"/>
      <c r="H30" s="260"/>
      <c r="I30" s="260"/>
      <c r="J30" s="260"/>
      <c r="K30" s="260"/>
      <c r="L30" s="271"/>
    </row>
    <row r="31" spans="1:12" ht="11.25" customHeight="1">
      <c r="A31" s="260"/>
      <c r="B31" s="260"/>
      <c r="C31" s="260"/>
      <c r="D31" s="260"/>
      <c r="E31" s="260"/>
      <c r="F31" s="260"/>
      <c r="G31" s="260"/>
      <c r="H31" s="260"/>
      <c r="I31" s="260"/>
      <c r="J31" s="260"/>
      <c r="K31" s="260"/>
      <c r="L31" s="271"/>
    </row>
    <row r="32" spans="1:12" ht="11.25" customHeight="1">
      <c r="A32" s="260"/>
      <c r="B32" s="260"/>
      <c r="C32" s="260"/>
      <c r="D32" s="260"/>
      <c r="E32" s="260"/>
      <c r="F32" s="260"/>
      <c r="G32" s="260"/>
      <c r="H32" s="260"/>
      <c r="I32" s="260"/>
      <c r="J32" s="260"/>
      <c r="K32" s="260"/>
      <c r="L32" s="91"/>
    </row>
    <row r="33" spans="1:12" ht="11.25" customHeight="1">
      <c r="A33" s="260"/>
      <c r="B33" s="260"/>
      <c r="C33" s="260"/>
      <c r="D33" s="260"/>
      <c r="E33" s="260"/>
      <c r="F33" s="260"/>
      <c r="G33" s="260"/>
      <c r="H33" s="260"/>
      <c r="I33" s="260"/>
      <c r="J33" s="260"/>
      <c r="K33" s="260"/>
      <c r="L33" s="91"/>
    </row>
    <row r="34" spans="1:12" ht="11.25" customHeight="1">
      <c r="A34" s="260"/>
      <c r="B34" s="260"/>
      <c r="C34" s="260"/>
      <c r="D34" s="260"/>
      <c r="E34" s="260"/>
      <c r="F34" s="260"/>
      <c r="G34" s="260"/>
      <c r="H34" s="260"/>
      <c r="I34" s="260"/>
      <c r="J34" s="260"/>
      <c r="K34" s="260"/>
      <c r="L34" s="91"/>
    </row>
    <row r="35" spans="1:12" ht="11.25" customHeight="1">
      <c r="A35" s="260"/>
      <c r="B35" s="260"/>
      <c r="C35" s="260"/>
      <c r="D35" s="260"/>
      <c r="E35" s="260"/>
      <c r="F35" s="260"/>
      <c r="G35" s="260"/>
      <c r="H35" s="260"/>
      <c r="I35" s="260"/>
      <c r="J35" s="260"/>
      <c r="K35" s="260"/>
      <c r="L35" s="91"/>
    </row>
    <row r="36" spans="1:12" ht="11.25" customHeight="1">
      <c r="A36" s="260"/>
      <c r="B36" s="260"/>
      <c r="C36" s="260"/>
      <c r="D36" s="260"/>
      <c r="E36" s="260"/>
      <c r="F36" s="260"/>
      <c r="G36" s="260"/>
      <c r="H36" s="260"/>
      <c r="I36" s="260"/>
      <c r="J36" s="260"/>
      <c r="K36" s="260"/>
      <c r="L36" s="91"/>
    </row>
    <row r="37" spans="1:12" ht="11.25" customHeight="1">
      <c r="A37" s="260"/>
      <c r="B37" s="260"/>
      <c r="C37" s="260"/>
      <c r="D37" s="260"/>
      <c r="E37" s="260"/>
      <c r="F37" s="260"/>
      <c r="G37" s="260"/>
      <c r="H37" s="260"/>
      <c r="I37" s="260"/>
      <c r="J37" s="260"/>
      <c r="K37" s="260"/>
      <c r="L37" s="91"/>
    </row>
    <row r="38" spans="1:12" ht="11.25" customHeight="1">
      <c r="A38" s="260"/>
      <c r="B38" s="260"/>
      <c r="C38" s="260"/>
      <c r="D38" s="260"/>
      <c r="E38" s="260"/>
      <c r="F38" s="260"/>
      <c r="G38" s="260"/>
      <c r="H38" s="260"/>
      <c r="I38" s="260"/>
      <c r="J38" s="260"/>
      <c r="K38" s="260"/>
      <c r="L38" s="91"/>
    </row>
    <row r="39" spans="1:12" ht="11.25" customHeight="1">
      <c r="A39" s="260"/>
      <c r="B39" s="260"/>
      <c r="C39" s="260"/>
      <c r="D39" s="260"/>
      <c r="E39" s="260"/>
      <c r="F39" s="260"/>
      <c r="G39" s="260"/>
      <c r="H39" s="260"/>
      <c r="I39" s="260"/>
      <c r="J39" s="260"/>
      <c r="K39" s="260"/>
      <c r="L39" s="91"/>
    </row>
    <row r="40" spans="1:12" ht="11.25" customHeight="1">
      <c r="A40" s="260"/>
      <c r="B40" s="260"/>
      <c r="C40" s="260"/>
      <c r="D40" s="260"/>
      <c r="E40" s="260"/>
      <c r="F40" s="260"/>
      <c r="G40" s="260"/>
      <c r="H40" s="260"/>
      <c r="I40" s="260"/>
      <c r="J40" s="260"/>
      <c r="K40" s="260"/>
      <c r="L40" s="91"/>
    </row>
    <row r="41" spans="1:12" ht="11.25" customHeight="1">
      <c r="A41" s="260"/>
      <c r="B41" s="260"/>
      <c r="C41" s="260"/>
      <c r="D41" s="260"/>
      <c r="E41" s="260"/>
      <c r="F41" s="260"/>
      <c r="G41" s="260"/>
      <c r="H41" s="260"/>
      <c r="I41" s="260"/>
      <c r="J41" s="260"/>
      <c r="K41" s="260"/>
      <c r="L41" s="91"/>
    </row>
    <row r="42" spans="1:12" ht="11.25" customHeight="1">
      <c r="A42" s="260"/>
      <c r="B42" s="260"/>
      <c r="C42" s="260"/>
      <c r="D42" s="260"/>
      <c r="E42" s="260"/>
      <c r="F42" s="260"/>
      <c r="G42" s="260"/>
      <c r="H42" s="260"/>
      <c r="I42" s="260"/>
      <c r="J42" s="260"/>
      <c r="K42" s="260"/>
      <c r="L42" s="91"/>
    </row>
    <row r="43" spans="1:12" ht="11.25" customHeight="1">
      <c r="A43" s="260"/>
      <c r="B43" s="260"/>
      <c r="C43" s="260"/>
      <c r="D43" s="260"/>
      <c r="E43" s="260"/>
      <c r="F43" s="260"/>
      <c r="G43" s="260"/>
      <c r="H43" s="260"/>
      <c r="I43" s="260"/>
      <c r="J43" s="260"/>
      <c r="K43" s="260"/>
      <c r="L43" s="91"/>
    </row>
    <row r="44" spans="1:12" ht="11.25" customHeight="1">
      <c r="A44" s="92"/>
      <c r="B44" s="92"/>
      <c r="C44" s="92"/>
      <c r="D44" s="92"/>
      <c r="E44" s="92"/>
      <c r="F44" s="92"/>
      <c r="G44" s="92"/>
      <c r="H44" s="92"/>
      <c r="I44" s="92"/>
      <c r="J44" s="92"/>
      <c r="K44" s="260"/>
      <c r="L44" s="91"/>
    </row>
    <row r="45" spans="1:12" ht="11.25" customHeight="1">
      <c r="A45" s="92"/>
      <c r="B45" s="92"/>
      <c r="C45" s="92"/>
      <c r="D45" s="92"/>
      <c r="E45" s="92"/>
      <c r="F45" s="92"/>
      <c r="G45" s="92"/>
      <c r="H45" s="92"/>
      <c r="I45" s="92"/>
      <c r="J45" s="92"/>
      <c r="K45" s="260"/>
      <c r="L45" s="91"/>
    </row>
    <row r="46" spans="1:12" ht="11.25" customHeight="1">
      <c r="A46" s="92"/>
      <c r="B46" s="92"/>
      <c r="C46" s="92"/>
      <c r="D46" s="92"/>
      <c r="E46" s="92"/>
      <c r="F46" s="92"/>
      <c r="G46" s="92"/>
      <c r="H46" s="92"/>
      <c r="I46" s="92"/>
      <c r="J46" s="92"/>
      <c r="K46" s="260"/>
      <c r="L46" s="91"/>
    </row>
    <row r="47" spans="1:12" ht="11.25" customHeight="1">
      <c r="A47" s="92"/>
      <c r="B47" s="92"/>
      <c r="C47" s="92"/>
      <c r="D47" s="92"/>
      <c r="E47" s="92"/>
      <c r="F47" s="92"/>
      <c r="G47" s="92"/>
      <c r="H47" s="92"/>
      <c r="I47" s="92"/>
      <c r="J47" s="92"/>
      <c r="K47" s="260"/>
      <c r="L47" s="91"/>
    </row>
    <row r="48" spans="1:12" ht="11.25" customHeight="1">
      <c r="A48" s="92"/>
      <c r="B48" s="92"/>
      <c r="C48" s="92"/>
      <c r="D48" s="92"/>
      <c r="E48" s="92"/>
      <c r="F48" s="92"/>
      <c r="G48" s="92"/>
      <c r="H48" s="92"/>
      <c r="I48" s="92"/>
      <c r="J48" s="92"/>
      <c r="K48" s="260"/>
      <c r="L48" s="91"/>
    </row>
    <row r="49" spans="1:12" ht="11.25" customHeight="1">
      <c r="A49" s="92"/>
      <c r="B49" s="92"/>
      <c r="C49" s="92"/>
      <c r="D49" s="92"/>
      <c r="E49" s="92"/>
      <c r="F49" s="92"/>
      <c r="G49" s="92"/>
      <c r="H49" s="92"/>
      <c r="I49" s="92"/>
      <c r="J49" s="92"/>
      <c r="K49" s="260"/>
      <c r="L49" s="91"/>
    </row>
    <row r="50" spans="1:12" ht="12.75">
      <c r="A50" s="92"/>
      <c r="B50" s="92"/>
      <c r="C50" s="92"/>
      <c r="D50" s="92"/>
      <c r="E50" s="92"/>
      <c r="F50" s="92"/>
      <c r="G50" s="92"/>
      <c r="H50" s="92"/>
      <c r="I50" s="92"/>
      <c r="J50" s="92"/>
      <c r="K50" s="260"/>
      <c r="L50" s="91"/>
    </row>
    <row r="51" spans="1:12" ht="12.75">
      <c r="A51" s="92"/>
      <c r="B51" s="92"/>
      <c r="C51" s="92"/>
      <c r="D51" s="92"/>
      <c r="E51" s="92"/>
      <c r="F51" s="92"/>
      <c r="G51" s="92"/>
      <c r="H51" s="92"/>
      <c r="I51" s="92"/>
      <c r="J51" s="92"/>
      <c r="K51" s="260"/>
      <c r="L51" s="91"/>
    </row>
    <row r="52" spans="1:12" ht="12.75">
      <c r="A52" s="92"/>
      <c r="B52" s="92"/>
      <c r="C52" s="92"/>
      <c r="D52" s="92"/>
      <c r="E52" s="92"/>
      <c r="F52" s="92"/>
      <c r="G52" s="92"/>
      <c r="H52" s="92"/>
      <c r="I52" s="92"/>
      <c r="J52" s="92"/>
      <c r="K52" s="260"/>
      <c r="L52" s="91"/>
    </row>
    <row r="53" spans="1:12" ht="12.75">
      <c r="A53" s="92"/>
      <c r="B53" s="92"/>
      <c r="C53" s="92"/>
      <c r="D53" s="92"/>
      <c r="E53" s="92"/>
      <c r="F53" s="92"/>
      <c r="G53" s="92"/>
      <c r="H53" s="92"/>
      <c r="I53" s="92"/>
      <c r="J53" s="92"/>
      <c r="K53" s="260"/>
      <c r="L53" s="91"/>
    </row>
    <row r="54" spans="1:12" ht="12.75">
      <c r="A54" s="92"/>
      <c r="B54" s="92"/>
      <c r="C54" s="92"/>
      <c r="D54" s="92"/>
      <c r="E54" s="92"/>
      <c r="F54" s="92"/>
      <c r="G54" s="92"/>
      <c r="H54" s="92"/>
      <c r="I54" s="92"/>
      <c r="J54" s="92"/>
      <c r="K54" s="260"/>
      <c r="L54" s="91"/>
    </row>
    <row r="55" spans="1:12" ht="12.75">
      <c r="A55" s="92"/>
      <c r="B55" s="92"/>
      <c r="C55" s="92"/>
      <c r="D55" s="92"/>
      <c r="E55" s="92"/>
      <c r="F55" s="92"/>
      <c r="G55" s="92"/>
      <c r="H55" s="92"/>
      <c r="I55" s="92"/>
      <c r="J55" s="92"/>
      <c r="K55" s="260"/>
      <c r="L55" s="91"/>
    </row>
    <row r="56" spans="1:12" ht="12.75">
      <c r="A56" s="92"/>
      <c r="B56" s="92"/>
      <c r="C56" s="92"/>
      <c r="D56" s="92"/>
      <c r="E56" s="92"/>
      <c r="F56" s="92"/>
      <c r="G56" s="92"/>
      <c r="H56" s="92"/>
      <c r="I56" s="92"/>
      <c r="J56" s="92"/>
      <c r="K56" s="260"/>
      <c r="L56" s="91"/>
    </row>
    <row r="57" spans="1:12" ht="12.75">
      <c r="A57" s="92"/>
      <c r="B57" s="92"/>
      <c r="C57" s="92"/>
      <c r="D57" s="92"/>
      <c r="E57" s="92"/>
      <c r="F57" s="92"/>
      <c r="G57" s="92"/>
      <c r="H57" s="92"/>
      <c r="I57" s="92"/>
      <c r="J57" s="92"/>
      <c r="K57" s="260"/>
      <c r="L57" s="91"/>
    </row>
    <row r="58" spans="1:12" ht="12.75">
      <c r="A58" s="92"/>
      <c r="B58" s="92"/>
      <c r="C58" s="92"/>
      <c r="D58" s="92"/>
      <c r="E58" s="92"/>
      <c r="F58" s="92"/>
      <c r="G58" s="92"/>
      <c r="H58" s="92"/>
      <c r="I58" s="92"/>
      <c r="J58" s="92"/>
      <c r="K58" s="260"/>
      <c r="L58" s="91"/>
    </row>
    <row r="59" spans="1:12" ht="12.75">
      <c r="A59" s="92"/>
      <c r="B59" s="92"/>
      <c r="C59" s="92"/>
      <c r="D59" s="92"/>
      <c r="E59" s="92"/>
      <c r="F59" s="92"/>
      <c r="G59" s="92"/>
      <c r="H59" s="92"/>
      <c r="I59" s="92"/>
      <c r="J59" s="92"/>
      <c r="K59" s="260"/>
      <c r="L59" s="91"/>
    </row>
    <row r="60" spans="1:12" ht="12.75">
      <c r="A60" s="92"/>
      <c r="B60" s="92"/>
      <c r="C60" s="92"/>
      <c r="D60" s="92"/>
      <c r="E60" s="92"/>
      <c r="F60" s="92"/>
      <c r="G60" s="92"/>
      <c r="H60" s="92"/>
      <c r="I60" s="92"/>
      <c r="J60" s="92"/>
      <c r="K60" s="260"/>
      <c r="L60" s="91"/>
    </row>
    <row r="61" spans="1:12" ht="12.75">
      <c r="A61" s="92"/>
      <c r="B61" s="92"/>
      <c r="C61" s="92"/>
      <c r="D61" s="92"/>
      <c r="E61" s="92"/>
      <c r="F61" s="92"/>
      <c r="G61" s="92"/>
      <c r="H61" s="92"/>
      <c r="I61" s="92"/>
      <c r="J61" s="92"/>
      <c r="K61" s="260"/>
      <c r="L61" s="91"/>
    </row>
    <row r="62" spans="1:12" ht="12.75">
      <c r="A62" s="92"/>
      <c r="B62" s="92"/>
      <c r="C62" s="92"/>
      <c r="D62" s="92"/>
      <c r="E62" s="92"/>
      <c r="F62" s="92"/>
      <c r="G62" s="92"/>
      <c r="H62" s="92"/>
      <c r="I62" s="92"/>
      <c r="J62" s="92"/>
      <c r="K62" s="260"/>
      <c r="L62" s="91"/>
    </row>
    <row r="63" spans="1:12" ht="12.75">
      <c r="A63" s="92"/>
      <c r="B63" s="92"/>
      <c r="C63" s="92"/>
      <c r="D63" s="92"/>
      <c r="E63" s="92"/>
      <c r="F63" s="92"/>
      <c r="G63" s="92"/>
      <c r="H63" s="92"/>
      <c r="I63" s="92"/>
      <c r="J63" s="92"/>
      <c r="K63" s="260"/>
      <c r="L63" s="91"/>
    </row>
    <row r="64" spans="1:12" ht="12.75">
      <c r="A64" s="92"/>
      <c r="B64" s="92"/>
      <c r="C64" s="92"/>
      <c r="D64" s="92"/>
      <c r="E64" s="92"/>
      <c r="F64" s="92"/>
      <c r="G64" s="92"/>
      <c r="H64" s="92"/>
      <c r="I64" s="92"/>
      <c r="J64" s="92"/>
      <c r="K64" s="260"/>
      <c r="L64" s="91"/>
    </row>
    <row r="65" spans="1:12" ht="12.75">
      <c r="A65" s="92"/>
      <c r="B65" s="92"/>
      <c r="C65" s="92"/>
      <c r="D65" s="92"/>
      <c r="E65" s="92"/>
      <c r="F65" s="92"/>
      <c r="G65" s="92"/>
      <c r="H65" s="92"/>
      <c r="I65" s="92"/>
      <c r="J65" s="92"/>
      <c r="K65" s="260"/>
      <c r="L65" s="91"/>
    </row>
    <row r="66" spans="1:12" ht="12.75">
      <c r="A66" s="92"/>
      <c r="B66" s="92"/>
      <c r="C66" s="92"/>
      <c r="D66" s="92"/>
      <c r="E66" s="92"/>
      <c r="F66" s="92"/>
      <c r="G66" s="92"/>
      <c r="H66" s="92"/>
      <c r="I66" s="92"/>
      <c r="J66" s="92"/>
      <c r="K66" s="260"/>
      <c r="L66" s="91"/>
    </row>
    <row r="67" spans="1:12" ht="12.75">
      <c r="A67" s="92"/>
      <c r="B67" s="92"/>
      <c r="C67" s="92"/>
      <c r="D67" s="92"/>
      <c r="E67" s="92"/>
      <c r="F67" s="92"/>
      <c r="G67" s="92"/>
      <c r="H67" s="92"/>
      <c r="I67" s="92"/>
      <c r="J67" s="92"/>
      <c r="K67" s="260"/>
      <c r="L67" s="91"/>
    </row>
    <row r="68" spans="1:12" ht="12.75">
      <c r="A68" s="92"/>
      <c r="B68" s="92"/>
      <c r="C68" s="92"/>
      <c r="D68" s="92"/>
      <c r="E68" s="92"/>
      <c r="F68" s="92"/>
      <c r="G68" s="92"/>
      <c r="H68" s="92"/>
      <c r="I68" s="92"/>
      <c r="J68" s="92"/>
      <c r="K68" s="260"/>
      <c r="L68" s="91"/>
    </row>
    <row r="69" spans="1:12" ht="12.75">
      <c r="A69" s="92"/>
      <c r="B69" s="92"/>
      <c r="C69" s="92"/>
      <c r="D69" s="92"/>
      <c r="E69" s="92"/>
      <c r="F69" s="92"/>
      <c r="G69" s="92"/>
      <c r="H69" s="92"/>
      <c r="I69" s="92"/>
      <c r="J69" s="92"/>
      <c r="K69" s="260"/>
      <c r="L69" s="91"/>
    </row>
    <row r="70" spans="1:12" ht="12.75">
      <c r="A70" s="272"/>
      <c r="B70" s="272"/>
      <c r="C70" s="272"/>
      <c r="D70" s="272"/>
      <c r="E70" s="272"/>
      <c r="F70" s="272"/>
      <c r="G70" s="272"/>
      <c r="H70" s="272"/>
      <c r="I70" s="272"/>
      <c r="J70" s="272"/>
      <c r="K70" s="260"/>
      <c r="L70" s="91"/>
    </row>
    <row r="71" spans="1:12" ht="12.75">
      <c r="A71" s="92"/>
      <c r="B71" s="91"/>
      <c r="C71" s="91"/>
      <c r="D71" s="91"/>
      <c r="E71" s="91"/>
      <c r="F71" s="91"/>
      <c r="G71" s="91"/>
      <c r="H71" s="91"/>
      <c r="I71" s="91"/>
      <c r="J71" s="91"/>
      <c r="K71" s="260"/>
      <c r="L71" s="91"/>
    </row>
  </sheetData>
  <mergeCells count="1">
    <mergeCell ref="A2:L2"/>
  </mergeCells>
  <pageMargins left="0.7" right="0.50724637681159424" top="0.86956521739130432" bottom="0.61458333333333337" header="0.3" footer="0.3"/>
  <pageSetup orientation="portrait" r:id="rId1"/>
  <headerFooter>
    <oddHeader>&amp;R&amp;7Informe de la Operación Mensual - Febrero 2018
INFSGI-MES-02-2018
08/03/2018
Versión: 01</oddHeader>
    <oddFooter>&amp;L&amp;7COES SINAC, 2018
&amp;C15&amp;R&amp;7Dirección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M62"/>
  <sheetViews>
    <sheetView showGridLines="0" view="pageBreakPreview" zoomScale="115" zoomScaleNormal="100" zoomScaleSheetLayoutView="115" zoomScalePageLayoutView="115" workbookViewId="0">
      <selection activeCell="K12" sqref="K12"/>
    </sheetView>
  </sheetViews>
  <sheetFormatPr defaultRowHeight="11.25"/>
  <cols>
    <col min="1" max="1" width="12.83203125" style="61" customWidth="1"/>
    <col min="2" max="2" width="17.6640625" style="61" customWidth="1"/>
    <col min="3" max="3" width="24" style="61" customWidth="1"/>
    <col min="4" max="6" width="11" style="61" customWidth="1"/>
    <col min="7" max="8" width="13" style="61" customWidth="1"/>
    <col min="9" max="9" width="9.33203125" style="61"/>
    <col min="10" max="11" width="9.33203125" style="61" customWidth="1"/>
    <col min="12" max="13" width="9.33203125" style="61"/>
    <col min="14" max="16384" width="9.33203125" style="95"/>
  </cols>
  <sheetData>
    <row r="1" spans="1:12" ht="11.25" customHeight="1"/>
    <row r="2" spans="1:12" ht="21" customHeight="1">
      <c r="A2" s="904" t="s">
        <v>554</v>
      </c>
      <c r="B2" s="904"/>
      <c r="C2" s="904"/>
      <c r="D2" s="904"/>
      <c r="E2" s="904"/>
      <c r="F2" s="904"/>
      <c r="G2" s="904"/>
      <c r="H2" s="904"/>
      <c r="I2" s="284"/>
      <c r="J2" s="284"/>
      <c r="K2" s="284"/>
    </row>
    <row r="3" spans="1:12" ht="11.25" customHeight="1">
      <c r="A3" s="97"/>
      <c r="B3" s="97"/>
      <c r="C3" s="97"/>
      <c r="D3" s="97"/>
      <c r="E3" s="97"/>
      <c r="F3" s="97"/>
      <c r="G3" s="97"/>
      <c r="H3" s="97"/>
      <c r="I3" s="285"/>
      <c r="J3" s="285"/>
      <c r="K3" s="285"/>
      <c r="L3" s="274"/>
    </row>
    <row r="4" spans="1:12" ht="11.25" customHeight="1">
      <c r="A4" s="894" t="s">
        <v>556</v>
      </c>
      <c r="B4" s="894"/>
      <c r="C4" s="894"/>
      <c r="D4" s="894"/>
      <c r="E4" s="894"/>
      <c r="F4" s="894"/>
      <c r="G4" s="894"/>
      <c r="H4" s="894"/>
      <c r="I4" s="275"/>
      <c r="J4" s="275"/>
      <c r="K4" s="275"/>
      <c r="L4" s="274"/>
    </row>
    <row r="5" spans="1:12" ht="11.25" customHeight="1">
      <c r="A5" s="97"/>
      <c r="B5" s="212"/>
      <c r="C5" s="98"/>
      <c r="D5" s="99"/>
      <c r="E5" s="99"/>
      <c r="F5" s="100"/>
      <c r="G5" s="96"/>
      <c r="H5" s="96"/>
      <c r="I5" s="276"/>
      <c r="J5" s="276"/>
      <c r="K5" s="276"/>
      <c r="L5" s="286"/>
    </row>
    <row r="6" spans="1:12" ht="30.75" customHeight="1">
      <c r="A6" s="291" t="s">
        <v>204</v>
      </c>
      <c r="B6" s="292" t="s">
        <v>205</v>
      </c>
      <c r="C6" s="292" t="s">
        <v>206</v>
      </c>
      <c r="D6" s="463" t="str">
        <f>UPPER('1. Resumen'!Q4)&amp;"
 "&amp;'1. Resumen'!Q5</f>
        <v>FEBRERO
 2018</v>
      </c>
      <c r="E6" s="463" t="str">
        <f>UPPER('1. Resumen'!Q4)&amp;"
 "&amp;'1. Resumen'!Q5-1</f>
        <v>FEBRERO
 2017</v>
      </c>
      <c r="F6" s="463" t="str">
        <f>UPPER('1. Resumen'!Q4)&amp;"
 "&amp;'1. Resumen'!Q5-2</f>
        <v>FEBRERO
 2016</v>
      </c>
      <c r="G6" s="292" t="s">
        <v>570</v>
      </c>
      <c r="H6" s="464" t="s">
        <v>207</v>
      </c>
      <c r="I6" s="276"/>
      <c r="J6" s="276"/>
      <c r="K6" s="276"/>
      <c r="L6" s="214"/>
    </row>
    <row r="7" spans="1:12" ht="22.5">
      <c r="A7" s="470" t="s">
        <v>208</v>
      </c>
      <c r="B7" s="458" t="s">
        <v>209</v>
      </c>
      <c r="C7" s="459" t="s">
        <v>338</v>
      </c>
      <c r="D7" s="293"/>
      <c r="E7" s="293">
        <v>595.1</v>
      </c>
      <c r="F7" s="293">
        <v>175.59999999999994</v>
      </c>
      <c r="G7" s="465">
        <f>+D7/E7-1</f>
        <v>-1</v>
      </c>
      <c r="H7" s="465">
        <f>+E7/F7-1</f>
        <v>2.3889521640091131</v>
      </c>
      <c r="I7" s="276"/>
      <c r="J7" s="276"/>
      <c r="K7" s="276"/>
      <c r="L7" s="74"/>
    </row>
    <row r="8" spans="1:12" ht="22.5">
      <c r="A8" s="905" t="s">
        <v>210</v>
      </c>
      <c r="B8" s="460" t="s">
        <v>211</v>
      </c>
      <c r="C8" s="459" t="s">
        <v>339</v>
      </c>
      <c r="D8" s="294"/>
      <c r="E8" s="294">
        <v>32.25</v>
      </c>
      <c r="F8" s="294">
        <v>5.4499999999999993</v>
      </c>
      <c r="G8" s="465">
        <f t="shared" ref="G8:G10" si="0">+D8/E8-1</f>
        <v>-1</v>
      </c>
      <c r="H8" s="465">
        <f t="shared" ref="H8" si="1">+E8/F8-1</f>
        <v>4.9174311926605512</v>
      </c>
      <c r="I8" s="276"/>
      <c r="J8" s="276"/>
      <c r="K8" s="276"/>
      <c r="L8" s="213"/>
    </row>
    <row r="9" spans="1:12" ht="22.5">
      <c r="A9" s="906"/>
      <c r="B9" s="461" t="s">
        <v>342</v>
      </c>
      <c r="C9" s="459" t="s">
        <v>340</v>
      </c>
      <c r="D9" s="295">
        <v>8.4000000000000021</v>
      </c>
      <c r="E9" s="295">
        <v>8.0500000000000007</v>
      </c>
      <c r="F9" s="295"/>
      <c r="G9" s="465">
        <f t="shared" si="0"/>
        <v>4.347826086956541E-2</v>
      </c>
      <c r="H9" s="465"/>
      <c r="I9" s="276"/>
      <c r="J9" s="276"/>
      <c r="K9" s="277"/>
      <c r="L9" s="287"/>
    </row>
    <row r="10" spans="1:12" ht="22.5">
      <c r="A10" s="906"/>
      <c r="B10" s="461" t="s">
        <v>673</v>
      </c>
      <c r="C10" s="459" t="s">
        <v>341</v>
      </c>
      <c r="D10" s="294">
        <v>48.933333333333344</v>
      </c>
      <c r="E10" s="294">
        <v>25.883333333333333</v>
      </c>
      <c r="F10" s="294"/>
      <c r="G10" s="465">
        <f t="shared" si="0"/>
        <v>0.89053444945267279</v>
      </c>
      <c r="H10" s="465"/>
      <c r="I10" s="276"/>
      <c r="J10" s="276"/>
      <c r="K10" s="277"/>
      <c r="L10" s="287"/>
    </row>
    <row r="11" spans="1:12" ht="22.5">
      <c r="A11" s="907"/>
      <c r="B11" s="462" t="s">
        <v>674</v>
      </c>
      <c r="C11" s="462" t="s">
        <v>675</v>
      </c>
      <c r="D11" s="295">
        <v>12.800000000000002</v>
      </c>
      <c r="E11" s="295">
        <v>6.716666666666665</v>
      </c>
      <c r="F11" s="295"/>
      <c r="G11" s="465"/>
      <c r="H11" s="465"/>
      <c r="I11" s="276"/>
      <c r="J11" s="276"/>
      <c r="K11" s="277"/>
      <c r="L11" s="287"/>
    </row>
    <row r="12" spans="1:12" ht="11.25" customHeight="1">
      <c r="A12" s="296" t="s">
        <v>212</v>
      </c>
      <c r="B12" s="297"/>
      <c r="C12" s="298"/>
      <c r="D12" s="299">
        <f>SUM(D7:D11)</f>
        <v>70.13333333333334</v>
      </c>
      <c r="E12" s="299">
        <f>SUM(E7:E11)</f>
        <v>668</v>
      </c>
      <c r="F12" s="299">
        <f>SUM(F7:F11)</f>
        <v>181.04999999999993</v>
      </c>
      <c r="G12" s="466">
        <f>+E12/F12-1</f>
        <v>2.6895885114609239</v>
      </c>
      <c r="H12" s="466">
        <f>+D12/E12-1</f>
        <v>-0.89500998003992016</v>
      </c>
      <c r="I12" s="276"/>
      <c r="J12" s="276"/>
      <c r="K12" s="277"/>
      <c r="L12" s="287"/>
    </row>
    <row r="13" spans="1:12" ht="11.25" customHeight="1">
      <c r="A13" s="454" t="str">
        <f>"Cuadro N° 14: Horas de operación de los principales equipos de congestión en "&amp;'1. Resumen'!Q4</f>
        <v>Cuadro N° 14: Horas de operación de los principales equipos de congestión en febrero</v>
      </c>
      <c r="B13" s="300"/>
      <c r="C13" s="301"/>
      <c r="D13" s="302"/>
      <c r="E13" s="302"/>
      <c r="F13" s="303"/>
      <c r="G13" s="96"/>
      <c r="H13" s="102"/>
      <c r="I13" s="276"/>
      <c r="J13" s="276"/>
      <c r="K13" s="277"/>
      <c r="L13" s="287"/>
    </row>
    <row r="14" spans="1:12" ht="11.25" customHeight="1">
      <c r="A14" s="158"/>
      <c r="B14" s="300"/>
      <c r="C14" s="301"/>
      <c r="D14" s="302"/>
      <c r="E14" s="302"/>
      <c r="F14" s="303"/>
      <c r="G14" s="96"/>
      <c r="H14" s="96"/>
      <c r="I14" s="276"/>
      <c r="J14" s="276"/>
      <c r="K14" s="277"/>
      <c r="L14" s="287"/>
    </row>
    <row r="15" spans="1:12" ht="11.25" customHeight="1">
      <c r="A15" s="158"/>
      <c r="B15" s="300"/>
      <c r="C15" s="301"/>
      <c r="D15" s="302"/>
      <c r="E15" s="302"/>
      <c r="F15" s="303"/>
      <c r="G15" s="96"/>
      <c r="H15" s="96"/>
      <c r="I15" s="276"/>
      <c r="J15" s="276"/>
      <c r="K15" s="277"/>
      <c r="L15" s="287"/>
    </row>
    <row r="16" spans="1:12" ht="11.25" customHeight="1">
      <c r="A16" s="97"/>
      <c r="B16" s="212"/>
      <c r="C16" s="98"/>
      <c r="D16" s="99"/>
      <c r="E16" s="99"/>
      <c r="F16" s="100"/>
      <c r="G16" s="96"/>
      <c r="H16" s="96"/>
      <c r="I16" s="276"/>
      <c r="J16" s="276"/>
      <c r="K16" s="277"/>
      <c r="L16" s="287"/>
    </row>
    <row r="17" spans="1:12" ht="11.25" customHeight="1">
      <c r="A17" s="97"/>
      <c r="B17" s="212"/>
      <c r="C17" s="98"/>
      <c r="D17" s="99"/>
      <c r="E17" s="99"/>
      <c r="F17" s="100"/>
      <c r="G17" s="96"/>
      <c r="H17" s="96"/>
      <c r="I17" s="276"/>
      <c r="J17" s="276"/>
      <c r="K17" s="277"/>
      <c r="L17" s="287"/>
    </row>
    <row r="18" spans="1:12" ht="11.25" customHeight="1">
      <c r="A18" s="97"/>
      <c r="B18" s="212"/>
      <c r="C18" s="98"/>
      <c r="D18" s="99"/>
      <c r="E18" s="99"/>
      <c r="F18" s="100"/>
      <c r="G18" s="96"/>
      <c r="H18" s="96"/>
      <c r="I18" s="276"/>
      <c r="J18" s="276"/>
      <c r="K18" s="277"/>
      <c r="L18" s="288"/>
    </row>
    <row r="19" spans="1:12" ht="11.25" customHeight="1">
      <c r="A19" s="97"/>
      <c r="B19" s="212"/>
      <c r="C19" s="98"/>
      <c r="D19" s="99"/>
      <c r="E19" s="99"/>
      <c r="F19" s="100"/>
      <c r="G19" s="96"/>
      <c r="H19" s="96"/>
      <c r="I19" s="276"/>
      <c r="J19" s="276"/>
      <c r="K19" s="277"/>
      <c r="L19" s="287"/>
    </row>
    <row r="20" spans="1:12" ht="11.25" customHeight="1">
      <c r="A20" s="97"/>
      <c r="B20" s="212"/>
      <c r="C20" s="98"/>
      <c r="D20" s="99"/>
      <c r="E20" s="99"/>
      <c r="F20" s="100"/>
      <c r="G20" s="96"/>
      <c r="H20" s="96"/>
      <c r="I20" s="276"/>
      <c r="J20" s="276"/>
      <c r="K20" s="277"/>
      <c r="L20" s="287"/>
    </row>
    <row r="21" spans="1:12" ht="11.25" customHeight="1">
      <c r="A21" s="97"/>
      <c r="B21" s="212"/>
      <c r="C21" s="98"/>
      <c r="D21" s="99"/>
      <c r="E21" s="99"/>
      <c r="F21" s="100"/>
      <c r="G21" s="96"/>
      <c r="H21" s="96"/>
      <c r="I21" s="276"/>
      <c r="J21" s="276"/>
      <c r="K21" s="276"/>
      <c r="L21" s="74"/>
    </row>
    <row r="22" spans="1:12" ht="11.25" customHeight="1">
      <c r="A22" s="97"/>
      <c r="B22" s="212"/>
      <c r="C22" s="98"/>
      <c r="D22" s="99"/>
      <c r="E22" s="99"/>
      <c r="F22" s="100"/>
      <c r="G22" s="96"/>
      <c r="H22" s="96"/>
      <c r="I22" s="276"/>
      <c r="J22" s="276"/>
      <c r="K22" s="276"/>
      <c r="L22" s="218"/>
    </row>
    <row r="23" spans="1:12" ht="11.25" customHeight="1">
      <c r="A23" s="97"/>
      <c r="B23" s="212"/>
      <c r="C23" s="98"/>
      <c r="D23" s="99"/>
      <c r="E23" s="99"/>
      <c r="F23" s="100"/>
      <c r="G23" s="96"/>
      <c r="H23" s="96"/>
      <c r="I23" s="276"/>
      <c r="J23" s="276"/>
      <c r="K23" s="276"/>
      <c r="L23" s="74"/>
    </row>
    <row r="24" spans="1:12" ht="11.25" customHeight="1">
      <c r="A24" s="97"/>
      <c r="B24" s="212"/>
      <c r="C24" s="98"/>
      <c r="D24" s="99"/>
      <c r="E24" s="99"/>
      <c r="F24" s="100"/>
      <c r="G24" s="96"/>
      <c r="H24" s="96"/>
      <c r="I24" s="276"/>
      <c r="J24" s="276"/>
      <c r="K24" s="276"/>
      <c r="L24" s="74"/>
    </row>
    <row r="25" spans="1:12" ht="11.25" customHeight="1">
      <c r="A25" s="97"/>
      <c r="B25" s="212"/>
      <c r="C25" s="98"/>
      <c r="D25" s="99"/>
      <c r="E25" s="99"/>
      <c r="F25" s="100"/>
      <c r="G25" s="96"/>
      <c r="H25" s="96"/>
      <c r="I25" s="276"/>
      <c r="J25" s="276"/>
      <c r="K25" s="277"/>
      <c r="L25" s="287"/>
    </row>
    <row r="26" spans="1:12" ht="11.25" customHeight="1">
      <c r="A26" s="97"/>
      <c r="B26" s="212"/>
      <c r="C26" s="98"/>
      <c r="D26" s="99"/>
      <c r="E26" s="99"/>
      <c r="F26" s="100"/>
      <c r="G26" s="96"/>
      <c r="H26" s="96"/>
      <c r="I26" s="276"/>
      <c r="J26" s="276"/>
      <c r="K26" s="277"/>
      <c r="L26" s="287"/>
    </row>
    <row r="27" spans="1:12" ht="11.25" customHeight="1">
      <c r="A27" s="97"/>
      <c r="B27" s="212"/>
      <c r="C27" s="98"/>
      <c r="D27" s="99"/>
      <c r="E27" s="99"/>
      <c r="F27" s="100"/>
      <c r="G27" s="96"/>
      <c r="H27" s="96"/>
      <c r="I27" s="276"/>
      <c r="J27" s="276"/>
      <c r="K27" s="277"/>
      <c r="L27" s="287"/>
    </row>
    <row r="28" spans="1:12" ht="11.25" customHeight="1">
      <c r="A28" s="97"/>
      <c r="B28" s="212"/>
      <c r="C28" s="98"/>
      <c r="D28" s="99"/>
      <c r="E28" s="99"/>
      <c r="F28" s="100"/>
      <c r="G28" s="96"/>
      <c r="H28" s="96"/>
      <c r="I28" s="276"/>
      <c r="J28" s="276"/>
      <c r="K28" s="278"/>
      <c r="L28" s="287"/>
    </row>
    <row r="29" spans="1:12" ht="11.25" customHeight="1">
      <c r="A29" s="97"/>
      <c r="B29" s="212"/>
      <c r="C29" s="98"/>
      <c r="D29" s="99"/>
      <c r="E29" s="99"/>
      <c r="F29" s="100"/>
      <c r="G29" s="96"/>
      <c r="H29" s="96"/>
      <c r="I29" s="276"/>
      <c r="J29" s="276"/>
      <c r="K29" s="278"/>
      <c r="L29" s="287"/>
    </row>
    <row r="30" spans="1:12" ht="11.25" customHeight="1">
      <c r="A30" s="97"/>
      <c r="B30" s="212"/>
      <c r="C30" s="98"/>
      <c r="D30" s="99"/>
      <c r="E30" s="99"/>
      <c r="F30" s="100"/>
      <c r="G30" s="96"/>
      <c r="H30" s="96"/>
      <c r="I30" s="276"/>
      <c r="J30" s="276"/>
      <c r="K30" s="278"/>
      <c r="L30" s="287"/>
    </row>
    <row r="31" spans="1:12" ht="11.25" customHeight="1">
      <c r="A31" s="97"/>
      <c r="B31" s="212"/>
      <c r="C31" s="98"/>
      <c r="D31" s="99"/>
      <c r="E31" s="99"/>
      <c r="F31" s="100"/>
      <c r="G31" s="96"/>
      <c r="H31" s="96"/>
      <c r="I31" s="276"/>
      <c r="J31" s="276"/>
      <c r="K31" s="278"/>
      <c r="L31" s="287"/>
    </row>
    <row r="32" spans="1:12" ht="11.25" customHeight="1">
      <c r="A32" s="97"/>
      <c r="B32" s="212"/>
      <c r="C32" s="98"/>
      <c r="D32" s="99"/>
      <c r="E32" s="99"/>
      <c r="F32" s="100"/>
      <c r="G32" s="96"/>
      <c r="H32" s="96"/>
      <c r="I32" s="276"/>
      <c r="J32" s="276"/>
      <c r="K32" s="278"/>
      <c r="L32" s="287"/>
    </row>
    <row r="33" spans="1:12" ht="11.25" customHeight="1">
      <c r="A33" s="97"/>
      <c r="B33" s="212"/>
      <c r="C33" s="98"/>
      <c r="D33" s="99"/>
      <c r="E33" s="99"/>
      <c r="F33" s="100"/>
      <c r="G33" s="96"/>
      <c r="H33" s="96"/>
      <c r="I33" s="276"/>
      <c r="J33" s="276"/>
      <c r="K33" s="278"/>
      <c r="L33" s="287"/>
    </row>
    <row r="34" spans="1:12" ht="11.25" customHeight="1">
      <c r="A34" s="97"/>
      <c r="B34" s="212"/>
      <c r="C34" s="98"/>
      <c r="D34" s="99"/>
      <c r="E34" s="99"/>
      <c r="F34" s="100"/>
      <c r="G34" s="96"/>
      <c r="H34" s="96"/>
      <c r="I34" s="276"/>
      <c r="J34" s="276"/>
      <c r="K34" s="278"/>
      <c r="L34" s="287"/>
    </row>
    <row r="35" spans="1:12" ht="11.25" customHeight="1">
      <c r="A35" s="97"/>
      <c r="B35" s="212"/>
      <c r="C35" s="98"/>
      <c r="D35" s="99"/>
      <c r="E35" s="99"/>
      <c r="F35" s="100"/>
      <c r="G35" s="96"/>
      <c r="H35" s="96"/>
      <c r="I35" s="276"/>
      <c r="J35" s="276"/>
      <c r="K35" s="278"/>
      <c r="L35" s="289"/>
    </row>
    <row r="36" spans="1:12" ht="11.25" customHeight="1">
      <c r="A36" s="97"/>
      <c r="B36" s="212"/>
      <c r="C36" s="98"/>
      <c r="D36" s="99"/>
      <c r="E36" s="99"/>
      <c r="F36" s="100"/>
      <c r="G36" s="96"/>
      <c r="H36" s="96"/>
      <c r="I36" s="276"/>
      <c r="J36" s="276"/>
      <c r="K36" s="278"/>
      <c r="L36" s="287"/>
    </row>
    <row r="37" spans="1:12" ht="11.25" customHeight="1">
      <c r="A37" s="97"/>
      <c r="B37" s="212"/>
      <c r="C37" s="98"/>
      <c r="D37" s="99"/>
      <c r="E37" s="99"/>
      <c r="F37" s="100"/>
      <c r="G37" s="96"/>
      <c r="H37" s="96"/>
      <c r="I37" s="276"/>
      <c r="J37" s="276"/>
      <c r="K37" s="278"/>
      <c r="L37" s="287"/>
    </row>
    <row r="38" spans="1:12" ht="11.25" customHeight="1">
      <c r="A38" s="97"/>
      <c r="B38" s="97"/>
      <c r="C38" s="97"/>
      <c r="D38" s="97"/>
      <c r="E38" s="97"/>
      <c r="F38" s="97"/>
      <c r="G38" s="97"/>
      <c r="H38" s="97"/>
      <c r="I38" s="276"/>
      <c r="J38" s="276"/>
      <c r="K38" s="278"/>
      <c r="L38" s="287"/>
    </row>
    <row r="39" spans="1:12" ht="11.25" customHeight="1">
      <c r="A39" s="97"/>
      <c r="B39" s="97"/>
      <c r="C39" s="97"/>
      <c r="D39" s="97"/>
      <c r="E39" s="97"/>
      <c r="F39" s="97"/>
      <c r="G39" s="97"/>
      <c r="H39" s="97"/>
      <c r="I39" s="276"/>
      <c r="J39" s="276"/>
      <c r="K39" s="278"/>
      <c r="L39" s="287"/>
    </row>
    <row r="40" spans="1:12" ht="11.25" customHeight="1">
      <c r="A40" s="97"/>
      <c r="B40" s="97"/>
      <c r="C40" s="97"/>
      <c r="D40" s="97"/>
      <c r="E40" s="97"/>
      <c r="F40" s="97"/>
      <c r="G40" s="97"/>
      <c r="H40" s="97"/>
      <c r="I40" s="276"/>
      <c r="J40" s="276"/>
      <c r="K40" s="278"/>
      <c r="L40" s="287"/>
    </row>
    <row r="41" spans="1:12" ht="11.25" customHeight="1">
      <c r="A41" s="97"/>
      <c r="B41" s="97"/>
      <c r="C41" s="97"/>
      <c r="D41" s="97"/>
      <c r="E41" s="97"/>
      <c r="F41" s="97"/>
      <c r="G41" s="97"/>
      <c r="H41" s="97"/>
      <c r="I41" s="276"/>
      <c r="J41" s="276"/>
      <c r="K41" s="278"/>
      <c r="L41" s="287"/>
    </row>
    <row r="42" spans="1:12" ht="11.25" customHeight="1">
      <c r="A42" s="97"/>
      <c r="B42" s="97"/>
      <c r="C42" s="97"/>
      <c r="D42" s="97"/>
      <c r="E42" s="97"/>
      <c r="F42" s="97"/>
      <c r="G42" s="97"/>
      <c r="H42" s="97"/>
      <c r="I42" s="276"/>
      <c r="J42" s="276"/>
      <c r="K42" s="280"/>
      <c r="L42" s="75"/>
    </row>
    <row r="43" spans="1:12" ht="11.25" customHeight="1">
      <c r="A43" s="97"/>
      <c r="B43" s="97"/>
      <c r="C43" s="97"/>
      <c r="D43" s="97"/>
      <c r="E43" s="97"/>
      <c r="F43" s="97"/>
      <c r="G43" s="97"/>
      <c r="H43" s="97"/>
      <c r="I43" s="276"/>
      <c r="J43" s="276"/>
      <c r="K43" s="280"/>
      <c r="L43" s="76"/>
    </row>
    <row r="44" spans="1:12" ht="11.25" customHeight="1">
      <c r="A44" s="97"/>
      <c r="B44" s="97"/>
      <c r="C44" s="97"/>
      <c r="D44" s="97"/>
      <c r="E44" s="97"/>
      <c r="F44" s="97"/>
      <c r="G44" s="97"/>
      <c r="H44" s="97"/>
      <c r="I44" s="276"/>
      <c r="J44" s="276"/>
      <c r="K44" s="280"/>
      <c r="L44" s="76"/>
    </row>
    <row r="45" spans="1:12" ht="11.25" customHeight="1">
      <c r="A45" s="97"/>
      <c r="B45" s="97"/>
      <c r="C45" s="97"/>
      <c r="D45" s="97"/>
      <c r="E45" s="97"/>
      <c r="F45" s="97"/>
      <c r="G45" s="97"/>
      <c r="H45" s="97"/>
      <c r="I45" s="276"/>
      <c r="J45" s="276"/>
      <c r="K45" s="278"/>
    </row>
    <row r="46" spans="1:12" ht="11.25" customHeight="1">
      <c r="A46" s="97"/>
      <c r="B46" s="97"/>
      <c r="C46" s="97"/>
      <c r="D46" s="97"/>
      <c r="E46" s="97"/>
      <c r="F46" s="97"/>
      <c r="G46" s="97"/>
      <c r="H46" s="97"/>
      <c r="I46" s="276"/>
      <c r="J46" s="276"/>
      <c r="K46" s="278"/>
    </row>
    <row r="47" spans="1:12" ht="12.75">
      <c r="A47" s="93"/>
      <c r="B47" s="97"/>
      <c r="C47" s="97"/>
      <c r="D47" s="97"/>
      <c r="E47" s="97"/>
      <c r="F47" s="97"/>
      <c r="G47" s="97"/>
      <c r="H47" s="97"/>
      <c r="I47" s="276"/>
      <c r="J47" s="276"/>
      <c r="K47" s="278"/>
    </row>
    <row r="48" spans="1:12" ht="12.75">
      <c r="A48" s="97"/>
      <c r="B48" s="97"/>
      <c r="C48" s="97"/>
      <c r="D48" s="97"/>
      <c r="E48" s="97"/>
      <c r="F48" s="97"/>
      <c r="G48" s="97"/>
      <c r="H48" s="97"/>
      <c r="I48" s="276"/>
      <c r="J48" s="276"/>
      <c r="K48" s="278"/>
    </row>
    <row r="49" spans="1:11" ht="12.75">
      <c r="A49" s="97"/>
      <c r="B49" s="97"/>
      <c r="C49" s="97"/>
      <c r="D49" s="97"/>
      <c r="E49" s="97"/>
      <c r="F49" s="97"/>
      <c r="G49" s="97"/>
      <c r="H49" s="97"/>
      <c r="I49" s="276"/>
      <c r="J49" s="276"/>
      <c r="K49" s="278"/>
    </row>
    <row r="50" spans="1:11" ht="12.75">
      <c r="A50" s="97"/>
      <c r="B50" s="97"/>
      <c r="C50" s="97"/>
      <c r="D50" s="97"/>
      <c r="E50" s="97"/>
      <c r="F50" s="97"/>
      <c r="G50" s="97"/>
      <c r="H50" s="97"/>
      <c r="I50" s="276"/>
      <c r="J50" s="276"/>
      <c r="K50" s="278"/>
    </row>
    <row r="51" spans="1:11" ht="12.75">
      <c r="A51" s="97"/>
      <c r="B51" s="97"/>
      <c r="C51" s="97"/>
      <c r="D51" s="97"/>
      <c r="E51" s="97"/>
      <c r="F51" s="97"/>
      <c r="G51" s="97"/>
      <c r="H51" s="97"/>
      <c r="I51" s="276"/>
      <c r="J51" s="276"/>
      <c r="K51" s="278"/>
    </row>
    <row r="52" spans="1:11" ht="12.75">
      <c r="A52" s="97"/>
      <c r="B52" s="97"/>
      <c r="C52" s="97"/>
      <c r="D52" s="97"/>
      <c r="E52" s="97"/>
      <c r="F52" s="97"/>
      <c r="G52" s="97"/>
      <c r="H52" s="97"/>
      <c r="I52" s="132"/>
      <c r="J52" s="132"/>
      <c r="K52" s="278"/>
    </row>
    <row r="53" spans="1:11" ht="12.75">
      <c r="A53" s="97"/>
      <c r="B53" s="97"/>
      <c r="C53" s="97"/>
      <c r="D53" s="97"/>
      <c r="E53" s="97"/>
      <c r="F53" s="97"/>
      <c r="G53" s="97"/>
      <c r="H53" s="97"/>
      <c r="I53" s="132"/>
      <c r="J53" s="132"/>
      <c r="K53" s="278"/>
    </row>
    <row r="54" spans="1:11" ht="12.75">
      <c r="A54" s="97"/>
      <c r="B54" s="97"/>
      <c r="C54" s="97"/>
      <c r="D54" s="97"/>
      <c r="E54" s="97"/>
      <c r="F54" s="97"/>
      <c r="G54" s="97"/>
      <c r="H54" s="97"/>
      <c r="I54" s="132"/>
      <c r="J54" s="132"/>
      <c r="K54" s="278"/>
    </row>
    <row r="55" spans="1:11" ht="12.75">
      <c r="A55" s="454" t="str">
        <f>"Gráfico N° 22: Comparación de las horas de operación de los principales equipos de congestión en "&amp;'1. Resumen'!Q4</f>
        <v>Gráfico N° 22: Comparación de las horas de operación de los principales equipos de congestión en febrero</v>
      </c>
      <c r="B55" s="97"/>
      <c r="C55" s="97"/>
      <c r="D55" s="97"/>
      <c r="E55" s="97"/>
      <c r="F55" s="97"/>
      <c r="G55" s="97"/>
      <c r="H55" s="97"/>
      <c r="I55" s="132"/>
      <c r="J55" s="132"/>
      <c r="K55" s="278"/>
    </row>
    <row r="56" spans="1:11" ht="12.75">
      <c r="A56" s="97"/>
      <c r="B56" s="97"/>
      <c r="C56" s="97"/>
      <c r="D56" s="97"/>
      <c r="E56" s="97"/>
      <c r="F56" s="97"/>
      <c r="G56" s="97"/>
      <c r="H56" s="97"/>
      <c r="I56" s="132"/>
      <c r="J56" s="132"/>
      <c r="K56" s="278"/>
    </row>
    <row r="57" spans="1:11" ht="12.75">
      <c r="A57" s="97"/>
      <c r="B57" s="97"/>
      <c r="C57" s="97"/>
      <c r="D57" s="97"/>
      <c r="E57" s="97"/>
      <c r="F57" s="97"/>
      <c r="G57" s="97"/>
      <c r="H57" s="97"/>
      <c r="I57" s="277"/>
      <c r="J57" s="277"/>
      <c r="K57" s="278"/>
    </row>
    <row r="58" spans="1:11" ht="12.75">
      <c r="A58" s="276"/>
      <c r="B58" s="277"/>
      <c r="C58" s="277"/>
      <c r="D58" s="277"/>
      <c r="E58" s="277"/>
      <c r="F58" s="277"/>
      <c r="G58" s="277"/>
      <c r="H58" s="277"/>
      <c r="I58" s="277"/>
      <c r="J58" s="277"/>
      <c r="K58" s="278"/>
    </row>
    <row r="59" spans="1:11" ht="12.75">
      <c r="A59" s="276"/>
      <c r="B59" s="290"/>
      <c r="C59" s="278"/>
      <c r="D59" s="278"/>
      <c r="E59" s="278"/>
      <c r="F59" s="278"/>
      <c r="G59" s="277"/>
      <c r="H59" s="277"/>
      <c r="I59" s="277"/>
      <c r="J59" s="277"/>
      <c r="K59" s="278"/>
    </row>
    <row r="60" spans="1:11" ht="12.75">
      <c r="A60" s="2"/>
      <c r="B60" s="131"/>
      <c r="C60" s="131"/>
      <c r="D60" s="131"/>
      <c r="E60" s="131"/>
      <c r="F60" s="131"/>
      <c r="G60" s="131"/>
      <c r="H60" s="277"/>
      <c r="I60" s="277"/>
      <c r="J60" s="277"/>
      <c r="K60" s="278"/>
    </row>
    <row r="61" spans="1:11" ht="12.75">
      <c r="A61" s="2"/>
      <c r="B61" s="131"/>
      <c r="C61" s="131"/>
      <c r="D61" s="131"/>
      <c r="E61" s="131"/>
      <c r="F61" s="131"/>
      <c r="G61" s="131"/>
      <c r="H61" s="277"/>
      <c r="I61" s="277"/>
      <c r="J61" s="277"/>
      <c r="K61" s="277"/>
    </row>
    <row r="62" spans="1:11" ht="12.75">
      <c r="A62" s="2"/>
      <c r="B62" s="131"/>
      <c r="C62" s="131"/>
      <c r="D62" s="131"/>
      <c r="E62" s="131"/>
      <c r="F62" s="131"/>
      <c r="G62" s="131"/>
      <c r="H62" s="277"/>
      <c r="I62" s="277"/>
      <c r="J62" s="277"/>
      <c r="K62" s="277"/>
    </row>
  </sheetData>
  <mergeCells count="3">
    <mergeCell ref="A4:H4"/>
    <mergeCell ref="A2:H2"/>
    <mergeCell ref="A8:A11"/>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M250"/>
  <sheetViews>
    <sheetView showGridLines="0" view="pageBreakPreview" zoomScale="145" zoomScaleNormal="160" zoomScaleSheetLayoutView="145" zoomScalePageLayoutView="160" workbookViewId="0">
      <selection activeCell="K12" sqref="K12"/>
    </sheetView>
  </sheetViews>
  <sheetFormatPr defaultRowHeight="11.25"/>
  <cols>
    <col min="1" max="1" width="19.6640625" style="50" customWidth="1"/>
    <col min="2" max="2" width="12.33203125" style="50" customWidth="1"/>
    <col min="3" max="4" width="9" style="50" customWidth="1"/>
    <col min="5" max="5" width="13.5" style="50" customWidth="1"/>
    <col min="6" max="6" width="12" style="50" customWidth="1"/>
    <col min="7" max="7" width="11" style="50" customWidth="1"/>
    <col min="8" max="8" width="8.6640625" style="50" customWidth="1"/>
    <col min="9" max="9" width="6.6640625" style="50" customWidth="1"/>
    <col min="10" max="10" width="12.5" style="50" customWidth="1"/>
    <col min="11" max="11" width="9.33203125" style="50" customWidth="1"/>
    <col min="12" max="13" width="9.33203125" style="50"/>
    <col min="14" max="16384" width="9.33203125" style="3"/>
  </cols>
  <sheetData>
    <row r="1" spans="1:12" ht="11.25" customHeight="1"/>
    <row r="2" spans="1:12" ht="32.25" customHeight="1">
      <c r="A2" s="916" t="s">
        <v>213</v>
      </c>
      <c r="B2" s="916"/>
      <c r="C2" s="916"/>
      <c r="D2" s="916"/>
      <c r="E2" s="916"/>
      <c r="F2" s="916"/>
      <c r="G2" s="916"/>
      <c r="H2" s="916"/>
      <c r="I2" s="916"/>
      <c r="J2" s="916"/>
      <c r="K2" s="210"/>
    </row>
    <row r="3" spans="1:12" ht="6.75" customHeight="1">
      <c r="A3" s="25"/>
      <c r="B3" s="304"/>
      <c r="C3" s="305"/>
      <c r="D3" s="24"/>
      <c r="E3" s="24"/>
      <c r="F3" s="306"/>
      <c r="G3" s="83"/>
      <c r="H3" s="83"/>
      <c r="I3" s="89"/>
      <c r="J3" s="210"/>
      <c r="K3" s="210"/>
      <c r="L3" s="274"/>
    </row>
    <row r="4" spans="1:12" ht="11.25" customHeight="1">
      <c r="A4" s="917" t="s">
        <v>214</v>
      </c>
      <c r="B4" s="917"/>
      <c r="C4" s="917"/>
      <c r="D4" s="917"/>
      <c r="E4" s="917"/>
      <c r="F4" s="917"/>
      <c r="G4" s="917"/>
      <c r="H4" s="917"/>
      <c r="I4" s="917"/>
      <c r="J4" s="917"/>
      <c r="K4" s="210"/>
      <c r="L4" s="274"/>
    </row>
    <row r="5" spans="1:12" ht="38.25" customHeight="1">
      <c r="A5" s="914" t="s">
        <v>215</v>
      </c>
      <c r="B5" s="814" t="s">
        <v>216</v>
      </c>
      <c r="C5" s="814" t="s">
        <v>217</v>
      </c>
      <c r="D5" s="814" t="s">
        <v>218</v>
      </c>
      <c r="E5" s="814" t="s">
        <v>219</v>
      </c>
      <c r="F5" s="814" t="s">
        <v>220</v>
      </c>
      <c r="G5" s="814" t="s">
        <v>221</v>
      </c>
      <c r="H5" s="814" t="s">
        <v>222</v>
      </c>
      <c r="I5" s="814" t="s">
        <v>223</v>
      </c>
      <c r="J5" s="814" t="s">
        <v>224</v>
      </c>
      <c r="K5" s="307"/>
    </row>
    <row r="6" spans="1:12" ht="11.25" customHeight="1">
      <c r="A6" s="915"/>
      <c r="B6" s="814" t="s">
        <v>225</v>
      </c>
      <c r="C6" s="814" t="s">
        <v>226</v>
      </c>
      <c r="D6" s="814" t="s">
        <v>227</v>
      </c>
      <c r="E6" s="814" t="s">
        <v>228</v>
      </c>
      <c r="F6" s="814" t="s">
        <v>229</v>
      </c>
      <c r="G6" s="814" t="s">
        <v>230</v>
      </c>
      <c r="H6" s="814" t="s">
        <v>231</v>
      </c>
      <c r="I6" s="814"/>
      <c r="J6" s="814" t="s">
        <v>232</v>
      </c>
      <c r="K6" s="26"/>
    </row>
    <row r="7" spans="1:12" ht="11.25" customHeight="1">
      <c r="A7" s="815" t="s">
        <v>566</v>
      </c>
      <c r="B7" s="816">
        <v>31</v>
      </c>
      <c r="C7" s="817">
        <v>10</v>
      </c>
      <c r="D7" s="817"/>
      <c r="E7" s="818">
        <v>3</v>
      </c>
      <c r="F7" s="817">
        <v>8</v>
      </c>
      <c r="G7" s="817">
        <v>2</v>
      </c>
      <c r="H7" s="817"/>
      <c r="I7" s="819">
        <f>+SUM(B7:H7)</f>
        <v>54</v>
      </c>
      <c r="J7" s="820">
        <v>399.89</v>
      </c>
      <c r="K7" s="29"/>
    </row>
    <row r="8" spans="1:12" ht="11.25" customHeight="1">
      <c r="A8" s="821" t="s">
        <v>183</v>
      </c>
      <c r="B8" s="822"/>
      <c r="C8" s="822">
        <v>1</v>
      </c>
      <c r="D8" s="822"/>
      <c r="E8" s="823"/>
      <c r="F8" s="822"/>
      <c r="G8" s="822"/>
      <c r="H8" s="822"/>
      <c r="I8" s="824">
        <f t="shared" ref="I8:I11" si="0">+SUM(B8:H8)</f>
        <v>1</v>
      </c>
      <c r="J8" s="825">
        <v>44</v>
      </c>
      <c r="K8" s="31"/>
    </row>
    <row r="9" spans="1:12" ht="11.25" customHeight="1">
      <c r="A9" s="815" t="s">
        <v>670</v>
      </c>
      <c r="B9" s="816"/>
      <c r="C9" s="817"/>
      <c r="D9" s="817"/>
      <c r="E9" s="818"/>
      <c r="F9" s="817">
        <v>1</v>
      </c>
      <c r="G9" s="817"/>
      <c r="H9" s="817"/>
      <c r="I9" s="819">
        <f t="shared" si="0"/>
        <v>1</v>
      </c>
      <c r="J9" s="820">
        <v>1.97</v>
      </c>
      <c r="K9" s="29"/>
    </row>
    <row r="10" spans="1:12" ht="11.25" customHeight="1">
      <c r="A10" s="821" t="s">
        <v>671</v>
      </c>
      <c r="B10" s="822"/>
      <c r="C10" s="822"/>
      <c r="D10" s="822"/>
      <c r="E10" s="823"/>
      <c r="F10" s="822"/>
      <c r="G10" s="822">
        <v>1</v>
      </c>
      <c r="H10" s="822"/>
      <c r="I10" s="824">
        <f t="shared" si="0"/>
        <v>1</v>
      </c>
      <c r="J10" s="825">
        <v>3.34</v>
      </c>
      <c r="K10" s="29"/>
    </row>
    <row r="11" spans="1:12" ht="11.25" customHeight="1">
      <c r="A11" s="815" t="s">
        <v>233</v>
      </c>
      <c r="B11" s="816"/>
      <c r="C11" s="817"/>
      <c r="D11" s="817"/>
      <c r="E11" s="818">
        <v>1</v>
      </c>
      <c r="F11" s="817">
        <v>2</v>
      </c>
      <c r="G11" s="817"/>
      <c r="H11" s="817"/>
      <c r="I11" s="819">
        <f t="shared" si="0"/>
        <v>3</v>
      </c>
      <c r="J11" s="820">
        <v>16.540000000000003</v>
      </c>
      <c r="K11" s="29"/>
    </row>
    <row r="12" spans="1:12" ht="11.25" customHeight="1">
      <c r="A12" s="821" t="s">
        <v>223</v>
      </c>
      <c r="B12" s="822">
        <f t="shared" ref="B12:J12" si="1">+SUM(B7:B11)</f>
        <v>31</v>
      </c>
      <c r="C12" s="822">
        <f t="shared" si="1"/>
        <v>11</v>
      </c>
      <c r="D12" s="822">
        <f t="shared" si="1"/>
        <v>0</v>
      </c>
      <c r="E12" s="823">
        <f t="shared" si="1"/>
        <v>4</v>
      </c>
      <c r="F12" s="822">
        <f t="shared" si="1"/>
        <v>11</v>
      </c>
      <c r="G12" s="822">
        <f t="shared" si="1"/>
        <v>3</v>
      </c>
      <c r="H12" s="822">
        <f t="shared" si="1"/>
        <v>0</v>
      </c>
      <c r="I12" s="824">
        <f t="shared" si="1"/>
        <v>60</v>
      </c>
      <c r="J12" s="825">
        <f t="shared" si="1"/>
        <v>465.74</v>
      </c>
      <c r="K12" s="29"/>
    </row>
    <row r="13" spans="1:12" ht="11.25" customHeight="1">
      <c r="A13" s="919"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febrero 2018</v>
      </c>
      <c r="B13" s="919"/>
      <c r="C13" s="919"/>
      <c r="D13" s="919"/>
      <c r="E13" s="919"/>
      <c r="F13" s="919"/>
      <c r="G13" s="919"/>
      <c r="H13" s="919"/>
      <c r="I13" s="919"/>
      <c r="J13" s="919"/>
      <c r="K13" s="29"/>
    </row>
    <row r="14" spans="1:12" ht="11.25" customHeight="1">
      <c r="A14" s="3"/>
      <c r="B14" s="3"/>
      <c r="C14" s="3"/>
      <c r="D14" s="3"/>
      <c r="E14" s="3"/>
      <c r="F14" s="3"/>
      <c r="G14" s="3"/>
      <c r="H14" s="3"/>
      <c r="I14" s="3"/>
      <c r="J14" s="3"/>
      <c r="K14" s="29"/>
    </row>
    <row r="15" spans="1:12" ht="11.25" customHeight="1">
      <c r="A15" s="918" t="s">
        <v>672</v>
      </c>
      <c r="B15" s="918"/>
      <c r="C15" s="918"/>
      <c r="D15" s="918"/>
      <c r="E15" s="918"/>
      <c r="F15" s="918"/>
      <c r="G15" s="918"/>
      <c r="H15" s="918"/>
      <c r="I15" s="918"/>
      <c r="J15" s="918"/>
      <c r="K15" s="29"/>
    </row>
    <row r="16" spans="1:12" ht="11.25" customHeight="1">
      <c r="A16" s="25"/>
      <c r="B16" s="310"/>
      <c r="C16" s="309"/>
      <c r="D16" s="309"/>
      <c r="E16" s="309"/>
      <c r="F16" s="309"/>
      <c r="G16" s="252"/>
      <c r="H16" s="252"/>
      <c r="I16" s="159"/>
      <c r="J16" s="257"/>
      <c r="K16" s="257"/>
      <c r="L16" s="29"/>
    </row>
    <row r="17" spans="1:12" ht="11.25" customHeight="1">
      <c r="A17" s="911" t="str">
        <f>"FALLAS  POR TIPO DE CAUSA  -  "&amp;UPPER('1. Resumen'!Q4)&amp;" "&amp;'1. Resumen'!Q5</f>
        <v>FALLAS  POR TIPO DE CAUSA  -  FEBRERO 2018</v>
      </c>
      <c r="B17" s="911"/>
      <c r="C17" s="911"/>
      <c r="D17" s="911"/>
      <c r="E17" s="911" t="str">
        <f>"FALLAS  POR TIPO DE EQUIPO  -  "&amp;UPPER('1. Resumen'!Q4)&amp;" "&amp;'1. Resumen'!Q5</f>
        <v>FALLAS  POR TIPO DE EQUIPO  -  FEBRERO 2018</v>
      </c>
      <c r="F17" s="911"/>
      <c r="G17" s="911"/>
      <c r="H17" s="911"/>
      <c r="I17" s="911"/>
      <c r="J17" s="911"/>
      <c r="K17" s="257"/>
      <c r="L17" s="29"/>
    </row>
    <row r="18" spans="1:12" ht="11.25" customHeight="1">
      <c r="A18" s="25"/>
      <c r="E18" s="309"/>
      <c r="F18" s="309"/>
      <c r="G18" s="252"/>
      <c r="H18" s="252"/>
      <c r="I18" s="159"/>
      <c r="J18" s="132"/>
      <c r="K18" s="132"/>
      <c r="L18" s="29"/>
    </row>
    <row r="19" spans="1:12" ht="11.25" customHeight="1">
      <c r="A19" s="25"/>
      <c r="B19" s="310"/>
      <c r="C19" s="309"/>
      <c r="D19" s="309"/>
      <c r="E19" s="309"/>
      <c r="F19" s="309"/>
      <c r="G19" s="252"/>
      <c r="H19" s="252"/>
      <c r="I19" s="159"/>
      <c r="J19" s="132"/>
      <c r="K19" s="132"/>
      <c r="L19" s="39"/>
    </row>
    <row r="20" spans="1:12" ht="11.25" customHeight="1">
      <c r="A20" s="25"/>
      <c r="B20" s="310"/>
      <c r="C20" s="309"/>
      <c r="D20" s="309"/>
      <c r="E20" s="309"/>
      <c r="F20" s="309"/>
      <c r="G20" s="252"/>
      <c r="H20" s="252"/>
      <c r="I20" s="159"/>
      <c r="J20" s="132"/>
      <c r="K20" s="132"/>
      <c r="L20" s="29"/>
    </row>
    <row r="21" spans="1:12" ht="11.25" customHeight="1">
      <c r="A21" s="25"/>
      <c r="B21" s="310"/>
      <c r="C21" s="309"/>
      <c r="D21" s="309"/>
      <c r="E21" s="309"/>
      <c r="F21" s="309"/>
      <c r="G21" s="252"/>
      <c r="H21" s="252"/>
      <c r="I21" s="159"/>
      <c r="J21" s="132"/>
      <c r="K21" s="132"/>
      <c r="L21" s="29"/>
    </row>
    <row r="22" spans="1:12" ht="11.25" customHeight="1">
      <c r="A22" s="25"/>
      <c r="B22" s="310"/>
      <c r="C22" s="309"/>
      <c r="D22" s="309"/>
      <c r="E22" s="309"/>
      <c r="F22" s="309"/>
      <c r="G22" s="252"/>
      <c r="H22" s="252"/>
      <c r="I22" s="159"/>
      <c r="J22" s="132"/>
      <c r="K22" s="132"/>
      <c r="L22" s="29"/>
    </row>
    <row r="23" spans="1:12" ht="11.25" customHeight="1">
      <c r="A23" s="25"/>
      <c r="B23" s="310"/>
      <c r="C23" s="309"/>
      <c r="D23" s="309"/>
      <c r="E23" s="309"/>
      <c r="F23" s="309"/>
      <c r="G23" s="252"/>
      <c r="H23" s="252"/>
      <c r="I23" s="159"/>
      <c r="J23" s="132"/>
      <c r="K23" s="132"/>
      <c r="L23" s="39"/>
    </row>
    <row r="24" spans="1:12" ht="11.25" customHeight="1">
      <c r="A24" s="25"/>
      <c r="B24" s="310"/>
      <c r="C24" s="309"/>
      <c r="D24" s="309"/>
      <c r="E24" s="309"/>
      <c r="F24" s="309"/>
      <c r="G24" s="252"/>
      <c r="H24" s="252"/>
      <c r="I24" s="159"/>
      <c r="J24" s="132"/>
      <c r="K24" s="132"/>
      <c r="L24" s="29"/>
    </row>
    <row r="25" spans="1:12" ht="11.25" customHeight="1">
      <c r="A25" s="25"/>
      <c r="B25" s="310"/>
      <c r="C25" s="309"/>
      <c r="D25" s="309"/>
      <c r="E25" s="309"/>
      <c r="F25" s="309"/>
      <c r="G25" s="252"/>
      <c r="H25" s="252"/>
      <c r="I25" s="159"/>
      <c r="J25" s="132"/>
      <c r="K25" s="132"/>
      <c r="L25" s="29"/>
    </row>
    <row r="26" spans="1:12" ht="11.25" customHeight="1">
      <c r="A26" s="25"/>
      <c r="B26" s="310"/>
      <c r="C26" s="309"/>
      <c r="D26" s="309"/>
      <c r="E26" s="309"/>
      <c r="F26" s="309"/>
      <c r="G26" s="252"/>
      <c r="H26" s="252"/>
      <c r="I26" s="159"/>
      <c r="J26" s="132"/>
      <c r="K26" s="132"/>
      <c r="L26" s="29"/>
    </row>
    <row r="27" spans="1:12" ht="11.25" customHeight="1">
      <c r="A27" s="25"/>
      <c r="B27" s="310"/>
      <c r="C27" s="309"/>
      <c r="D27" s="309"/>
      <c r="E27" s="309"/>
      <c r="F27" s="309"/>
      <c r="G27" s="252"/>
      <c r="H27" s="252"/>
      <c r="I27" s="159"/>
      <c r="J27" s="132"/>
      <c r="K27" s="132"/>
      <c r="L27" s="29"/>
    </row>
    <row r="28" spans="1:12" ht="11.25" customHeight="1">
      <c r="A28" s="25"/>
      <c r="B28" s="310"/>
      <c r="C28" s="309"/>
      <c r="D28" s="309"/>
      <c r="E28" s="309"/>
      <c r="F28" s="309"/>
      <c r="G28" s="252"/>
      <c r="H28" s="252"/>
      <c r="I28" s="159"/>
      <c r="J28" s="132"/>
      <c r="K28" s="132"/>
      <c r="L28" s="29"/>
    </row>
    <row r="29" spans="1:12" ht="11.25" customHeight="1">
      <c r="A29" s="25"/>
      <c r="B29" s="310"/>
      <c r="C29" s="309"/>
      <c r="D29" s="309"/>
      <c r="E29" s="309"/>
      <c r="F29" s="309"/>
      <c r="G29" s="252"/>
      <c r="H29" s="252"/>
      <c r="I29" s="159"/>
      <c r="J29" s="132"/>
      <c r="K29" s="132"/>
      <c r="L29" s="29"/>
    </row>
    <row r="30" spans="1:12" ht="11.25" customHeight="1">
      <c r="A30" s="25"/>
      <c r="B30" s="310"/>
      <c r="C30" s="309"/>
      <c r="D30" s="309"/>
      <c r="E30" s="309"/>
      <c r="F30" s="309"/>
      <c r="G30" s="252"/>
      <c r="H30" s="252"/>
      <c r="I30" s="159"/>
      <c r="J30" s="132"/>
      <c r="K30" s="132"/>
      <c r="L30" s="29"/>
    </row>
    <row r="31" spans="1:12" ht="11.25" customHeight="1">
      <c r="A31" s="25"/>
      <c r="B31" s="310"/>
      <c r="C31" s="309"/>
      <c r="D31" s="309"/>
      <c r="E31" s="309"/>
      <c r="F31" s="309"/>
      <c r="G31" s="252"/>
      <c r="H31" s="252"/>
      <c r="I31" s="159"/>
      <c r="J31" s="132"/>
      <c r="K31" s="132"/>
      <c r="L31" s="29"/>
    </row>
    <row r="32" spans="1:12" ht="11.25" customHeight="1">
      <c r="A32" s="25"/>
      <c r="B32" s="310"/>
      <c r="C32" s="309"/>
      <c r="D32" s="309"/>
      <c r="E32" s="309"/>
      <c r="F32" s="309"/>
      <c r="G32" s="252"/>
      <c r="H32" s="252"/>
      <c r="I32" s="159"/>
      <c r="J32" s="132"/>
      <c r="K32" s="132"/>
      <c r="L32" s="29"/>
    </row>
    <row r="33" spans="1:12" ht="11.25" customHeight="1">
      <c r="A33" s="25"/>
      <c r="B33" s="310"/>
      <c r="C33" s="309"/>
      <c r="D33" s="309"/>
      <c r="E33" s="309"/>
      <c r="F33" s="309"/>
      <c r="G33" s="252"/>
      <c r="H33" s="252"/>
      <c r="I33" s="159"/>
      <c r="J33" s="132"/>
      <c r="K33" s="132"/>
      <c r="L33" s="29"/>
    </row>
    <row r="34" spans="1:12" ht="11.25" customHeight="1">
      <c r="A34" s="25"/>
      <c r="B34" s="310"/>
      <c r="C34" s="309"/>
      <c r="D34" s="309"/>
      <c r="E34" s="309"/>
      <c r="F34" s="309"/>
      <c r="G34" s="252"/>
      <c r="H34" s="252"/>
      <c r="I34" s="159"/>
      <c r="J34" s="132"/>
      <c r="K34" s="132"/>
      <c r="L34" s="29"/>
    </row>
    <row r="35" spans="1:12" ht="23.25" customHeight="1">
      <c r="A35" s="910" t="s">
        <v>334</v>
      </c>
      <c r="B35" s="910"/>
      <c r="C35" s="910"/>
      <c r="D35" s="467"/>
      <c r="E35" s="913" t="s">
        <v>335</v>
      </c>
      <c r="F35" s="913"/>
      <c r="G35" s="913"/>
      <c r="H35" s="913"/>
      <c r="I35" s="913"/>
      <c r="J35" s="913"/>
      <c r="K35" s="311"/>
      <c r="L35" s="29"/>
    </row>
    <row r="36" spans="1:12" ht="11.25" customHeight="1">
      <c r="A36" s="25"/>
      <c r="B36" s="203"/>
      <c r="C36" s="203"/>
      <c r="D36" s="203"/>
      <c r="E36" s="203"/>
      <c r="F36" s="203"/>
      <c r="G36" s="257"/>
      <c r="H36" s="257"/>
      <c r="I36" s="257"/>
      <c r="J36" s="311"/>
      <c r="K36" s="311"/>
      <c r="L36" s="29"/>
    </row>
    <row r="37" spans="1:12" ht="6.75" customHeight="1">
      <c r="A37" s="25"/>
      <c r="B37" s="203"/>
      <c r="C37" s="203"/>
      <c r="D37" s="203"/>
      <c r="E37" s="203"/>
      <c r="F37" s="203"/>
      <c r="G37" s="257"/>
      <c r="H37" s="257"/>
      <c r="I37" s="257"/>
      <c r="J37" s="311"/>
      <c r="K37" s="311"/>
      <c r="L37" s="312"/>
    </row>
    <row r="38" spans="1:12" ht="11.25" customHeight="1">
      <c r="A38" s="912" t="str">
        <f>"ENERGIA INTERRUMPIDA APROXIMADA POR TIPO DE EQUIPO (MWh)  -  "&amp;UPPER('1. Resumen'!Q4)&amp;" "&amp;'1. Resumen'!Q5</f>
        <v>ENERGIA INTERRUMPIDA APROXIMADA POR TIPO DE EQUIPO (MWh)  -  FEBRERO 2018</v>
      </c>
      <c r="B38" s="912"/>
      <c r="C38" s="912"/>
      <c r="D38" s="912"/>
      <c r="E38" s="912"/>
      <c r="F38" s="912"/>
      <c r="G38" s="912"/>
      <c r="H38" s="912"/>
      <c r="I38" s="912"/>
      <c r="J38" s="912"/>
      <c r="K38" s="311"/>
      <c r="L38" s="313"/>
    </row>
    <row r="39" spans="1:12" ht="11.25" customHeight="1">
      <c r="A39" s="25"/>
      <c r="B39" s="203"/>
      <c r="C39" s="203"/>
      <c r="D39" s="203"/>
      <c r="E39" s="203"/>
      <c r="F39" s="203"/>
      <c r="G39" s="257"/>
      <c r="H39" s="257"/>
      <c r="I39" s="257"/>
      <c r="J39" s="311"/>
      <c r="K39" s="311"/>
      <c r="L39" s="313"/>
    </row>
    <row r="40" spans="1:12" ht="11.25" customHeight="1">
      <c r="A40" s="25"/>
      <c r="B40" s="203"/>
      <c r="C40" s="257"/>
      <c r="D40" s="257"/>
      <c r="E40" s="257"/>
      <c r="F40" s="257"/>
      <c r="G40" s="257"/>
      <c r="H40" s="257"/>
      <c r="I40" s="257"/>
      <c r="J40" s="311"/>
      <c r="K40" s="311"/>
      <c r="L40" s="313"/>
    </row>
    <row r="41" spans="1:12" ht="11.25" customHeight="1">
      <c r="A41" s="25"/>
      <c r="B41" s="203"/>
      <c r="C41" s="257"/>
      <c r="D41" s="257"/>
      <c r="E41" s="257"/>
      <c r="F41" s="257"/>
      <c r="G41" s="257"/>
      <c r="H41" s="257"/>
    </row>
    <row r="42" spans="1:12" ht="12.75">
      <c r="A42" s="25"/>
      <c r="B42" s="203"/>
      <c r="J42" s="311"/>
      <c r="K42" s="311"/>
      <c r="L42" s="313"/>
    </row>
    <row r="43" spans="1:12" ht="12.75">
      <c r="A43" s="25"/>
      <c r="B43" s="203"/>
      <c r="C43" s="203"/>
      <c r="D43" s="203"/>
      <c r="E43" s="203"/>
      <c r="F43" s="203"/>
      <c r="G43" s="257"/>
      <c r="H43" s="257"/>
      <c r="I43" s="257"/>
      <c r="J43" s="311"/>
      <c r="K43" s="311"/>
      <c r="L43" s="313"/>
    </row>
    <row r="44" spans="1:12" ht="12.75">
      <c r="A44" s="25"/>
      <c r="B44" s="203"/>
      <c r="C44" s="203"/>
      <c r="D44" s="203"/>
      <c r="E44" s="203"/>
      <c r="F44" s="203"/>
      <c r="G44" s="257"/>
      <c r="H44" s="257"/>
      <c r="I44" s="257"/>
      <c r="J44" s="311"/>
      <c r="K44" s="311"/>
      <c r="L44" s="313"/>
    </row>
    <row r="45" spans="1:12" ht="12.75">
      <c r="A45" s="25"/>
      <c r="B45" s="203"/>
      <c r="C45" s="203"/>
      <c r="D45" s="203"/>
      <c r="E45" s="203"/>
      <c r="F45" s="203"/>
      <c r="G45" s="257"/>
      <c r="H45" s="257"/>
      <c r="I45" s="257"/>
      <c r="J45" s="311"/>
      <c r="K45" s="311"/>
      <c r="L45" s="313"/>
    </row>
    <row r="46" spans="1:12" ht="12.75">
      <c r="A46" s="25"/>
      <c r="B46" s="203"/>
      <c r="C46" s="203"/>
      <c r="D46" s="203"/>
      <c r="E46" s="203"/>
      <c r="F46" s="203"/>
      <c r="G46" s="257"/>
      <c r="H46" s="257"/>
      <c r="I46" s="257"/>
      <c r="J46" s="311"/>
      <c r="K46" s="311"/>
      <c r="L46" s="313"/>
    </row>
    <row r="47" spans="1:12" ht="12.75">
      <c r="A47" s="210"/>
      <c r="B47" s="257"/>
      <c r="C47" s="257"/>
      <c r="D47" s="257"/>
      <c r="E47" s="257"/>
      <c r="F47" s="257"/>
      <c r="G47" s="257"/>
      <c r="H47" s="257"/>
      <c r="I47" s="257"/>
      <c r="J47" s="311"/>
      <c r="K47" s="311"/>
      <c r="L47" s="313"/>
    </row>
    <row r="48" spans="1:12" ht="12.75">
      <c r="A48" s="210"/>
      <c r="B48" s="257"/>
      <c r="C48" s="257"/>
      <c r="D48" s="257"/>
      <c r="E48" s="257"/>
      <c r="F48" s="257"/>
      <c r="G48" s="257"/>
      <c r="H48" s="257"/>
      <c r="I48" s="257"/>
      <c r="J48" s="311"/>
      <c r="K48" s="311"/>
      <c r="L48" s="313"/>
    </row>
    <row r="49" spans="1:12" ht="12.75">
      <c r="A49" s="210"/>
      <c r="B49" s="257"/>
      <c r="C49" s="257"/>
      <c r="D49" s="257"/>
      <c r="E49" s="257"/>
      <c r="F49" s="257"/>
      <c r="G49" s="257"/>
      <c r="H49" s="257"/>
      <c r="I49" s="257"/>
      <c r="J49" s="311"/>
      <c r="K49" s="311"/>
      <c r="L49" s="313"/>
    </row>
    <row r="50" spans="1:12" ht="12.75">
      <c r="A50" s="210"/>
      <c r="B50" s="257"/>
      <c r="C50" s="257"/>
      <c r="D50" s="257"/>
      <c r="E50" s="257"/>
      <c r="F50" s="257"/>
      <c r="G50" s="257"/>
      <c r="H50" s="257"/>
      <c r="I50" s="257"/>
      <c r="J50" s="311"/>
      <c r="K50" s="311"/>
      <c r="L50" s="313"/>
    </row>
    <row r="51" spans="1:12" ht="12.75">
      <c r="A51" s="210"/>
      <c r="B51" s="257"/>
      <c r="C51" s="257"/>
      <c r="D51" s="257"/>
      <c r="E51" s="257"/>
      <c r="F51" s="257"/>
      <c r="G51" s="257"/>
      <c r="H51" s="257"/>
      <c r="I51" s="257"/>
      <c r="J51" s="311"/>
      <c r="K51" s="311"/>
      <c r="L51" s="313"/>
    </row>
    <row r="52" spans="1:12" ht="12.75">
      <c r="A52" s="210"/>
      <c r="B52" s="257"/>
      <c r="C52" s="257"/>
      <c r="D52" s="257"/>
      <c r="E52" s="257"/>
      <c r="F52" s="257"/>
      <c r="G52" s="257"/>
      <c r="H52" s="257"/>
      <c r="I52" s="257"/>
      <c r="J52" s="311"/>
      <c r="K52" s="311"/>
      <c r="L52" s="313"/>
    </row>
    <row r="53" spans="1:12">
      <c r="A53" s="468" t="str">
        <f>"Gráfico N°25: Comparación de la energía interrumpida aproximada por tipo de equipo en "&amp;'1. Resumen'!Q4&amp;" "&amp;'1. Resumen'!Q5</f>
        <v>Gráfico N°25: Comparación de la energía interrumpida aproximada por tipo de equipo en febrero 2018</v>
      </c>
      <c r="B53" s="257"/>
      <c r="C53" s="257"/>
      <c r="D53" s="257"/>
      <c r="E53" s="257"/>
      <c r="F53" s="257"/>
      <c r="G53" s="257"/>
      <c r="H53" s="257"/>
      <c r="I53" s="257"/>
      <c r="J53" s="311"/>
      <c r="K53" s="311"/>
      <c r="L53" s="313"/>
    </row>
    <row r="54" spans="1:12">
      <c r="A54" s="3"/>
      <c r="B54" s="257"/>
      <c r="C54" s="257"/>
      <c r="D54" s="257"/>
      <c r="E54" s="257"/>
      <c r="F54" s="257"/>
      <c r="G54" s="257"/>
      <c r="H54" s="257"/>
      <c r="I54" s="257"/>
      <c r="J54" s="311"/>
      <c r="K54" s="311"/>
      <c r="L54" s="313"/>
    </row>
    <row r="55" spans="1:12" ht="24.75" customHeight="1">
      <c r="A55" s="908" t="s">
        <v>234</v>
      </c>
      <c r="B55" s="908"/>
      <c r="C55" s="908"/>
      <c r="D55" s="908"/>
      <c r="E55" s="908"/>
      <c r="F55" s="908"/>
      <c r="G55" s="908"/>
      <c r="H55" s="908"/>
      <c r="I55" s="908"/>
      <c r="J55" s="908"/>
      <c r="K55" s="311"/>
      <c r="L55" s="313"/>
    </row>
    <row r="56" spans="1:12" ht="11.25" customHeight="1">
      <c r="A56" s="909" t="s">
        <v>235</v>
      </c>
      <c r="B56" s="909"/>
      <c r="C56" s="909"/>
      <c r="D56" s="909"/>
      <c r="E56" s="909"/>
      <c r="F56" s="909"/>
      <c r="G56" s="909"/>
      <c r="H56" s="909"/>
      <c r="I56" s="909"/>
      <c r="J56" s="909"/>
      <c r="K56" s="311"/>
      <c r="L56" s="313"/>
    </row>
    <row r="57" spans="1:12" ht="12.75">
      <c r="A57" s="210"/>
      <c r="B57" s="257"/>
      <c r="C57" s="257"/>
      <c r="D57" s="257"/>
      <c r="E57" s="257"/>
      <c r="F57" s="257"/>
      <c r="G57" s="257"/>
      <c r="H57" s="257"/>
      <c r="I57" s="257"/>
      <c r="J57" s="311"/>
      <c r="K57" s="311"/>
      <c r="L57" s="313"/>
    </row>
    <row r="58" spans="1:12" ht="12.75">
      <c r="A58" s="210"/>
      <c r="B58" s="257"/>
      <c r="C58" s="257"/>
      <c r="D58" s="257"/>
      <c r="E58" s="257"/>
      <c r="F58" s="257"/>
      <c r="G58" s="257"/>
      <c r="H58" s="257"/>
      <c r="I58" s="257"/>
      <c r="J58" s="311"/>
      <c r="K58" s="311"/>
      <c r="L58" s="313"/>
    </row>
    <row r="59" spans="1:12" ht="12.75">
      <c r="A59" s="210"/>
      <c r="B59" s="257"/>
      <c r="C59" s="257"/>
      <c r="D59" s="257"/>
      <c r="E59" s="257"/>
      <c r="F59" s="257"/>
      <c r="G59" s="257"/>
      <c r="H59" s="257"/>
      <c r="I59" s="257"/>
      <c r="J59" s="311"/>
      <c r="K59" s="311"/>
      <c r="L59" s="313"/>
    </row>
    <row r="60" spans="1:12" ht="12.75">
      <c r="A60" s="210"/>
      <c r="B60" s="257"/>
      <c r="C60" s="257"/>
      <c r="D60" s="257"/>
      <c r="E60" s="257"/>
      <c r="F60" s="257"/>
      <c r="G60" s="257"/>
      <c r="H60" s="257"/>
      <c r="I60" s="257"/>
      <c r="J60" s="311"/>
      <c r="K60" s="311"/>
      <c r="L60" s="313"/>
    </row>
    <row r="61" spans="1:12" ht="12.75">
      <c r="A61" s="210"/>
      <c r="B61" s="257"/>
      <c r="C61" s="257"/>
      <c r="D61" s="257"/>
      <c r="E61" s="257"/>
      <c r="F61" s="257"/>
      <c r="G61" s="257"/>
      <c r="H61" s="257"/>
      <c r="I61" s="257"/>
      <c r="J61" s="311"/>
      <c r="K61" s="311"/>
      <c r="L61" s="313"/>
    </row>
    <row r="62" spans="1:12" ht="12.75">
      <c r="A62" s="210"/>
      <c r="B62" s="257"/>
      <c r="C62" s="257"/>
      <c r="D62" s="257"/>
      <c r="E62" s="257"/>
      <c r="F62" s="257"/>
      <c r="G62" s="257"/>
      <c r="H62" s="257"/>
      <c r="I62" s="257"/>
      <c r="J62" s="311"/>
      <c r="K62" s="311"/>
      <c r="L62" s="313"/>
    </row>
    <row r="63" spans="1:12" ht="12.75">
      <c r="A63" s="210"/>
      <c r="B63" s="257"/>
      <c r="C63" s="257"/>
      <c r="D63" s="257"/>
      <c r="E63" s="257"/>
      <c r="F63" s="257"/>
      <c r="G63" s="257"/>
      <c r="H63" s="257"/>
      <c r="I63" s="257"/>
      <c r="J63" s="311"/>
      <c r="K63" s="311"/>
      <c r="L63" s="313"/>
    </row>
    <row r="64" spans="1:12" ht="12.75">
      <c r="A64" s="210"/>
      <c r="B64" s="257"/>
      <c r="C64" s="257"/>
      <c r="D64" s="257"/>
      <c r="E64" s="257"/>
      <c r="F64" s="257"/>
      <c r="G64" s="257"/>
      <c r="H64" s="257"/>
      <c r="I64" s="257"/>
      <c r="J64" s="311"/>
      <c r="K64" s="311"/>
      <c r="L64" s="313"/>
    </row>
    <row r="65" spans="1:12" ht="12.75">
      <c r="A65" s="210"/>
      <c r="B65" s="257"/>
      <c r="C65" s="257"/>
      <c r="D65" s="257"/>
      <c r="E65" s="257"/>
      <c r="F65" s="257"/>
      <c r="G65" s="257"/>
      <c r="H65" s="257"/>
      <c r="I65" s="257"/>
      <c r="J65" s="311"/>
      <c r="K65" s="311"/>
      <c r="L65" s="313"/>
    </row>
    <row r="66" spans="1:12" ht="12.75">
      <c r="A66" s="210"/>
      <c r="B66" s="257"/>
      <c r="C66" s="257"/>
      <c r="D66" s="257"/>
      <c r="E66" s="257"/>
      <c r="F66" s="257"/>
      <c r="G66" s="257"/>
      <c r="H66" s="257"/>
      <c r="I66" s="257"/>
      <c r="J66" s="311"/>
      <c r="K66" s="311"/>
      <c r="L66" s="313"/>
    </row>
    <row r="67" spans="1:12" ht="12.75">
      <c r="A67" s="210"/>
      <c r="B67" s="257"/>
      <c r="C67" s="3"/>
      <c r="D67" s="3"/>
      <c r="E67" s="3"/>
      <c r="F67" s="3"/>
      <c r="G67" s="3"/>
      <c r="H67" s="3"/>
      <c r="I67" s="3"/>
      <c r="J67" s="311"/>
      <c r="K67" s="311"/>
      <c r="L67" s="313"/>
    </row>
    <row r="68" spans="1:12" ht="12.75">
      <c r="A68" s="210"/>
      <c r="B68" s="257"/>
      <c r="C68" s="3"/>
      <c r="D68" s="3"/>
      <c r="E68" s="3"/>
      <c r="F68" s="3"/>
      <c r="G68" s="3"/>
      <c r="H68" s="3"/>
      <c r="I68" s="3"/>
      <c r="J68" s="311"/>
      <c r="K68" s="311"/>
      <c r="L68" s="313"/>
    </row>
    <row r="69" spans="1:12" ht="12.75">
      <c r="A69" s="210"/>
      <c r="B69" s="257"/>
      <c r="C69" s="3"/>
      <c r="D69" s="3"/>
      <c r="E69" s="3"/>
      <c r="F69" s="3"/>
      <c r="G69" s="3"/>
      <c r="H69" s="3"/>
      <c r="I69" s="3"/>
      <c r="J69" s="311"/>
      <c r="K69" s="311"/>
      <c r="L69" s="313"/>
    </row>
    <row r="70" spans="1:12" ht="12.75">
      <c r="A70" s="210"/>
      <c r="B70" s="257"/>
      <c r="C70" s="3"/>
      <c r="D70" s="3"/>
      <c r="E70" s="3"/>
      <c r="F70" s="3"/>
      <c r="G70" s="3"/>
      <c r="H70" s="3"/>
      <c r="I70" s="3"/>
      <c r="J70" s="311"/>
      <c r="K70" s="311"/>
      <c r="L70" s="313"/>
    </row>
    <row r="71" spans="1:12">
      <c r="B71" s="313"/>
      <c r="C71" s="313"/>
      <c r="D71" s="313"/>
      <c r="E71" s="313"/>
      <c r="F71" s="313"/>
      <c r="G71" s="313"/>
      <c r="H71" s="313"/>
      <c r="I71" s="313"/>
      <c r="J71" s="313"/>
      <c r="K71" s="313"/>
      <c r="L71" s="313"/>
    </row>
    <row r="72" spans="1:12">
      <c r="B72" s="313"/>
      <c r="C72" s="313"/>
      <c r="D72" s="313"/>
      <c r="E72" s="313"/>
      <c r="F72" s="313"/>
      <c r="G72" s="313"/>
      <c r="H72" s="313"/>
      <c r="I72" s="313"/>
      <c r="J72" s="313"/>
      <c r="K72" s="313"/>
      <c r="L72" s="313"/>
    </row>
    <row r="73" spans="1:12">
      <c r="B73" s="313"/>
      <c r="C73" s="313"/>
      <c r="D73" s="313"/>
      <c r="E73" s="313"/>
      <c r="F73" s="313"/>
      <c r="G73" s="313"/>
      <c r="H73" s="313"/>
      <c r="I73" s="313"/>
      <c r="J73" s="313"/>
      <c r="K73" s="313"/>
      <c r="L73" s="313"/>
    </row>
    <row r="74" spans="1:12">
      <c r="B74" s="313"/>
      <c r="C74" s="313"/>
      <c r="D74" s="313"/>
      <c r="E74" s="313"/>
      <c r="F74" s="313"/>
      <c r="G74" s="313"/>
      <c r="H74" s="313"/>
      <c r="I74" s="313"/>
      <c r="J74" s="313"/>
      <c r="K74" s="313"/>
      <c r="L74" s="313"/>
    </row>
    <row r="75" spans="1:12">
      <c r="B75" s="313"/>
      <c r="C75" s="313"/>
      <c r="D75" s="313"/>
      <c r="E75" s="313"/>
      <c r="F75" s="313"/>
      <c r="G75" s="313"/>
      <c r="H75" s="313"/>
      <c r="I75" s="313"/>
      <c r="J75" s="313"/>
      <c r="K75" s="313"/>
      <c r="L75" s="313"/>
    </row>
    <row r="76" spans="1:12">
      <c r="B76" s="313"/>
      <c r="C76" s="313"/>
      <c r="D76" s="313"/>
      <c r="E76" s="313"/>
      <c r="F76" s="313"/>
      <c r="G76" s="313"/>
      <c r="H76" s="313"/>
      <c r="I76" s="313"/>
      <c r="J76" s="313"/>
      <c r="K76" s="313"/>
      <c r="L76" s="313"/>
    </row>
    <row r="77" spans="1:12">
      <c r="B77" s="313"/>
      <c r="C77" s="313"/>
      <c r="D77" s="313"/>
      <c r="E77" s="313"/>
      <c r="F77" s="313"/>
      <c r="G77" s="313"/>
      <c r="H77" s="313"/>
      <c r="I77" s="313"/>
      <c r="J77" s="313"/>
      <c r="K77" s="313"/>
      <c r="L77" s="313"/>
    </row>
    <row r="78" spans="1:12">
      <c r="B78" s="313"/>
      <c r="C78" s="313"/>
      <c r="D78" s="313"/>
      <c r="E78" s="313"/>
      <c r="F78" s="313"/>
      <c r="G78" s="313"/>
      <c r="H78" s="313"/>
      <c r="I78" s="313"/>
      <c r="J78" s="313"/>
      <c r="K78" s="313"/>
      <c r="L78" s="313"/>
    </row>
    <row r="79" spans="1:12">
      <c r="B79" s="313"/>
      <c r="C79" s="313"/>
      <c r="D79" s="313"/>
      <c r="E79" s="313"/>
      <c r="F79" s="313"/>
      <c r="G79" s="313"/>
      <c r="H79" s="313"/>
      <c r="I79" s="313"/>
      <c r="J79" s="313"/>
      <c r="K79" s="313"/>
      <c r="L79" s="313"/>
    </row>
    <row r="80" spans="1:12">
      <c r="B80" s="313"/>
      <c r="C80" s="313"/>
      <c r="D80" s="313"/>
      <c r="E80" s="313"/>
      <c r="F80" s="313"/>
      <c r="G80" s="313"/>
      <c r="H80" s="313"/>
      <c r="I80" s="313"/>
      <c r="J80" s="313"/>
      <c r="K80" s="313"/>
      <c r="L80" s="313"/>
    </row>
    <row r="81" spans="2:12">
      <c r="B81" s="313"/>
      <c r="C81" s="313"/>
      <c r="D81" s="313"/>
      <c r="E81" s="313"/>
      <c r="F81" s="313"/>
      <c r="G81" s="313"/>
      <c r="H81" s="313"/>
      <c r="I81" s="313"/>
      <c r="J81" s="313"/>
      <c r="K81" s="313"/>
      <c r="L81" s="313"/>
    </row>
    <row r="82" spans="2:12">
      <c r="B82" s="313"/>
      <c r="C82" s="313"/>
      <c r="D82" s="313"/>
      <c r="E82" s="313"/>
      <c r="F82" s="313"/>
      <c r="G82" s="313"/>
      <c r="H82" s="313"/>
      <c r="I82" s="313"/>
      <c r="J82" s="313"/>
      <c r="K82" s="313"/>
      <c r="L82" s="313"/>
    </row>
    <row r="83" spans="2:12">
      <c r="B83" s="313"/>
      <c r="C83" s="313"/>
      <c r="D83" s="313"/>
      <c r="E83" s="313"/>
      <c r="F83" s="313"/>
      <c r="G83" s="313"/>
      <c r="H83" s="313"/>
      <c r="I83" s="313"/>
      <c r="J83" s="313"/>
      <c r="K83" s="313"/>
      <c r="L83" s="313"/>
    </row>
    <row r="84" spans="2:12">
      <c r="B84" s="313"/>
      <c r="C84" s="313"/>
      <c r="D84" s="313"/>
      <c r="E84" s="313"/>
      <c r="F84" s="313"/>
      <c r="G84" s="313"/>
      <c r="H84" s="313"/>
      <c r="I84" s="313"/>
      <c r="J84" s="313"/>
      <c r="K84" s="313"/>
      <c r="L84" s="313"/>
    </row>
    <row r="85" spans="2:12">
      <c r="B85" s="313"/>
      <c r="C85" s="313"/>
      <c r="D85" s="313"/>
      <c r="E85" s="313"/>
      <c r="F85" s="313"/>
      <c r="G85" s="313"/>
      <c r="H85" s="313"/>
      <c r="I85" s="313"/>
      <c r="J85" s="313"/>
      <c r="K85" s="313"/>
      <c r="L85" s="313"/>
    </row>
    <row r="86" spans="2:12">
      <c r="B86" s="313"/>
      <c r="C86" s="313"/>
      <c r="D86" s="313"/>
      <c r="E86" s="313"/>
      <c r="F86" s="313"/>
      <c r="G86" s="313"/>
      <c r="H86" s="313"/>
      <c r="I86" s="313"/>
      <c r="J86" s="313"/>
      <c r="K86" s="313"/>
      <c r="L86" s="313"/>
    </row>
    <row r="87" spans="2:12">
      <c r="B87" s="313"/>
      <c r="C87" s="313"/>
      <c r="D87" s="313"/>
      <c r="E87" s="313"/>
      <c r="F87" s="313"/>
      <c r="G87" s="313"/>
      <c r="H87" s="313"/>
      <c r="I87" s="313"/>
      <c r="J87" s="313"/>
      <c r="K87" s="313"/>
      <c r="L87" s="313"/>
    </row>
    <row r="88" spans="2:12">
      <c r="B88" s="313"/>
      <c r="C88" s="313"/>
      <c r="D88" s="313"/>
      <c r="E88" s="313"/>
      <c r="F88" s="313"/>
      <c r="G88" s="313"/>
      <c r="H88" s="313"/>
      <c r="I88" s="313"/>
      <c r="J88" s="313"/>
      <c r="K88" s="313"/>
      <c r="L88" s="313"/>
    </row>
    <row r="89" spans="2:12">
      <c r="B89" s="313"/>
      <c r="C89" s="313"/>
      <c r="D89" s="313"/>
      <c r="E89" s="313"/>
      <c r="F89" s="313"/>
      <c r="G89" s="313"/>
      <c r="H89" s="313"/>
      <c r="I89" s="313"/>
      <c r="J89" s="313"/>
      <c r="K89" s="313"/>
      <c r="L89" s="313"/>
    </row>
    <row r="90" spans="2:12">
      <c r="B90" s="313"/>
      <c r="C90" s="313"/>
      <c r="D90" s="313"/>
      <c r="E90" s="313"/>
      <c r="F90" s="313"/>
      <c r="G90" s="313"/>
      <c r="H90" s="313"/>
      <c r="I90" s="313"/>
      <c r="J90" s="313"/>
      <c r="K90" s="313"/>
      <c r="L90" s="313"/>
    </row>
    <row r="91" spans="2:12">
      <c r="B91" s="313"/>
      <c r="C91" s="313"/>
      <c r="D91" s="313"/>
      <c r="E91" s="313"/>
      <c r="F91" s="313"/>
      <c r="G91" s="313"/>
      <c r="H91" s="313"/>
      <c r="I91" s="313"/>
      <c r="J91" s="313"/>
      <c r="K91" s="313"/>
      <c r="L91" s="313"/>
    </row>
    <row r="92" spans="2:12">
      <c r="B92" s="313"/>
      <c r="C92" s="313"/>
      <c r="D92" s="313"/>
      <c r="E92" s="313"/>
      <c r="F92" s="313"/>
      <c r="G92" s="313"/>
      <c r="H92" s="313"/>
      <c r="I92" s="313"/>
      <c r="J92" s="313"/>
      <c r="K92" s="313"/>
      <c r="L92" s="313"/>
    </row>
    <row r="93" spans="2:12">
      <c r="B93" s="313"/>
      <c r="C93" s="313"/>
      <c r="D93" s="313"/>
      <c r="E93" s="313"/>
      <c r="F93" s="313"/>
      <c r="G93" s="313"/>
      <c r="H93" s="313"/>
      <c r="I93" s="313"/>
      <c r="J93" s="313"/>
      <c r="K93" s="313"/>
      <c r="L93" s="313"/>
    </row>
    <row r="94" spans="2:12">
      <c r="B94" s="313"/>
      <c r="C94" s="313"/>
      <c r="D94" s="313"/>
      <c r="E94" s="313"/>
      <c r="F94" s="313"/>
      <c r="G94" s="313"/>
      <c r="H94" s="313"/>
      <c r="I94" s="313"/>
      <c r="J94" s="313"/>
      <c r="K94" s="313"/>
      <c r="L94" s="313"/>
    </row>
    <row r="95" spans="2:12">
      <c r="B95" s="313"/>
      <c r="C95" s="313"/>
      <c r="D95" s="313"/>
      <c r="E95" s="313"/>
      <c r="F95" s="313"/>
      <c r="G95" s="313"/>
      <c r="H95" s="313"/>
      <c r="I95" s="313"/>
      <c r="J95" s="313"/>
      <c r="K95" s="313"/>
      <c r="L95" s="313"/>
    </row>
    <row r="96" spans="2:12">
      <c r="B96" s="313"/>
      <c r="C96" s="313"/>
      <c r="D96" s="313"/>
      <c r="E96" s="313"/>
      <c r="F96" s="313"/>
      <c r="G96" s="313"/>
      <c r="H96" s="313"/>
      <c r="I96" s="313"/>
      <c r="J96" s="313"/>
      <c r="K96" s="313"/>
      <c r="L96" s="313"/>
    </row>
    <row r="97" spans="2:12">
      <c r="B97" s="313"/>
      <c r="C97" s="313"/>
      <c r="D97" s="313"/>
      <c r="E97" s="313"/>
      <c r="F97" s="313"/>
      <c r="G97" s="313"/>
      <c r="H97" s="313"/>
      <c r="I97" s="313"/>
      <c r="J97" s="313"/>
      <c r="K97" s="313"/>
      <c r="L97" s="313"/>
    </row>
    <row r="98" spans="2:12">
      <c r="B98" s="313"/>
      <c r="C98" s="313"/>
      <c r="D98" s="313"/>
      <c r="E98" s="313"/>
      <c r="F98" s="313"/>
      <c r="G98" s="313"/>
      <c r="H98" s="313"/>
      <c r="I98" s="313"/>
      <c r="J98" s="313"/>
      <c r="K98" s="313"/>
      <c r="L98" s="313"/>
    </row>
    <row r="99" spans="2:12">
      <c r="B99" s="313"/>
      <c r="C99" s="313"/>
      <c r="D99" s="313"/>
      <c r="E99" s="313"/>
      <c r="F99" s="313"/>
      <c r="G99" s="313"/>
      <c r="H99" s="313"/>
      <c r="I99" s="313"/>
      <c r="J99" s="313"/>
      <c r="K99" s="313"/>
      <c r="L99" s="313"/>
    </row>
    <row r="100" spans="2:12">
      <c r="B100" s="313"/>
      <c r="C100" s="313"/>
      <c r="D100" s="313"/>
      <c r="E100" s="313"/>
      <c r="F100" s="313"/>
      <c r="G100" s="313"/>
      <c r="H100" s="313"/>
      <c r="I100" s="313"/>
      <c r="J100" s="313"/>
      <c r="K100" s="313"/>
      <c r="L100" s="313"/>
    </row>
    <row r="101" spans="2:12">
      <c r="B101" s="313"/>
      <c r="C101" s="313"/>
      <c r="D101" s="313"/>
      <c r="E101" s="313"/>
      <c r="F101" s="313"/>
      <c r="G101" s="313"/>
      <c r="H101" s="313"/>
      <c r="I101" s="313"/>
      <c r="J101" s="313"/>
      <c r="K101" s="313"/>
      <c r="L101" s="313"/>
    </row>
    <row r="102" spans="2:12">
      <c r="B102" s="313"/>
      <c r="C102" s="313"/>
      <c r="D102" s="313"/>
      <c r="E102" s="313"/>
      <c r="F102" s="313"/>
      <c r="G102" s="313"/>
      <c r="H102" s="313"/>
      <c r="I102" s="313"/>
      <c r="J102" s="313"/>
      <c r="K102" s="313"/>
      <c r="L102" s="313"/>
    </row>
    <row r="103" spans="2:12">
      <c r="B103" s="313"/>
      <c r="C103" s="313"/>
      <c r="D103" s="313"/>
      <c r="E103" s="313"/>
      <c r="F103" s="313"/>
      <c r="G103" s="313"/>
      <c r="H103" s="313"/>
      <c r="I103" s="313"/>
      <c r="J103" s="313"/>
      <c r="K103" s="313"/>
      <c r="L103" s="313"/>
    </row>
    <row r="104" spans="2:12">
      <c r="B104" s="313"/>
      <c r="C104" s="313"/>
      <c r="D104" s="313"/>
      <c r="E104" s="313"/>
      <c r="F104" s="313"/>
      <c r="G104" s="313"/>
      <c r="H104" s="313"/>
      <c r="I104" s="313"/>
      <c r="J104" s="313"/>
      <c r="K104" s="313"/>
      <c r="L104" s="313"/>
    </row>
    <row r="105" spans="2:12">
      <c r="B105" s="313"/>
      <c r="C105" s="313"/>
      <c r="D105" s="313"/>
      <c r="E105" s="313"/>
      <c r="F105" s="313"/>
      <c r="G105" s="313"/>
      <c r="H105" s="313"/>
      <c r="I105" s="313"/>
      <c r="J105" s="313"/>
      <c r="K105" s="313"/>
      <c r="L105" s="313"/>
    </row>
    <row r="106" spans="2:12">
      <c r="B106" s="313"/>
      <c r="C106" s="313"/>
      <c r="D106" s="313"/>
      <c r="E106" s="313"/>
      <c r="F106" s="313"/>
      <c r="G106" s="313"/>
      <c r="H106" s="313"/>
      <c r="I106" s="313"/>
      <c r="J106" s="313"/>
      <c r="K106" s="313"/>
      <c r="L106" s="313"/>
    </row>
    <row r="107" spans="2:12">
      <c r="B107" s="313"/>
      <c r="C107" s="313"/>
      <c r="D107" s="313"/>
      <c r="E107" s="313"/>
      <c r="F107" s="313"/>
      <c r="G107" s="313"/>
      <c r="H107" s="313"/>
      <c r="I107" s="313"/>
      <c r="J107" s="313"/>
      <c r="K107" s="313"/>
      <c r="L107" s="313"/>
    </row>
    <row r="108" spans="2:12">
      <c r="B108" s="313"/>
      <c r="C108" s="313"/>
      <c r="D108" s="313"/>
      <c r="E108" s="313"/>
      <c r="F108" s="313"/>
      <c r="G108" s="313"/>
      <c r="H108" s="313"/>
      <c r="I108" s="313"/>
      <c r="J108" s="313"/>
      <c r="K108" s="313"/>
      <c r="L108" s="313"/>
    </row>
    <row r="109" spans="2:12">
      <c r="B109" s="313"/>
      <c r="C109" s="313"/>
      <c r="D109" s="313"/>
      <c r="E109" s="313"/>
      <c r="F109" s="313"/>
      <c r="G109" s="313"/>
      <c r="H109" s="313"/>
      <c r="I109" s="313"/>
      <c r="J109" s="313"/>
      <c r="K109" s="313"/>
      <c r="L109" s="313"/>
    </row>
    <row r="110" spans="2:12">
      <c r="B110" s="313"/>
      <c r="C110" s="313"/>
      <c r="D110" s="313"/>
      <c r="E110" s="313"/>
      <c r="F110" s="313"/>
      <c r="G110" s="313"/>
      <c r="H110" s="313"/>
      <c r="I110" s="313"/>
      <c r="J110" s="313"/>
      <c r="K110" s="313"/>
      <c r="L110" s="313"/>
    </row>
    <row r="111" spans="2:12">
      <c r="B111" s="313"/>
      <c r="C111" s="313"/>
      <c r="D111" s="313"/>
      <c r="E111" s="313"/>
      <c r="F111" s="313"/>
      <c r="G111" s="313"/>
      <c r="H111" s="313"/>
      <c r="I111" s="313"/>
      <c r="J111" s="313"/>
      <c r="K111" s="313"/>
      <c r="L111" s="313"/>
    </row>
    <row r="112" spans="2:12">
      <c r="B112" s="313"/>
      <c r="C112" s="313"/>
      <c r="D112" s="313"/>
      <c r="E112" s="313"/>
      <c r="F112" s="313"/>
      <c r="G112" s="313"/>
      <c r="H112" s="313"/>
      <c r="I112" s="313"/>
      <c r="J112" s="313"/>
      <c r="K112" s="313"/>
      <c r="L112" s="313"/>
    </row>
    <row r="113" spans="2:12">
      <c r="B113" s="313"/>
      <c r="C113" s="313"/>
      <c r="D113" s="313"/>
      <c r="E113" s="313"/>
      <c r="F113" s="313"/>
      <c r="G113" s="313"/>
      <c r="H113" s="313"/>
      <c r="I113" s="313"/>
      <c r="J113" s="313"/>
      <c r="K113" s="313"/>
      <c r="L113" s="313"/>
    </row>
    <row r="114" spans="2:12">
      <c r="B114" s="313"/>
      <c r="C114" s="313"/>
      <c r="D114" s="313"/>
      <c r="E114" s="313"/>
      <c r="F114" s="313"/>
      <c r="G114" s="313"/>
      <c r="H114" s="313"/>
      <c r="I114" s="313"/>
      <c r="J114" s="313"/>
      <c r="K114" s="313"/>
      <c r="L114" s="313"/>
    </row>
    <row r="115" spans="2:12">
      <c r="B115" s="313"/>
      <c r="C115" s="313"/>
      <c r="D115" s="313"/>
      <c r="E115" s="313"/>
      <c r="F115" s="313"/>
      <c r="G115" s="313"/>
      <c r="H115" s="313"/>
      <c r="I115" s="313"/>
      <c r="J115" s="313"/>
      <c r="K115" s="313"/>
      <c r="L115" s="313"/>
    </row>
    <row r="116" spans="2:12">
      <c r="B116" s="313"/>
      <c r="C116" s="313"/>
      <c r="D116" s="313"/>
      <c r="E116" s="313"/>
      <c r="F116" s="313"/>
      <c r="G116" s="313"/>
      <c r="H116" s="313"/>
      <c r="I116" s="313"/>
      <c r="J116" s="313"/>
      <c r="K116" s="313"/>
      <c r="L116" s="313"/>
    </row>
    <row r="117" spans="2:12">
      <c r="B117" s="313"/>
      <c r="C117" s="313"/>
      <c r="D117" s="313"/>
      <c r="E117" s="313"/>
      <c r="F117" s="313"/>
      <c r="G117" s="313"/>
      <c r="H117" s="313"/>
      <c r="I117" s="313"/>
      <c r="J117" s="313"/>
      <c r="K117" s="313"/>
      <c r="L117" s="313"/>
    </row>
    <row r="118" spans="2:12">
      <c r="B118" s="313"/>
      <c r="C118" s="313"/>
      <c r="D118" s="313"/>
      <c r="E118" s="313"/>
      <c r="F118" s="313"/>
      <c r="G118" s="313"/>
      <c r="H118" s="313"/>
      <c r="I118" s="313"/>
      <c r="J118" s="313"/>
      <c r="K118" s="313"/>
      <c r="L118" s="313"/>
    </row>
    <row r="119" spans="2:12">
      <c r="B119" s="313"/>
      <c r="C119" s="313"/>
      <c r="D119" s="313"/>
      <c r="E119" s="313"/>
      <c r="F119" s="313"/>
      <c r="G119" s="313"/>
      <c r="H119" s="313"/>
      <c r="I119" s="313"/>
      <c r="J119" s="313"/>
      <c r="K119" s="313"/>
      <c r="L119" s="313"/>
    </row>
    <row r="120" spans="2:12">
      <c r="B120" s="313"/>
      <c r="C120" s="313"/>
      <c r="D120" s="313"/>
      <c r="E120" s="313"/>
      <c r="F120" s="313"/>
      <c r="G120" s="313"/>
      <c r="H120" s="313"/>
      <c r="I120" s="313"/>
      <c r="J120" s="313"/>
      <c r="K120" s="313"/>
      <c r="L120" s="313"/>
    </row>
    <row r="121" spans="2:12">
      <c r="B121" s="313"/>
      <c r="C121" s="313"/>
      <c r="D121" s="313"/>
      <c r="E121" s="313"/>
      <c r="F121" s="313"/>
      <c r="G121" s="313"/>
      <c r="H121" s="313"/>
      <c r="I121" s="313"/>
      <c r="J121" s="313"/>
      <c r="K121" s="313"/>
      <c r="L121" s="313"/>
    </row>
    <row r="122" spans="2:12">
      <c r="B122" s="313"/>
      <c r="C122" s="313"/>
      <c r="D122" s="313"/>
      <c r="E122" s="313"/>
      <c r="F122" s="313"/>
      <c r="G122" s="313"/>
      <c r="H122" s="313"/>
      <c r="I122" s="313"/>
      <c r="J122" s="313"/>
      <c r="K122" s="313"/>
      <c r="L122" s="313"/>
    </row>
    <row r="123" spans="2:12">
      <c r="B123" s="313"/>
      <c r="C123" s="313"/>
      <c r="D123" s="313"/>
      <c r="E123" s="313"/>
      <c r="F123" s="313"/>
      <c r="G123" s="313"/>
      <c r="H123" s="313"/>
      <c r="I123" s="313"/>
      <c r="J123" s="313"/>
      <c r="K123" s="313"/>
      <c r="L123" s="313"/>
    </row>
    <row r="124" spans="2:12">
      <c r="B124" s="313"/>
      <c r="C124" s="313"/>
      <c r="D124" s="313"/>
      <c r="E124" s="313"/>
      <c r="F124" s="313"/>
      <c r="G124" s="313"/>
      <c r="H124" s="313"/>
      <c r="I124" s="313"/>
      <c r="J124" s="313"/>
      <c r="K124" s="313"/>
      <c r="L124" s="313"/>
    </row>
    <row r="125" spans="2:12">
      <c r="B125" s="313"/>
      <c r="C125" s="313"/>
      <c r="D125" s="313"/>
      <c r="E125" s="313"/>
      <c r="F125" s="313"/>
      <c r="G125" s="313"/>
      <c r="H125" s="313"/>
      <c r="I125" s="313"/>
      <c r="J125" s="313"/>
      <c r="K125" s="313"/>
      <c r="L125" s="313"/>
    </row>
    <row r="126" spans="2:12">
      <c r="B126" s="313"/>
      <c r="C126" s="313"/>
      <c r="D126" s="313"/>
      <c r="E126" s="313"/>
      <c r="F126" s="313"/>
      <c r="G126" s="313"/>
      <c r="H126" s="313"/>
      <c r="I126" s="313"/>
      <c r="J126" s="313"/>
      <c r="K126" s="313"/>
      <c r="L126" s="313"/>
    </row>
    <row r="127" spans="2:12">
      <c r="B127" s="313"/>
      <c r="C127" s="313"/>
      <c r="D127" s="313"/>
      <c r="E127" s="313"/>
      <c r="F127" s="313"/>
      <c r="G127" s="313"/>
      <c r="H127" s="313"/>
      <c r="I127" s="313"/>
      <c r="J127" s="313"/>
      <c r="K127" s="313"/>
      <c r="L127" s="313"/>
    </row>
    <row r="128" spans="2:12">
      <c r="B128" s="313"/>
      <c r="C128" s="313"/>
      <c r="D128" s="313"/>
      <c r="E128" s="313"/>
      <c r="F128" s="313"/>
      <c r="G128" s="313"/>
      <c r="H128" s="313"/>
      <c r="I128" s="313"/>
      <c r="J128" s="313"/>
      <c r="K128" s="313"/>
      <c r="L128" s="313"/>
    </row>
    <row r="129" spans="2:12">
      <c r="B129" s="313"/>
      <c r="C129" s="313"/>
      <c r="D129" s="313"/>
      <c r="E129" s="313"/>
      <c r="F129" s="313"/>
      <c r="G129" s="313"/>
      <c r="H129" s="313"/>
      <c r="I129" s="313"/>
      <c r="J129" s="313"/>
      <c r="K129" s="313"/>
      <c r="L129" s="313"/>
    </row>
    <row r="130" spans="2:12">
      <c r="B130" s="313"/>
      <c r="C130" s="313"/>
      <c r="D130" s="313"/>
      <c r="E130" s="313"/>
      <c r="F130" s="313"/>
      <c r="G130" s="313"/>
      <c r="H130" s="313"/>
      <c r="I130" s="313"/>
      <c r="J130" s="313"/>
      <c r="K130" s="313"/>
      <c r="L130" s="313"/>
    </row>
    <row r="131" spans="2:12">
      <c r="B131" s="313"/>
      <c r="C131" s="313"/>
      <c r="D131" s="313"/>
      <c r="E131" s="313"/>
      <c r="F131" s="313"/>
      <c r="G131" s="313"/>
      <c r="H131" s="313"/>
      <c r="I131" s="313"/>
      <c r="J131" s="313"/>
      <c r="K131" s="313"/>
      <c r="L131" s="313"/>
    </row>
    <row r="132" spans="2:12">
      <c r="B132" s="313"/>
      <c r="C132" s="313"/>
      <c r="D132" s="313"/>
      <c r="E132" s="313"/>
      <c r="F132" s="313"/>
      <c r="G132" s="313"/>
      <c r="H132" s="313"/>
      <c r="I132" s="313"/>
      <c r="J132" s="313"/>
      <c r="K132" s="313"/>
      <c r="L132" s="313"/>
    </row>
    <row r="133" spans="2:12">
      <c r="B133" s="313"/>
      <c r="C133" s="313"/>
      <c r="D133" s="313"/>
      <c r="E133" s="313"/>
      <c r="F133" s="313"/>
      <c r="G133" s="313"/>
      <c r="H133" s="313"/>
      <c r="I133" s="313"/>
      <c r="J133" s="313"/>
      <c r="K133" s="313"/>
      <c r="L133" s="313"/>
    </row>
    <row r="134" spans="2:12">
      <c r="B134" s="313"/>
      <c r="C134" s="313"/>
      <c r="D134" s="313"/>
      <c r="E134" s="313"/>
      <c r="F134" s="313"/>
      <c r="G134" s="313"/>
      <c r="H134" s="313"/>
      <c r="I134" s="313"/>
      <c r="J134" s="313"/>
      <c r="K134" s="313"/>
      <c r="L134" s="313"/>
    </row>
    <row r="135" spans="2:12">
      <c r="B135" s="313"/>
      <c r="C135" s="313"/>
      <c r="D135" s="313"/>
      <c r="E135" s="313"/>
      <c r="F135" s="313"/>
      <c r="G135" s="313"/>
      <c r="H135" s="313"/>
      <c r="I135" s="313"/>
      <c r="J135" s="313"/>
      <c r="K135" s="313"/>
      <c r="L135" s="313"/>
    </row>
    <row r="136" spans="2:12">
      <c r="B136" s="313"/>
      <c r="C136" s="313"/>
      <c r="D136" s="313"/>
      <c r="E136" s="313"/>
      <c r="F136" s="313"/>
      <c r="G136" s="313"/>
      <c r="H136" s="313"/>
      <c r="I136" s="313"/>
      <c r="J136" s="313"/>
      <c r="K136" s="313"/>
      <c r="L136" s="313"/>
    </row>
    <row r="137" spans="2:12">
      <c r="B137" s="313"/>
      <c r="C137" s="313"/>
      <c r="D137" s="313"/>
      <c r="E137" s="313"/>
      <c r="F137" s="313"/>
      <c r="G137" s="313"/>
      <c r="H137" s="313"/>
      <c r="I137" s="313"/>
      <c r="J137" s="313"/>
      <c r="K137" s="313"/>
      <c r="L137" s="313"/>
    </row>
    <row r="138" spans="2:12">
      <c r="B138" s="313"/>
      <c r="C138" s="313"/>
      <c r="D138" s="313"/>
      <c r="E138" s="313"/>
      <c r="F138" s="313"/>
      <c r="G138" s="313"/>
      <c r="H138" s="313"/>
      <c r="I138" s="313"/>
      <c r="J138" s="313"/>
      <c r="K138" s="313"/>
      <c r="L138" s="313"/>
    </row>
    <row r="139" spans="2:12">
      <c r="B139" s="313"/>
      <c r="C139" s="313"/>
      <c r="D139" s="313"/>
      <c r="E139" s="313"/>
      <c r="F139" s="313"/>
      <c r="G139" s="313"/>
      <c r="H139" s="313"/>
      <c r="I139" s="313"/>
      <c r="J139" s="313"/>
      <c r="K139" s="313"/>
      <c r="L139" s="313"/>
    </row>
    <row r="140" spans="2:12">
      <c r="B140" s="313"/>
      <c r="C140" s="313"/>
      <c r="D140" s="313"/>
      <c r="E140" s="313"/>
      <c r="F140" s="313"/>
      <c r="G140" s="313"/>
      <c r="H140" s="313"/>
      <c r="I140" s="313"/>
      <c r="J140" s="313"/>
      <c r="K140" s="313"/>
      <c r="L140" s="313"/>
    </row>
    <row r="141" spans="2:12">
      <c r="B141" s="313"/>
      <c r="C141" s="313"/>
      <c r="D141" s="313"/>
      <c r="E141" s="313"/>
      <c r="F141" s="313"/>
      <c r="G141" s="313"/>
      <c r="H141" s="313"/>
      <c r="I141" s="313"/>
      <c r="J141" s="313"/>
      <c r="K141" s="313"/>
      <c r="L141" s="313"/>
    </row>
    <row r="142" spans="2:12">
      <c r="B142" s="313"/>
      <c r="C142" s="313"/>
      <c r="D142" s="313"/>
      <c r="E142" s="313"/>
      <c r="F142" s="313"/>
      <c r="G142" s="313"/>
      <c r="H142" s="313"/>
      <c r="I142" s="313"/>
      <c r="J142" s="313"/>
      <c r="K142" s="313"/>
      <c r="L142" s="313"/>
    </row>
    <row r="143" spans="2:12">
      <c r="B143" s="313"/>
      <c r="C143" s="313"/>
      <c r="D143" s="313"/>
      <c r="E143" s="313"/>
      <c r="F143" s="313"/>
      <c r="G143" s="313"/>
      <c r="H143" s="313"/>
      <c r="I143" s="313"/>
      <c r="J143" s="313"/>
      <c r="K143" s="313"/>
      <c r="L143" s="313"/>
    </row>
    <row r="144" spans="2:12">
      <c r="B144" s="313"/>
      <c r="C144" s="313"/>
      <c r="D144" s="313"/>
      <c r="E144" s="313"/>
      <c r="F144" s="313"/>
      <c r="G144" s="313"/>
      <c r="H144" s="313"/>
      <c r="I144" s="313"/>
      <c r="J144" s="313"/>
      <c r="K144" s="313"/>
      <c r="L144" s="313"/>
    </row>
    <row r="145" spans="2:12">
      <c r="B145" s="313"/>
      <c r="C145" s="313"/>
      <c r="D145" s="313"/>
      <c r="E145" s="313"/>
      <c r="F145" s="313"/>
      <c r="G145" s="313"/>
      <c r="H145" s="313"/>
      <c r="I145" s="313"/>
      <c r="J145" s="313"/>
      <c r="K145" s="313"/>
      <c r="L145" s="313"/>
    </row>
    <row r="146" spans="2:12">
      <c r="B146" s="313"/>
      <c r="C146" s="313"/>
      <c r="D146" s="313"/>
      <c r="E146" s="313"/>
      <c r="F146" s="313"/>
      <c r="G146" s="313"/>
      <c r="H146" s="313"/>
      <c r="I146" s="313"/>
      <c r="J146" s="313"/>
      <c r="K146" s="313"/>
      <c r="L146" s="313"/>
    </row>
    <row r="147" spans="2:12">
      <c r="B147" s="313"/>
      <c r="C147" s="313"/>
      <c r="D147" s="313"/>
      <c r="E147" s="313"/>
      <c r="F147" s="313"/>
      <c r="G147" s="313"/>
      <c r="H147" s="313"/>
      <c r="I147" s="313"/>
      <c r="J147" s="313"/>
      <c r="K147" s="313"/>
      <c r="L147" s="313"/>
    </row>
    <row r="148" spans="2:12">
      <c r="B148" s="313"/>
      <c r="C148" s="313"/>
      <c r="D148" s="313"/>
      <c r="E148" s="313"/>
      <c r="F148" s="313"/>
      <c r="G148" s="313"/>
      <c r="H148" s="313"/>
      <c r="I148" s="313"/>
      <c r="J148" s="313"/>
      <c r="K148" s="313"/>
      <c r="L148" s="313"/>
    </row>
    <row r="149" spans="2:12">
      <c r="B149" s="313"/>
      <c r="C149" s="313"/>
      <c r="D149" s="313"/>
      <c r="E149" s="313"/>
      <c r="F149" s="313"/>
      <c r="G149" s="313"/>
      <c r="H149" s="313"/>
      <c r="I149" s="313"/>
      <c r="J149" s="313"/>
      <c r="K149" s="313"/>
      <c r="L149" s="313"/>
    </row>
    <row r="150" spans="2:12">
      <c r="B150" s="313"/>
      <c r="C150" s="313"/>
      <c r="D150" s="313"/>
      <c r="E150" s="313"/>
      <c r="F150" s="313"/>
      <c r="G150" s="313"/>
      <c r="H150" s="313"/>
      <c r="I150" s="313"/>
      <c r="J150" s="313"/>
      <c r="K150" s="313"/>
      <c r="L150" s="313"/>
    </row>
    <row r="151" spans="2:12">
      <c r="B151" s="313"/>
      <c r="C151" s="313"/>
      <c r="D151" s="313"/>
      <c r="E151" s="313"/>
      <c r="F151" s="313"/>
      <c r="G151" s="313"/>
      <c r="H151" s="313"/>
      <c r="I151" s="313"/>
      <c r="J151" s="313"/>
      <c r="K151" s="313"/>
      <c r="L151" s="313"/>
    </row>
    <row r="152" spans="2:12">
      <c r="B152" s="313"/>
      <c r="C152" s="313"/>
      <c r="D152" s="313"/>
      <c r="E152" s="313"/>
      <c r="F152" s="313"/>
      <c r="G152" s="313"/>
      <c r="H152" s="313"/>
      <c r="I152" s="313"/>
      <c r="J152" s="313"/>
      <c r="K152" s="313"/>
      <c r="L152" s="313"/>
    </row>
    <row r="153" spans="2:12">
      <c r="B153" s="313"/>
      <c r="C153" s="313"/>
      <c r="D153" s="313"/>
      <c r="E153" s="313"/>
      <c r="F153" s="313"/>
      <c r="G153" s="313"/>
      <c r="H153" s="313"/>
      <c r="I153" s="313"/>
      <c r="J153" s="313"/>
      <c r="K153" s="313"/>
      <c r="L153" s="313"/>
    </row>
    <row r="154" spans="2:12">
      <c r="B154" s="313"/>
      <c r="C154" s="313"/>
      <c r="D154" s="313"/>
      <c r="E154" s="313"/>
      <c r="F154" s="313"/>
      <c r="G154" s="313"/>
      <c r="H154" s="313"/>
      <c r="I154" s="313"/>
      <c r="J154" s="313"/>
      <c r="K154" s="313"/>
      <c r="L154" s="313"/>
    </row>
    <row r="155" spans="2:12">
      <c r="B155" s="313"/>
      <c r="C155" s="313"/>
      <c r="D155" s="313"/>
      <c r="E155" s="313"/>
      <c r="F155" s="313"/>
      <c r="G155" s="313"/>
      <c r="H155" s="313"/>
      <c r="I155" s="313"/>
      <c r="J155" s="313"/>
      <c r="K155" s="313"/>
      <c r="L155" s="313"/>
    </row>
    <row r="156" spans="2:12">
      <c r="B156" s="313"/>
      <c r="C156" s="313"/>
      <c r="D156" s="313"/>
      <c r="E156" s="313"/>
      <c r="F156" s="313"/>
      <c r="G156" s="313"/>
      <c r="H156" s="313"/>
      <c r="I156" s="313"/>
      <c r="J156" s="313"/>
      <c r="K156" s="313"/>
      <c r="L156" s="313"/>
    </row>
    <row r="157" spans="2:12">
      <c r="B157" s="313"/>
      <c r="C157" s="313"/>
      <c r="D157" s="313"/>
      <c r="E157" s="313"/>
      <c r="F157" s="313"/>
      <c r="G157" s="313"/>
      <c r="H157" s="313"/>
      <c r="I157" s="313"/>
      <c r="J157" s="313"/>
      <c r="K157" s="313"/>
      <c r="L157" s="313"/>
    </row>
    <row r="158" spans="2:12">
      <c r="B158" s="313"/>
      <c r="C158" s="313"/>
      <c r="D158" s="313"/>
      <c r="E158" s="313"/>
      <c r="F158" s="313"/>
      <c r="G158" s="313"/>
      <c r="H158" s="313"/>
      <c r="I158" s="313"/>
      <c r="J158" s="313"/>
      <c r="K158" s="313"/>
      <c r="L158" s="313"/>
    </row>
    <row r="159" spans="2:12">
      <c r="B159" s="313"/>
      <c r="C159" s="313"/>
      <c r="D159" s="313"/>
      <c r="E159" s="313"/>
      <c r="F159" s="313"/>
      <c r="G159" s="313"/>
      <c r="H159" s="313"/>
      <c r="I159" s="313"/>
      <c r="J159" s="313"/>
      <c r="K159" s="313"/>
      <c r="L159" s="313"/>
    </row>
    <row r="160" spans="2:12">
      <c r="B160" s="313"/>
      <c r="C160" s="313"/>
      <c r="D160" s="313"/>
      <c r="E160" s="313"/>
      <c r="F160" s="313"/>
      <c r="G160" s="313"/>
      <c r="H160" s="313"/>
      <c r="I160" s="313"/>
      <c r="J160" s="313"/>
      <c r="K160" s="313"/>
      <c r="L160" s="313"/>
    </row>
    <row r="161" spans="2:12">
      <c r="B161" s="313"/>
      <c r="C161" s="313"/>
      <c r="D161" s="313"/>
      <c r="E161" s="313"/>
      <c r="F161" s="313"/>
      <c r="G161" s="313"/>
      <c r="H161" s="313"/>
      <c r="I161" s="313"/>
      <c r="J161" s="313"/>
      <c r="K161" s="313"/>
      <c r="L161" s="313"/>
    </row>
    <row r="162" spans="2:12">
      <c r="B162" s="313"/>
      <c r="C162" s="313"/>
      <c r="D162" s="313"/>
      <c r="E162" s="313"/>
      <c r="F162" s="313"/>
      <c r="G162" s="313"/>
      <c r="H162" s="313"/>
      <c r="I162" s="313"/>
      <c r="J162" s="313"/>
      <c r="K162" s="313"/>
      <c r="L162" s="313"/>
    </row>
    <row r="163" spans="2:12">
      <c r="B163" s="313"/>
      <c r="C163" s="313"/>
      <c r="D163" s="313"/>
      <c r="E163" s="313"/>
      <c r="F163" s="313"/>
      <c r="G163" s="313"/>
      <c r="H163" s="313"/>
      <c r="I163" s="313"/>
      <c r="J163" s="313"/>
      <c r="K163" s="313"/>
      <c r="L163" s="313"/>
    </row>
    <row r="164" spans="2:12">
      <c r="B164" s="313"/>
      <c r="C164" s="313"/>
      <c r="D164" s="313"/>
      <c r="E164" s="313"/>
      <c r="F164" s="313"/>
      <c r="G164" s="313"/>
      <c r="H164" s="313"/>
      <c r="I164" s="313"/>
      <c r="J164" s="313"/>
      <c r="K164" s="313"/>
      <c r="L164" s="313"/>
    </row>
    <row r="165" spans="2:12">
      <c r="B165" s="313"/>
      <c r="C165" s="313"/>
      <c r="D165" s="313"/>
      <c r="E165" s="313"/>
      <c r="F165" s="313"/>
      <c r="G165" s="313"/>
      <c r="H165" s="313"/>
      <c r="I165" s="313"/>
      <c r="J165" s="313"/>
      <c r="K165" s="313"/>
      <c r="L165" s="313"/>
    </row>
    <row r="166" spans="2:12">
      <c r="B166" s="313"/>
      <c r="C166" s="313"/>
      <c r="D166" s="313"/>
      <c r="E166" s="313"/>
      <c r="F166" s="313"/>
      <c r="G166" s="313"/>
      <c r="H166" s="313"/>
      <c r="I166" s="313"/>
      <c r="J166" s="313"/>
      <c r="K166" s="313"/>
      <c r="L166" s="313"/>
    </row>
    <row r="167" spans="2:12">
      <c r="B167" s="313"/>
      <c r="C167" s="313"/>
      <c r="D167" s="313"/>
      <c r="E167" s="313"/>
      <c r="F167" s="313"/>
      <c r="G167" s="313"/>
      <c r="H167" s="313"/>
      <c r="I167" s="313"/>
      <c r="J167" s="313"/>
      <c r="K167" s="313"/>
      <c r="L167" s="313"/>
    </row>
    <row r="168" spans="2:12">
      <c r="B168" s="313"/>
      <c r="C168" s="313"/>
      <c r="D168" s="313"/>
      <c r="E168" s="313"/>
      <c r="F168" s="313"/>
      <c r="G168" s="313"/>
      <c r="H168" s="313"/>
      <c r="I168" s="313"/>
      <c r="J168" s="313"/>
      <c r="K168" s="313"/>
      <c r="L168" s="313"/>
    </row>
    <row r="169" spans="2:12">
      <c r="B169" s="313"/>
      <c r="C169" s="313"/>
      <c r="D169" s="313"/>
      <c r="E169" s="313"/>
      <c r="F169" s="313"/>
      <c r="G169" s="313"/>
      <c r="H169" s="313"/>
      <c r="I169" s="313"/>
      <c r="J169" s="313"/>
      <c r="K169" s="313"/>
      <c r="L169" s="313"/>
    </row>
    <row r="170" spans="2:12">
      <c r="B170" s="313"/>
      <c r="C170" s="313"/>
      <c r="D170" s="313"/>
      <c r="E170" s="313"/>
      <c r="F170" s="313"/>
      <c r="G170" s="313"/>
      <c r="H170" s="313"/>
      <c r="I170" s="313"/>
      <c r="J170" s="313"/>
      <c r="K170" s="313"/>
      <c r="L170" s="313"/>
    </row>
    <row r="171" spans="2:12">
      <c r="B171" s="313"/>
      <c r="C171" s="313"/>
      <c r="D171" s="313"/>
      <c r="E171" s="313"/>
      <c r="F171" s="313"/>
      <c r="G171" s="313"/>
      <c r="H171" s="313"/>
      <c r="I171" s="313"/>
      <c r="J171" s="313"/>
      <c r="K171" s="313"/>
      <c r="L171" s="313"/>
    </row>
    <row r="172" spans="2:12">
      <c r="B172" s="313"/>
      <c r="C172" s="313"/>
      <c r="D172" s="313"/>
      <c r="E172" s="313"/>
      <c r="F172" s="313"/>
      <c r="G172" s="313"/>
      <c r="H172" s="313"/>
      <c r="I172" s="313"/>
      <c r="J172" s="313"/>
      <c r="K172" s="313"/>
      <c r="L172" s="313"/>
    </row>
    <row r="173" spans="2:12">
      <c r="B173" s="313"/>
      <c r="C173" s="313"/>
      <c r="D173" s="313"/>
      <c r="E173" s="313"/>
      <c r="F173" s="313"/>
      <c r="G173" s="313"/>
      <c r="H173" s="313"/>
      <c r="I173" s="313"/>
      <c r="J173" s="313"/>
      <c r="K173" s="313"/>
      <c r="L173" s="313"/>
    </row>
    <row r="174" spans="2:12">
      <c r="B174" s="313"/>
      <c r="C174" s="313"/>
      <c r="D174" s="313"/>
      <c r="E174" s="313"/>
      <c r="F174" s="313"/>
      <c r="G174" s="313"/>
      <c r="H174" s="313"/>
      <c r="I174" s="313"/>
      <c r="J174" s="313"/>
      <c r="K174" s="313"/>
      <c r="L174" s="313"/>
    </row>
    <row r="175" spans="2:12">
      <c r="B175" s="313"/>
      <c r="C175" s="313"/>
      <c r="D175" s="313"/>
      <c r="E175" s="313"/>
      <c r="F175" s="313"/>
      <c r="G175" s="313"/>
      <c r="H175" s="313"/>
      <c r="I175" s="313"/>
      <c r="J175" s="313"/>
      <c r="K175" s="313"/>
      <c r="L175" s="313"/>
    </row>
    <row r="176" spans="2:12">
      <c r="B176" s="313"/>
      <c r="C176" s="313"/>
      <c r="D176" s="313"/>
      <c r="E176" s="313"/>
      <c r="F176" s="313"/>
      <c r="G176" s="313"/>
      <c r="H176" s="313"/>
      <c r="I176" s="313"/>
      <c r="J176" s="313"/>
      <c r="K176" s="313"/>
      <c r="L176" s="313"/>
    </row>
    <row r="177" spans="2:12">
      <c r="B177" s="313"/>
      <c r="C177" s="313"/>
      <c r="D177" s="313"/>
      <c r="E177" s="313"/>
      <c r="F177" s="313"/>
      <c r="G177" s="313"/>
      <c r="H177" s="313"/>
      <c r="I177" s="313"/>
      <c r="J177" s="313"/>
      <c r="K177" s="313"/>
      <c r="L177" s="313"/>
    </row>
    <row r="178" spans="2:12">
      <c r="B178" s="313"/>
      <c r="C178" s="313"/>
      <c r="D178" s="313"/>
      <c r="E178" s="313"/>
      <c r="F178" s="313"/>
      <c r="G178" s="313"/>
      <c r="H178" s="313"/>
      <c r="I178" s="313"/>
      <c r="J178" s="313"/>
      <c r="K178" s="313"/>
      <c r="L178" s="313"/>
    </row>
    <row r="179" spans="2:12">
      <c r="B179" s="313"/>
      <c r="C179" s="313"/>
      <c r="D179" s="313"/>
      <c r="E179" s="313"/>
      <c r="F179" s="313"/>
      <c r="G179" s="313"/>
      <c r="H179" s="313"/>
      <c r="I179" s="313"/>
      <c r="J179" s="313"/>
      <c r="K179" s="313"/>
      <c r="L179" s="313"/>
    </row>
    <row r="180" spans="2:12">
      <c r="B180" s="313"/>
      <c r="C180" s="313"/>
      <c r="D180" s="313"/>
      <c r="E180" s="313"/>
      <c r="F180" s="313"/>
      <c r="G180" s="313"/>
      <c r="H180" s="313"/>
      <c r="I180" s="313"/>
      <c r="J180" s="313"/>
      <c r="K180" s="313"/>
      <c r="L180" s="313"/>
    </row>
    <row r="181" spans="2:12">
      <c r="B181" s="313"/>
      <c r="C181" s="313"/>
      <c r="D181" s="313"/>
      <c r="E181" s="313"/>
      <c r="F181" s="313"/>
      <c r="G181" s="313"/>
      <c r="H181" s="313"/>
      <c r="I181" s="313"/>
      <c r="J181" s="313"/>
      <c r="K181" s="313"/>
      <c r="L181" s="313"/>
    </row>
    <row r="182" spans="2:12">
      <c r="B182" s="313"/>
      <c r="C182" s="313"/>
      <c r="D182" s="313"/>
      <c r="E182" s="313"/>
      <c r="F182" s="313"/>
      <c r="G182" s="313"/>
      <c r="H182" s="313"/>
      <c r="I182" s="313"/>
      <c r="J182" s="313"/>
      <c r="K182" s="313"/>
      <c r="L182" s="313"/>
    </row>
    <row r="183" spans="2:12">
      <c r="B183" s="313"/>
      <c r="C183" s="313"/>
      <c r="D183" s="313"/>
      <c r="E183" s="313"/>
      <c r="F183" s="313"/>
      <c r="G183" s="313"/>
      <c r="H183" s="313"/>
      <c r="I183" s="313"/>
      <c r="J183" s="313"/>
      <c r="K183" s="313"/>
      <c r="L183" s="313"/>
    </row>
    <row r="184" spans="2:12">
      <c r="B184" s="313"/>
      <c r="C184" s="313"/>
      <c r="D184" s="313"/>
      <c r="E184" s="313"/>
      <c r="F184" s="313"/>
      <c r="G184" s="313"/>
      <c r="H184" s="313"/>
      <c r="I184" s="313"/>
      <c r="J184" s="313"/>
      <c r="K184" s="313"/>
      <c r="L184" s="313"/>
    </row>
    <row r="185" spans="2:12">
      <c r="B185" s="313"/>
      <c r="C185" s="313"/>
      <c r="D185" s="313"/>
      <c r="E185" s="313"/>
      <c r="F185" s="313"/>
      <c r="G185" s="313"/>
      <c r="H185" s="313"/>
      <c r="I185" s="313"/>
      <c r="J185" s="313"/>
      <c r="K185" s="313"/>
      <c r="L185" s="313"/>
    </row>
    <row r="186" spans="2:12">
      <c r="B186" s="313"/>
      <c r="C186" s="313"/>
      <c r="D186" s="313"/>
      <c r="E186" s="313"/>
      <c r="F186" s="313"/>
      <c r="G186" s="313"/>
      <c r="H186" s="313"/>
      <c r="I186" s="313"/>
      <c r="J186" s="313"/>
      <c r="K186" s="313"/>
      <c r="L186" s="313"/>
    </row>
    <row r="187" spans="2:12">
      <c r="B187" s="313"/>
      <c r="C187" s="313"/>
      <c r="D187" s="313"/>
      <c r="E187" s="313"/>
      <c r="F187" s="313"/>
      <c r="G187" s="313"/>
      <c r="H187" s="313"/>
      <c r="I187" s="313"/>
      <c r="J187" s="313"/>
      <c r="K187" s="313"/>
      <c r="L187" s="313"/>
    </row>
    <row r="188" spans="2:12">
      <c r="B188" s="313"/>
      <c r="C188" s="313"/>
      <c r="D188" s="313"/>
      <c r="E188" s="313"/>
      <c r="F188" s="313"/>
      <c r="G188" s="313"/>
      <c r="H188" s="313"/>
      <c r="I188" s="313"/>
      <c r="J188" s="313"/>
      <c r="K188" s="313"/>
      <c r="L188" s="313"/>
    </row>
    <row r="189" spans="2:12">
      <c r="B189" s="313"/>
      <c r="C189" s="313"/>
      <c r="D189" s="313"/>
      <c r="E189" s="313"/>
      <c r="F189" s="313"/>
      <c r="G189" s="313"/>
      <c r="H189" s="313"/>
      <c r="I189" s="313"/>
      <c r="J189" s="313"/>
      <c r="K189" s="313"/>
      <c r="L189" s="313"/>
    </row>
    <row r="190" spans="2:12">
      <c r="B190" s="313"/>
      <c r="C190" s="313"/>
      <c r="D190" s="313"/>
      <c r="E190" s="313"/>
      <c r="F190" s="313"/>
      <c r="G190" s="313"/>
      <c r="H190" s="313"/>
      <c r="I190" s="313"/>
      <c r="J190" s="313"/>
      <c r="K190" s="313"/>
      <c r="L190" s="313"/>
    </row>
    <row r="191" spans="2:12">
      <c r="B191" s="313"/>
      <c r="C191" s="313"/>
      <c r="D191" s="313"/>
      <c r="E191" s="313"/>
      <c r="F191" s="313"/>
      <c r="G191" s="313"/>
      <c r="H191" s="313"/>
      <c r="I191" s="313"/>
      <c r="J191" s="313"/>
      <c r="K191" s="313"/>
      <c r="L191" s="313"/>
    </row>
    <row r="192" spans="2:12">
      <c r="B192" s="313"/>
      <c r="C192" s="313"/>
      <c r="D192" s="313"/>
      <c r="E192" s="313"/>
      <c r="F192" s="313"/>
      <c r="G192" s="313"/>
      <c r="H192" s="313"/>
      <c r="I192" s="313"/>
      <c r="J192" s="313"/>
      <c r="K192" s="313"/>
      <c r="L192" s="313"/>
    </row>
    <row r="193" spans="2:12">
      <c r="B193" s="313"/>
      <c r="C193" s="313"/>
      <c r="D193" s="313"/>
      <c r="E193" s="313"/>
      <c r="F193" s="313"/>
      <c r="G193" s="313"/>
      <c r="H193" s="313"/>
      <c r="I193" s="313"/>
      <c r="J193" s="313"/>
      <c r="K193" s="313"/>
      <c r="L193" s="313"/>
    </row>
    <row r="194" spans="2:12">
      <c r="B194" s="313"/>
      <c r="C194" s="313"/>
      <c r="D194" s="313"/>
      <c r="E194" s="313"/>
      <c r="F194" s="313"/>
      <c r="G194" s="313"/>
      <c r="H194" s="313"/>
      <c r="I194" s="313"/>
      <c r="J194" s="313"/>
      <c r="K194" s="313"/>
      <c r="L194" s="313"/>
    </row>
    <row r="195" spans="2:12">
      <c r="B195" s="313"/>
      <c r="C195" s="313"/>
      <c r="D195" s="313"/>
      <c r="E195" s="313"/>
      <c r="F195" s="313"/>
      <c r="G195" s="313"/>
      <c r="H195" s="313"/>
      <c r="I195" s="313"/>
      <c r="J195" s="313"/>
      <c r="K195" s="313"/>
      <c r="L195" s="313"/>
    </row>
    <row r="196" spans="2:12">
      <c r="B196" s="313"/>
      <c r="C196" s="313"/>
      <c r="D196" s="313"/>
      <c r="E196" s="313"/>
      <c r="F196" s="313"/>
      <c r="G196" s="313"/>
      <c r="H196" s="313"/>
      <c r="I196" s="313"/>
      <c r="J196" s="313"/>
      <c r="K196" s="313"/>
      <c r="L196" s="313"/>
    </row>
    <row r="197" spans="2:12">
      <c r="B197" s="313"/>
      <c r="C197" s="313"/>
      <c r="D197" s="313"/>
      <c r="E197" s="313"/>
      <c r="F197" s="313"/>
      <c r="G197" s="313"/>
      <c r="H197" s="313"/>
      <c r="I197" s="313"/>
      <c r="J197" s="313"/>
      <c r="K197" s="313"/>
      <c r="L197" s="313"/>
    </row>
    <row r="198" spans="2:12">
      <c r="B198" s="313"/>
      <c r="C198" s="313"/>
      <c r="D198" s="313"/>
      <c r="E198" s="313"/>
      <c r="F198" s="313"/>
      <c r="G198" s="313"/>
      <c r="H198" s="313"/>
      <c r="I198" s="313"/>
      <c r="J198" s="313"/>
      <c r="K198" s="313"/>
      <c r="L198" s="313"/>
    </row>
    <row r="199" spans="2:12">
      <c r="B199" s="313"/>
      <c r="C199" s="313"/>
      <c r="D199" s="313"/>
      <c r="E199" s="313"/>
      <c r="F199" s="313"/>
      <c r="G199" s="313"/>
      <c r="H199" s="313"/>
      <c r="I199" s="313"/>
      <c r="J199" s="313"/>
      <c r="K199" s="313"/>
      <c r="L199" s="313"/>
    </row>
    <row r="200" spans="2:12">
      <c r="B200" s="313"/>
      <c r="C200" s="313"/>
      <c r="D200" s="313"/>
      <c r="E200" s="313"/>
      <c r="F200" s="313"/>
      <c r="G200" s="313"/>
      <c r="H200" s="313"/>
      <c r="I200" s="313"/>
      <c r="J200" s="313"/>
      <c r="K200" s="313"/>
      <c r="L200" s="313"/>
    </row>
    <row r="201" spans="2:12">
      <c r="B201" s="313"/>
      <c r="C201" s="313"/>
      <c r="D201" s="313"/>
      <c r="E201" s="313"/>
      <c r="F201" s="313"/>
      <c r="G201" s="313"/>
      <c r="H201" s="313"/>
      <c r="I201" s="313"/>
      <c r="J201" s="313"/>
      <c r="K201" s="313"/>
      <c r="L201" s="313"/>
    </row>
    <row r="202" spans="2:12">
      <c r="B202" s="313"/>
      <c r="C202" s="313"/>
      <c r="D202" s="313"/>
      <c r="E202" s="313"/>
      <c r="F202" s="313"/>
      <c r="G202" s="313"/>
      <c r="H202" s="313"/>
      <c r="I202" s="313"/>
      <c r="J202" s="313"/>
      <c r="K202" s="313"/>
      <c r="L202" s="313"/>
    </row>
    <row r="203" spans="2:12">
      <c r="B203" s="313"/>
      <c r="C203" s="313"/>
      <c r="D203" s="313"/>
      <c r="E203" s="313"/>
      <c r="F203" s="313"/>
      <c r="G203" s="313"/>
      <c r="H203" s="313"/>
      <c r="I203" s="313"/>
      <c r="J203" s="313"/>
      <c r="K203" s="313"/>
      <c r="L203" s="313"/>
    </row>
    <row r="204" spans="2:12">
      <c r="B204" s="313"/>
      <c r="C204" s="313"/>
      <c r="D204" s="313"/>
      <c r="E204" s="313"/>
      <c r="F204" s="313"/>
      <c r="G204" s="313"/>
      <c r="H204" s="313"/>
      <c r="I204" s="313"/>
      <c r="J204" s="313"/>
      <c r="K204" s="313"/>
      <c r="L204" s="313"/>
    </row>
    <row r="205" spans="2:12">
      <c r="B205" s="313"/>
      <c r="C205" s="313"/>
      <c r="D205" s="313"/>
      <c r="E205" s="313"/>
      <c r="F205" s="313"/>
      <c r="G205" s="313"/>
      <c r="H205" s="313"/>
      <c r="I205" s="313"/>
      <c r="J205" s="313"/>
      <c r="K205" s="313"/>
      <c r="L205" s="313"/>
    </row>
    <row r="206" spans="2:12">
      <c r="B206" s="313"/>
      <c r="C206" s="313"/>
      <c r="D206" s="313"/>
      <c r="E206" s="313"/>
      <c r="F206" s="313"/>
      <c r="G206" s="313"/>
      <c r="H206" s="313"/>
      <c r="I206" s="313"/>
      <c r="J206" s="313"/>
      <c r="K206" s="313"/>
      <c r="L206" s="313"/>
    </row>
    <row r="207" spans="2:12">
      <c r="B207" s="313"/>
      <c r="C207" s="313"/>
      <c r="D207" s="313"/>
      <c r="E207" s="313"/>
      <c r="F207" s="313"/>
      <c r="G207" s="313"/>
      <c r="H207" s="313"/>
      <c r="I207" s="313"/>
      <c r="J207" s="313"/>
      <c r="K207" s="313"/>
      <c r="L207" s="313"/>
    </row>
    <row r="208" spans="2:12">
      <c r="B208" s="313"/>
      <c r="C208" s="313"/>
      <c r="D208" s="313"/>
      <c r="E208" s="313"/>
      <c r="F208" s="313"/>
      <c r="G208" s="313"/>
      <c r="H208" s="313"/>
      <c r="I208" s="313"/>
      <c r="J208" s="313"/>
      <c r="K208" s="313"/>
      <c r="L208" s="313"/>
    </row>
    <row r="209" spans="2:12">
      <c r="B209" s="313"/>
      <c r="C209" s="313"/>
      <c r="D209" s="313"/>
      <c r="E209" s="313"/>
      <c r="F209" s="313"/>
      <c r="G209" s="313"/>
      <c r="H209" s="313"/>
      <c r="I209" s="313"/>
      <c r="J209" s="313"/>
      <c r="K209" s="313"/>
      <c r="L209" s="313"/>
    </row>
    <row r="210" spans="2:12">
      <c r="B210" s="313"/>
      <c r="C210" s="313"/>
      <c r="D210" s="313"/>
      <c r="E210" s="313"/>
      <c r="F210" s="313"/>
      <c r="G210" s="313"/>
      <c r="H210" s="313"/>
      <c r="I210" s="313"/>
      <c r="J210" s="313"/>
      <c r="K210" s="313"/>
      <c r="L210" s="313"/>
    </row>
    <row r="211" spans="2:12">
      <c r="B211" s="313"/>
      <c r="C211" s="313"/>
      <c r="D211" s="313"/>
      <c r="E211" s="313"/>
      <c r="F211" s="313"/>
      <c r="G211" s="313"/>
      <c r="H211" s="313"/>
      <c r="I211" s="313"/>
      <c r="J211" s="313"/>
      <c r="K211" s="313"/>
      <c r="L211" s="313"/>
    </row>
    <row r="212" spans="2:12">
      <c r="B212" s="313"/>
      <c r="C212" s="313"/>
      <c r="D212" s="313"/>
      <c r="E212" s="313"/>
      <c r="F212" s="313"/>
      <c r="G212" s="313"/>
      <c r="H212" s="313"/>
      <c r="I212" s="313"/>
      <c r="J212" s="313"/>
      <c r="K212" s="313"/>
      <c r="L212" s="313"/>
    </row>
    <row r="213" spans="2:12">
      <c r="B213" s="313"/>
      <c r="C213" s="313"/>
      <c r="D213" s="313"/>
      <c r="E213" s="313"/>
      <c r="F213" s="313"/>
      <c r="G213" s="313"/>
      <c r="H213" s="313"/>
      <c r="I213" s="313"/>
      <c r="J213" s="313"/>
      <c r="K213" s="313"/>
      <c r="L213" s="313"/>
    </row>
    <row r="214" spans="2:12">
      <c r="B214" s="313"/>
      <c r="C214" s="313"/>
      <c r="D214" s="313"/>
      <c r="E214" s="313"/>
      <c r="F214" s="313"/>
      <c r="G214" s="313"/>
      <c r="H214" s="313"/>
      <c r="I214" s="313"/>
      <c r="J214" s="313"/>
      <c r="K214" s="313"/>
      <c r="L214" s="313"/>
    </row>
    <row r="215" spans="2:12">
      <c r="B215" s="313"/>
      <c r="C215" s="313"/>
      <c r="D215" s="313"/>
      <c r="E215" s="313"/>
      <c r="F215" s="313"/>
      <c r="G215" s="313"/>
      <c r="H215" s="313"/>
      <c r="I215" s="313"/>
      <c r="J215" s="313"/>
      <c r="K215" s="313"/>
      <c r="L215" s="313"/>
    </row>
    <row r="216" spans="2:12">
      <c r="B216" s="313"/>
      <c r="C216" s="313"/>
      <c r="D216" s="313"/>
      <c r="E216" s="313"/>
      <c r="F216" s="313"/>
      <c r="G216" s="313"/>
      <c r="H216" s="313"/>
      <c r="I216" s="313"/>
      <c r="J216" s="313"/>
      <c r="K216" s="313"/>
      <c r="L216" s="313"/>
    </row>
    <row r="217" spans="2:12">
      <c r="B217" s="313"/>
      <c r="C217" s="313"/>
      <c r="D217" s="313"/>
      <c r="E217" s="313"/>
      <c r="F217" s="313"/>
      <c r="G217" s="313"/>
      <c r="H217" s="313"/>
      <c r="I217" s="313"/>
      <c r="J217" s="313"/>
      <c r="K217" s="313"/>
      <c r="L217" s="313"/>
    </row>
    <row r="218" spans="2:12">
      <c r="B218" s="313"/>
      <c r="C218" s="313"/>
      <c r="D218" s="313"/>
      <c r="E218" s="313"/>
      <c r="F218" s="313"/>
      <c r="G218" s="313"/>
      <c r="H218" s="313"/>
      <c r="I218" s="313"/>
      <c r="J218" s="313"/>
      <c r="K218" s="313"/>
      <c r="L218" s="313"/>
    </row>
    <row r="219" spans="2:12">
      <c r="B219" s="313"/>
      <c r="C219" s="313"/>
      <c r="D219" s="313"/>
      <c r="E219" s="313"/>
      <c r="F219" s="313"/>
      <c r="G219" s="313"/>
      <c r="H219" s="313"/>
      <c r="I219" s="313"/>
      <c r="J219" s="313"/>
      <c r="K219" s="313"/>
      <c r="L219" s="313"/>
    </row>
    <row r="220" spans="2:12">
      <c r="B220" s="313"/>
      <c r="C220" s="313"/>
      <c r="D220" s="313"/>
      <c r="E220" s="313"/>
      <c r="F220" s="313"/>
      <c r="G220" s="313"/>
      <c r="H220" s="313"/>
      <c r="I220" s="313"/>
      <c r="J220" s="313"/>
      <c r="K220" s="313"/>
      <c r="L220" s="313"/>
    </row>
    <row r="221" spans="2:12">
      <c r="B221" s="313"/>
      <c r="C221" s="313"/>
      <c r="D221" s="313"/>
      <c r="E221" s="313"/>
      <c r="F221" s="313"/>
      <c r="G221" s="313"/>
      <c r="H221" s="313"/>
      <c r="I221" s="313"/>
      <c r="J221" s="313"/>
      <c r="K221" s="313"/>
      <c r="L221" s="313"/>
    </row>
    <row r="222" spans="2:12">
      <c r="B222" s="313"/>
      <c r="C222" s="313"/>
      <c r="D222" s="313"/>
      <c r="E222" s="313"/>
      <c r="F222" s="313"/>
      <c r="G222" s="313"/>
      <c r="H222" s="313"/>
      <c r="I222" s="313"/>
      <c r="J222" s="313"/>
      <c r="K222" s="313"/>
      <c r="L222" s="313"/>
    </row>
    <row r="223" spans="2:12">
      <c r="B223" s="313"/>
      <c r="C223" s="313"/>
      <c r="D223" s="313"/>
      <c r="E223" s="313"/>
      <c r="F223" s="313"/>
      <c r="G223" s="313"/>
      <c r="H223" s="313"/>
      <c r="I223" s="313"/>
      <c r="J223" s="313"/>
      <c r="K223" s="313"/>
      <c r="L223" s="313"/>
    </row>
    <row r="224" spans="2:12">
      <c r="B224" s="313"/>
      <c r="C224" s="313"/>
      <c r="D224" s="313"/>
      <c r="E224" s="313"/>
      <c r="F224" s="313"/>
      <c r="G224" s="313"/>
      <c r="H224" s="313"/>
      <c r="I224" s="313"/>
      <c r="J224" s="313"/>
      <c r="K224" s="313"/>
      <c r="L224" s="313"/>
    </row>
    <row r="225" spans="2:12">
      <c r="B225" s="313"/>
      <c r="C225" s="313"/>
      <c r="D225" s="313"/>
      <c r="E225" s="313"/>
      <c r="F225" s="313"/>
      <c r="G225" s="313"/>
      <c r="H225" s="313"/>
      <c r="I225" s="313"/>
      <c r="J225" s="313"/>
      <c r="K225" s="313"/>
      <c r="L225" s="313"/>
    </row>
    <row r="226" spans="2:12">
      <c r="B226" s="313"/>
      <c r="C226" s="313"/>
      <c r="D226" s="313"/>
      <c r="E226" s="313"/>
      <c r="F226" s="313"/>
      <c r="G226" s="313"/>
      <c r="H226" s="313"/>
      <c r="I226" s="313"/>
      <c r="J226" s="313"/>
      <c r="K226" s="313"/>
      <c r="L226" s="313"/>
    </row>
    <row r="227" spans="2:12">
      <c r="B227" s="313"/>
      <c r="C227" s="313"/>
      <c r="D227" s="313"/>
      <c r="E227" s="313"/>
      <c r="F227" s="313"/>
      <c r="G227" s="313"/>
      <c r="H227" s="313"/>
      <c r="I227" s="313"/>
      <c r="J227" s="313"/>
      <c r="K227" s="313"/>
      <c r="L227" s="313"/>
    </row>
    <row r="228" spans="2:12">
      <c r="B228" s="313"/>
      <c r="C228" s="313"/>
      <c r="D228" s="313"/>
      <c r="E228" s="313"/>
      <c r="F228" s="313"/>
      <c r="G228" s="313"/>
      <c r="H228" s="313"/>
      <c r="I228" s="313"/>
      <c r="J228" s="313"/>
      <c r="K228" s="313"/>
      <c r="L228" s="313"/>
    </row>
    <row r="229" spans="2:12">
      <c r="B229" s="313"/>
      <c r="C229" s="313"/>
      <c r="D229" s="313"/>
      <c r="E229" s="313"/>
      <c r="F229" s="313"/>
      <c r="G229" s="313"/>
      <c r="H229" s="313"/>
      <c r="I229" s="313"/>
      <c r="J229" s="313"/>
      <c r="K229" s="313"/>
      <c r="L229" s="313"/>
    </row>
    <row r="230" spans="2:12">
      <c r="B230" s="313"/>
      <c r="C230" s="313"/>
      <c r="D230" s="313"/>
      <c r="E230" s="313"/>
      <c r="F230" s="313"/>
      <c r="G230" s="313"/>
      <c r="H230" s="313"/>
      <c r="I230" s="313"/>
      <c r="J230" s="313"/>
      <c r="K230" s="313"/>
      <c r="L230" s="313"/>
    </row>
    <row r="231" spans="2:12">
      <c r="B231" s="313"/>
      <c r="C231" s="313"/>
      <c r="D231" s="313"/>
      <c r="E231" s="313"/>
      <c r="F231" s="313"/>
      <c r="G231" s="313"/>
      <c r="H231" s="313"/>
      <c r="I231" s="313"/>
      <c r="J231" s="313"/>
      <c r="K231" s="313"/>
      <c r="L231" s="313"/>
    </row>
    <row r="232" spans="2:12">
      <c r="B232" s="313"/>
      <c r="C232" s="313"/>
      <c r="D232" s="313"/>
      <c r="E232" s="313"/>
      <c r="F232" s="313"/>
      <c r="G232" s="313"/>
      <c r="H232" s="313"/>
      <c r="I232" s="313"/>
      <c r="J232" s="313"/>
      <c r="K232" s="313"/>
      <c r="L232" s="313"/>
    </row>
    <row r="233" spans="2:12">
      <c r="B233" s="313"/>
      <c r="C233" s="313"/>
      <c r="D233" s="313"/>
      <c r="E233" s="313"/>
      <c r="F233" s="313"/>
      <c r="G233" s="313"/>
      <c r="H233" s="313"/>
      <c r="I233" s="313"/>
      <c r="J233" s="313"/>
      <c r="K233" s="313"/>
      <c r="L233" s="313"/>
    </row>
    <row r="234" spans="2:12">
      <c r="B234" s="313"/>
      <c r="C234" s="313"/>
      <c r="D234" s="313"/>
      <c r="E234" s="313"/>
      <c r="F234" s="313"/>
      <c r="G234" s="313"/>
      <c r="H234" s="313"/>
      <c r="I234" s="313"/>
      <c r="J234" s="313"/>
      <c r="K234" s="313"/>
      <c r="L234" s="313"/>
    </row>
    <row r="235" spans="2:12">
      <c r="B235" s="313"/>
      <c r="C235" s="313"/>
      <c r="D235" s="313"/>
      <c r="E235" s="313"/>
      <c r="F235" s="313"/>
      <c r="G235" s="313"/>
      <c r="H235" s="313"/>
      <c r="I235" s="313"/>
      <c r="J235" s="313"/>
      <c r="K235" s="313"/>
      <c r="L235" s="313"/>
    </row>
    <row r="236" spans="2:12">
      <c r="B236" s="313"/>
      <c r="C236" s="313"/>
      <c r="D236" s="313"/>
      <c r="E236" s="313"/>
      <c r="F236" s="313"/>
      <c r="G236" s="313"/>
      <c r="H236" s="313"/>
      <c r="I236" s="313"/>
      <c r="J236" s="313"/>
      <c r="K236" s="313"/>
      <c r="L236" s="313"/>
    </row>
    <row r="237" spans="2:12">
      <c r="B237" s="313"/>
      <c r="C237" s="313"/>
      <c r="D237" s="313"/>
      <c r="E237" s="313"/>
      <c r="F237" s="313"/>
      <c r="G237" s="313"/>
      <c r="H237" s="313"/>
      <c r="I237" s="313"/>
      <c r="J237" s="313"/>
      <c r="K237" s="313"/>
      <c r="L237" s="313"/>
    </row>
    <row r="238" spans="2:12">
      <c r="B238" s="313"/>
      <c r="C238" s="313"/>
      <c r="D238" s="313"/>
      <c r="E238" s="313"/>
      <c r="F238" s="313"/>
      <c r="G238" s="313"/>
      <c r="H238" s="313"/>
      <c r="I238" s="313"/>
      <c r="J238" s="313"/>
      <c r="K238" s="313"/>
      <c r="L238" s="313"/>
    </row>
    <row r="239" spans="2:12">
      <c r="B239" s="313"/>
      <c r="C239" s="313"/>
      <c r="D239" s="313"/>
      <c r="E239" s="313"/>
      <c r="F239" s="313"/>
      <c r="G239" s="313"/>
      <c r="H239" s="313"/>
      <c r="I239" s="313"/>
      <c r="J239" s="313"/>
      <c r="K239" s="313"/>
      <c r="L239" s="313"/>
    </row>
    <row r="240" spans="2:12">
      <c r="B240" s="313"/>
      <c r="C240" s="313"/>
      <c r="D240" s="313"/>
      <c r="E240" s="313"/>
      <c r="F240" s="313"/>
      <c r="G240" s="313"/>
      <c r="H240" s="313"/>
      <c r="I240" s="313"/>
      <c r="J240" s="313"/>
      <c r="K240" s="313"/>
      <c r="L240" s="313"/>
    </row>
    <row r="241" spans="2:12">
      <c r="B241" s="313"/>
      <c r="C241" s="313"/>
      <c r="D241" s="313"/>
      <c r="E241" s="313"/>
      <c r="F241" s="313"/>
      <c r="G241" s="313"/>
      <c r="H241" s="313"/>
      <c r="I241" s="313"/>
      <c r="J241" s="313"/>
      <c r="K241" s="313"/>
      <c r="L241" s="313"/>
    </row>
    <row r="242" spans="2:12">
      <c r="B242" s="313"/>
      <c r="C242" s="313"/>
      <c r="D242" s="313"/>
      <c r="E242" s="313"/>
      <c r="F242" s="313"/>
      <c r="G242" s="313"/>
      <c r="H242" s="313"/>
      <c r="I242" s="313"/>
      <c r="J242" s="313"/>
      <c r="K242" s="313"/>
      <c r="L242" s="313"/>
    </row>
    <row r="243" spans="2:12">
      <c r="B243" s="313"/>
      <c r="C243" s="313"/>
      <c r="D243" s="313"/>
      <c r="E243" s="313"/>
      <c r="F243" s="313"/>
      <c r="G243" s="313"/>
      <c r="H243" s="313"/>
      <c r="I243" s="313"/>
      <c r="J243" s="313"/>
      <c r="K243" s="313"/>
      <c r="L243" s="313"/>
    </row>
    <row r="244" spans="2:12">
      <c r="B244" s="313"/>
      <c r="C244" s="313"/>
      <c r="D244" s="313"/>
      <c r="E244" s="313"/>
      <c r="F244" s="313"/>
      <c r="G244" s="313"/>
      <c r="H244" s="313"/>
      <c r="I244" s="313"/>
      <c r="J244" s="313"/>
      <c r="K244" s="313"/>
      <c r="L244" s="313"/>
    </row>
    <row r="245" spans="2:12">
      <c r="B245" s="313"/>
      <c r="C245" s="313"/>
      <c r="D245" s="313"/>
      <c r="E245" s="313"/>
      <c r="F245" s="313"/>
      <c r="G245" s="313"/>
      <c r="H245" s="313"/>
      <c r="I245" s="313"/>
      <c r="J245" s="313"/>
      <c r="K245" s="313"/>
      <c r="L245" s="313"/>
    </row>
    <row r="246" spans="2:12">
      <c r="B246" s="313"/>
      <c r="C246" s="313"/>
      <c r="D246" s="313"/>
      <c r="E246" s="313"/>
      <c r="F246" s="313"/>
      <c r="G246" s="313"/>
      <c r="H246" s="313"/>
      <c r="I246" s="313"/>
      <c r="J246" s="313"/>
      <c r="K246" s="313"/>
      <c r="L246" s="313"/>
    </row>
    <row r="247" spans="2:12">
      <c r="B247" s="313"/>
      <c r="C247" s="313"/>
      <c r="D247" s="313"/>
      <c r="E247" s="313"/>
      <c r="F247" s="313"/>
      <c r="G247" s="313"/>
      <c r="H247" s="313"/>
      <c r="I247" s="313"/>
      <c r="J247" s="313"/>
      <c r="K247" s="313"/>
      <c r="L247" s="313"/>
    </row>
    <row r="248" spans="2:12">
      <c r="B248" s="313"/>
      <c r="C248" s="313"/>
      <c r="D248" s="313"/>
      <c r="E248" s="313"/>
      <c r="F248" s="313"/>
      <c r="G248" s="313"/>
      <c r="H248" s="313"/>
      <c r="I248" s="313"/>
      <c r="J248" s="313"/>
      <c r="K248" s="313"/>
      <c r="L248" s="313"/>
    </row>
    <row r="249" spans="2:12">
      <c r="B249" s="313"/>
      <c r="C249" s="313"/>
      <c r="D249" s="313"/>
      <c r="E249" s="313"/>
      <c r="F249" s="313"/>
      <c r="G249" s="313"/>
      <c r="H249" s="313"/>
      <c r="I249" s="313"/>
      <c r="J249" s="313"/>
      <c r="K249" s="313"/>
      <c r="L249" s="313"/>
    </row>
    <row r="250" spans="2:12">
      <c r="B250" s="313"/>
      <c r="C250" s="313"/>
      <c r="D250" s="313"/>
      <c r="E250" s="313"/>
      <c r="F250" s="313"/>
      <c r="G250" s="313"/>
      <c r="H250" s="313"/>
      <c r="I250" s="313"/>
      <c r="J250" s="313"/>
      <c r="K250" s="313"/>
      <c r="L250" s="313"/>
    </row>
  </sheetData>
  <mergeCells count="12">
    <mergeCell ref="A5:A6"/>
    <mergeCell ref="A2:J2"/>
    <mergeCell ref="A4:J4"/>
    <mergeCell ref="A15:J15"/>
    <mergeCell ref="A13:J13"/>
    <mergeCell ref="A55:J55"/>
    <mergeCell ref="A56:J56"/>
    <mergeCell ref="A35:C35"/>
    <mergeCell ref="A17:D17"/>
    <mergeCell ref="E17:J17"/>
    <mergeCell ref="A38:J38"/>
    <mergeCell ref="E35:J35"/>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1:P56"/>
  <sheetViews>
    <sheetView showGridLines="0" view="pageBreakPreview" zoomScaleNormal="130" zoomScaleSheetLayoutView="100" zoomScalePageLayoutView="130" workbookViewId="0">
      <selection activeCell="K12" sqref="K12"/>
    </sheetView>
  </sheetViews>
  <sheetFormatPr defaultRowHeight="11.25"/>
  <cols>
    <col min="1" max="7" width="9.33203125" style="3"/>
    <col min="8" max="10" width="11.1640625" style="3" customWidth="1"/>
    <col min="11" max="11" width="12.5" style="3" customWidth="1"/>
    <col min="12" max="12" width="9.33203125" style="3" customWidth="1"/>
    <col min="13" max="16384" width="9.33203125" style="3"/>
  </cols>
  <sheetData>
    <row r="1" spans="1:16">
      <c r="A1" s="160"/>
      <c r="B1" s="160"/>
      <c r="C1" s="160"/>
      <c r="D1" s="160"/>
      <c r="E1" s="160"/>
      <c r="F1" s="160"/>
      <c r="G1" s="160"/>
      <c r="H1" s="160"/>
      <c r="I1" s="160"/>
      <c r="J1" s="160"/>
      <c r="K1" s="160"/>
      <c r="L1" s="160"/>
    </row>
    <row r="2" spans="1:16">
      <c r="A2" s="160"/>
      <c r="B2" s="160"/>
      <c r="C2" s="160"/>
      <c r="D2" s="160"/>
      <c r="E2" s="160"/>
      <c r="F2" s="160"/>
      <c r="G2" s="160"/>
      <c r="H2" s="160"/>
      <c r="I2" s="160"/>
      <c r="J2" s="160"/>
      <c r="K2" s="160"/>
      <c r="L2" s="160"/>
      <c r="M2" s="160"/>
      <c r="N2" s="160"/>
      <c r="O2" s="160"/>
      <c r="P2" s="160"/>
    </row>
    <row r="3" spans="1:16">
      <c r="A3" s="826" t="s">
        <v>0</v>
      </c>
      <c r="B3" s="826"/>
      <c r="C3" s="826"/>
      <c r="D3" s="826"/>
      <c r="E3" s="826"/>
      <c r="F3" s="826"/>
      <c r="G3" s="826"/>
      <c r="H3" s="826"/>
      <c r="I3" s="826"/>
      <c r="J3" s="826"/>
      <c r="K3" s="826"/>
      <c r="L3" s="826"/>
    </row>
    <row r="4" spans="1:16">
      <c r="A4" s="826"/>
      <c r="B4" s="826"/>
      <c r="C4" s="826"/>
      <c r="D4" s="826"/>
      <c r="E4" s="826"/>
      <c r="F4" s="826"/>
      <c r="G4" s="826"/>
      <c r="H4" s="826"/>
      <c r="I4" s="826"/>
      <c r="J4" s="826"/>
      <c r="K4" s="826"/>
      <c r="L4" s="826"/>
    </row>
    <row r="5" spans="1:16" ht="12">
      <c r="A5" s="46"/>
      <c r="B5" s="314"/>
      <c r="C5" s="4"/>
      <c r="D5" s="4"/>
      <c r="E5" s="47"/>
      <c r="F5" s="4"/>
      <c r="G5" s="4"/>
      <c r="H5" s="4"/>
      <c r="I5" s="4"/>
      <c r="J5" s="4"/>
      <c r="K5" s="4"/>
      <c r="L5" s="10" t="s">
        <v>1</v>
      </c>
    </row>
    <row r="6" spans="1:16" ht="12">
      <c r="A6" s="46"/>
      <c r="B6" s="314"/>
      <c r="C6" s="4"/>
      <c r="D6" s="4"/>
      <c r="E6" s="47"/>
      <c r="F6" s="4"/>
      <c r="G6" s="4"/>
      <c r="H6" s="4"/>
      <c r="I6" s="4"/>
      <c r="J6" s="4"/>
      <c r="K6" s="4"/>
      <c r="L6" s="7"/>
    </row>
    <row r="7" spans="1:16" ht="19.5" customHeight="1">
      <c r="A7" s="27" t="s">
        <v>568</v>
      </c>
      <c r="B7" s="315"/>
      <c r="C7" s="32"/>
      <c r="D7" s="32"/>
      <c r="E7" s="32"/>
      <c r="F7" s="32"/>
      <c r="G7" s="32"/>
      <c r="H7" s="32"/>
      <c r="I7" s="32"/>
      <c r="J7" s="32"/>
      <c r="K7" s="32"/>
      <c r="L7" s="32"/>
    </row>
    <row r="8" spans="1:16" ht="17.25" customHeight="1">
      <c r="A8" s="316"/>
      <c r="B8" s="32" t="s">
        <v>571</v>
      </c>
      <c r="C8" s="30"/>
      <c r="D8" s="30"/>
      <c r="E8" s="30"/>
      <c r="F8" s="30"/>
      <c r="G8" s="30"/>
      <c r="H8" s="30"/>
      <c r="I8" s="30"/>
      <c r="J8" s="28"/>
      <c r="K8" s="28"/>
      <c r="L8" s="31">
        <v>1</v>
      </c>
    </row>
    <row r="9" spans="1:16" ht="9.75" customHeight="1">
      <c r="A9" s="316"/>
      <c r="B9" s="32"/>
      <c r="C9" s="30"/>
      <c r="D9" s="30"/>
      <c r="E9" s="30"/>
      <c r="F9" s="30"/>
      <c r="G9" s="30"/>
      <c r="H9" s="30"/>
      <c r="I9" s="30"/>
      <c r="J9" s="30"/>
      <c r="K9" s="30"/>
      <c r="L9" s="31"/>
    </row>
    <row r="10" spans="1:16" ht="19.5" customHeight="1">
      <c r="A10" s="27" t="s">
        <v>531</v>
      </c>
      <c r="B10" s="317"/>
      <c r="C10" s="32"/>
      <c r="D10" s="32"/>
      <c r="E10" s="32"/>
      <c r="F10" s="32"/>
      <c r="G10" s="32"/>
      <c r="H10" s="32"/>
      <c r="I10" s="32"/>
      <c r="J10" s="32"/>
      <c r="K10" s="32"/>
      <c r="L10" s="34"/>
    </row>
    <row r="11" spans="1:16" ht="19.5" customHeight="1">
      <c r="A11" s="35"/>
      <c r="B11" s="32" t="s">
        <v>262</v>
      </c>
      <c r="C11" s="32"/>
      <c r="D11" s="32"/>
      <c r="E11" s="32"/>
      <c r="F11" s="28"/>
      <c r="G11" s="28"/>
      <c r="H11" s="28"/>
      <c r="I11" s="28"/>
      <c r="J11" s="28"/>
      <c r="K11" s="28"/>
      <c r="L11" s="29" t="s">
        <v>2</v>
      </c>
    </row>
    <row r="12" spans="1:16" ht="19.5" customHeight="1">
      <c r="A12" s="35"/>
      <c r="B12" s="37" t="s">
        <v>543</v>
      </c>
      <c r="C12" s="32"/>
      <c r="D12" s="32"/>
      <c r="E12" s="28"/>
      <c r="F12" s="28"/>
      <c r="G12" s="28"/>
      <c r="H12" s="28"/>
      <c r="I12" s="28"/>
      <c r="J12" s="28"/>
      <c r="K12" s="28"/>
      <c r="L12" s="29" t="s">
        <v>2</v>
      </c>
    </row>
    <row r="13" spans="1:16" ht="10.5" customHeight="1">
      <c r="A13" s="316"/>
      <c r="B13" s="30"/>
      <c r="C13" s="30"/>
      <c r="D13" s="30"/>
      <c r="E13" s="30"/>
      <c r="F13" s="30"/>
      <c r="G13" s="30"/>
      <c r="H13" s="30"/>
      <c r="I13" s="30"/>
      <c r="J13" s="30"/>
      <c r="K13" s="30"/>
      <c r="L13" s="31"/>
    </row>
    <row r="14" spans="1:16" ht="19.5" customHeight="1">
      <c r="A14" s="27" t="s">
        <v>558</v>
      </c>
      <c r="B14" s="37"/>
      <c r="C14" s="32"/>
      <c r="D14" s="32"/>
      <c r="E14" s="32"/>
      <c r="F14" s="32"/>
      <c r="G14" s="32"/>
      <c r="H14" s="32"/>
      <c r="I14" s="32"/>
      <c r="J14" s="32"/>
      <c r="K14" s="32"/>
      <c r="L14" s="34"/>
    </row>
    <row r="15" spans="1:16" ht="19.5" customHeight="1">
      <c r="A15" s="35"/>
      <c r="B15" s="32" t="s">
        <v>532</v>
      </c>
      <c r="C15" s="32"/>
      <c r="D15" s="32"/>
      <c r="E15" s="32"/>
      <c r="F15" s="28"/>
      <c r="G15" s="28"/>
      <c r="H15" s="28"/>
      <c r="I15" s="28"/>
      <c r="J15" s="28"/>
      <c r="K15" s="28"/>
      <c r="L15" s="29" t="s">
        <v>3</v>
      </c>
    </row>
    <row r="16" spans="1:16" ht="19.5" customHeight="1">
      <c r="A16" s="35"/>
      <c r="B16" s="37" t="s">
        <v>541</v>
      </c>
      <c r="C16" s="32"/>
      <c r="D16" s="32"/>
      <c r="E16" s="32"/>
      <c r="F16" s="32"/>
      <c r="G16" s="28"/>
      <c r="H16" s="28"/>
      <c r="I16" s="28"/>
      <c r="J16" s="28"/>
      <c r="K16" s="28"/>
      <c r="L16" s="29" t="s">
        <v>4</v>
      </c>
    </row>
    <row r="17" spans="1:12" ht="19.5" customHeight="1">
      <c r="A17" s="35"/>
      <c r="B17" s="37" t="s">
        <v>533</v>
      </c>
      <c r="C17" s="32"/>
      <c r="D17" s="32"/>
      <c r="E17" s="32"/>
      <c r="F17" s="32"/>
      <c r="G17" s="28"/>
      <c r="H17" s="28"/>
      <c r="I17" s="28"/>
      <c r="J17" s="28"/>
      <c r="K17" s="28"/>
      <c r="L17" s="29" t="s">
        <v>5</v>
      </c>
    </row>
    <row r="18" spans="1:12" ht="19.5" customHeight="1">
      <c r="A18" s="35"/>
      <c r="B18" s="37" t="s">
        <v>534</v>
      </c>
      <c r="C18" s="32"/>
      <c r="D18" s="32"/>
      <c r="E18" s="32"/>
      <c r="F18" s="28"/>
      <c r="G18" s="28"/>
      <c r="H18" s="28"/>
      <c r="I18" s="28"/>
      <c r="J18" s="28"/>
      <c r="K18" s="28"/>
      <c r="L18" s="29" t="s">
        <v>6</v>
      </c>
    </row>
    <row r="19" spans="1:12" ht="19.5" customHeight="1">
      <c r="A19" s="35"/>
      <c r="B19" s="318" t="s">
        <v>535</v>
      </c>
      <c r="C19" s="32"/>
      <c r="D19" s="32"/>
      <c r="E19" s="32"/>
      <c r="F19" s="32"/>
      <c r="G19" s="32"/>
      <c r="H19" s="28"/>
      <c r="I19" s="28"/>
      <c r="J19" s="28"/>
      <c r="K19" s="28"/>
      <c r="L19" s="29" t="s">
        <v>7</v>
      </c>
    </row>
    <row r="20" spans="1:12" ht="10.5" customHeight="1">
      <c r="A20" s="35"/>
      <c r="B20" s="37"/>
      <c r="C20" s="32"/>
      <c r="D20" s="32"/>
      <c r="E20" s="32"/>
      <c r="F20" s="32"/>
      <c r="G20" s="32"/>
      <c r="H20" s="32"/>
      <c r="I20" s="32"/>
      <c r="J20" s="32"/>
      <c r="K20" s="32"/>
      <c r="L20" s="29"/>
    </row>
    <row r="21" spans="1:12" ht="19.5" customHeight="1">
      <c r="A21" s="27" t="s">
        <v>557</v>
      </c>
      <c r="B21" s="316"/>
      <c r="C21" s="37"/>
      <c r="D21" s="32"/>
      <c r="E21" s="32"/>
      <c r="F21" s="32"/>
      <c r="G21" s="32"/>
      <c r="H21" s="32"/>
      <c r="I21" s="32"/>
      <c r="J21" s="32"/>
      <c r="K21" s="32"/>
      <c r="L21" s="39"/>
    </row>
    <row r="22" spans="1:12" ht="19.5" customHeight="1">
      <c r="A22" s="316"/>
      <c r="B22" s="32" t="s">
        <v>559</v>
      </c>
      <c r="C22" s="32"/>
      <c r="D22" s="32"/>
      <c r="E22" s="32"/>
      <c r="F22" s="32"/>
      <c r="G22" s="28"/>
      <c r="H22" s="28"/>
      <c r="I22" s="28"/>
      <c r="J22" s="28"/>
      <c r="K22" s="28"/>
      <c r="L22" s="29" t="s">
        <v>9</v>
      </c>
    </row>
    <row r="23" spans="1:12" ht="19.5" customHeight="1">
      <c r="A23" s="40"/>
      <c r="B23" s="32" t="s">
        <v>560</v>
      </c>
      <c r="C23" s="32"/>
      <c r="D23" s="32"/>
      <c r="E23" s="32"/>
      <c r="F23" s="32"/>
      <c r="G23" s="32"/>
      <c r="H23" s="32"/>
      <c r="I23" s="28"/>
      <c r="J23" s="28"/>
      <c r="K23" s="28"/>
      <c r="L23" s="29" t="s">
        <v>10</v>
      </c>
    </row>
    <row r="24" spans="1:12" ht="10.5" customHeight="1">
      <c r="A24" s="40"/>
      <c r="B24" s="33"/>
      <c r="C24" s="41"/>
      <c r="D24" s="33"/>
      <c r="E24" s="33"/>
      <c r="F24" s="33"/>
      <c r="G24" s="33"/>
      <c r="H24" s="33"/>
      <c r="I24" s="33"/>
      <c r="J24" s="33"/>
      <c r="K24" s="33"/>
      <c r="L24" s="29"/>
    </row>
    <row r="25" spans="1:12" ht="19.5" customHeight="1">
      <c r="A25" s="27" t="s">
        <v>302</v>
      </c>
      <c r="B25" s="316"/>
      <c r="C25" s="37"/>
      <c r="D25" s="32"/>
      <c r="E25" s="32"/>
      <c r="F25" s="32"/>
      <c r="G25" s="32"/>
      <c r="H25" s="32"/>
      <c r="I25" s="32"/>
      <c r="J25" s="32"/>
      <c r="K25" s="32"/>
      <c r="L25" s="39"/>
    </row>
    <row r="26" spans="1:12" ht="19.5" customHeight="1">
      <c r="A26" s="316"/>
      <c r="B26" s="32" t="s">
        <v>562</v>
      </c>
      <c r="C26" s="32"/>
      <c r="D26" s="32"/>
      <c r="E26" s="32"/>
      <c r="F26" s="28"/>
      <c r="G26" s="28"/>
      <c r="H26" s="28"/>
      <c r="I26" s="28"/>
      <c r="J26" s="28"/>
      <c r="K26" s="42"/>
      <c r="L26" s="29" t="s">
        <v>11</v>
      </c>
    </row>
    <row r="27" spans="1:12" ht="19.5" customHeight="1">
      <c r="A27" s="316"/>
      <c r="B27" s="32" t="s">
        <v>536</v>
      </c>
      <c r="C27" s="32"/>
      <c r="D27" s="32"/>
      <c r="E27" s="32"/>
      <c r="F27" s="32"/>
      <c r="G27" s="28"/>
      <c r="H27" s="28"/>
      <c r="I27" s="28"/>
      <c r="J27" s="28"/>
      <c r="K27" s="42"/>
      <c r="L27" s="29" t="s">
        <v>11</v>
      </c>
    </row>
    <row r="28" spans="1:12" ht="19.5" customHeight="1">
      <c r="A28" s="40"/>
      <c r="B28" s="32" t="s">
        <v>561</v>
      </c>
      <c r="C28" s="32"/>
      <c r="D28" s="32"/>
      <c r="E28" s="32"/>
      <c r="F28" s="28"/>
      <c r="G28" s="28"/>
      <c r="H28" s="42"/>
      <c r="I28" s="42"/>
      <c r="J28" s="42"/>
      <c r="K28" s="42"/>
      <c r="L28" s="29" t="s">
        <v>12</v>
      </c>
    </row>
    <row r="29" spans="1:12" ht="19.5" customHeight="1">
      <c r="A29" s="40"/>
      <c r="B29" s="32" t="s">
        <v>542</v>
      </c>
      <c r="C29" s="32"/>
      <c r="D29" s="32"/>
      <c r="E29" s="28"/>
      <c r="F29" s="42"/>
      <c r="G29" s="42"/>
      <c r="H29" s="42"/>
      <c r="I29" s="42"/>
      <c r="J29" s="42"/>
      <c r="K29" s="42"/>
      <c r="L29" s="29" t="s">
        <v>12</v>
      </c>
    </row>
    <row r="30" spans="1:12" ht="10.5" customHeight="1">
      <c r="A30" s="40"/>
      <c r="B30" s="32"/>
      <c r="C30" s="32"/>
      <c r="D30" s="32"/>
      <c r="E30" s="32"/>
      <c r="F30" s="32"/>
      <c r="G30" s="32"/>
      <c r="H30" s="32"/>
      <c r="I30" s="32"/>
      <c r="J30" s="32"/>
      <c r="K30" s="32"/>
      <c r="L30" s="29"/>
    </row>
    <row r="31" spans="1:12" ht="19.5" customHeight="1">
      <c r="A31" s="27" t="s">
        <v>549</v>
      </c>
      <c r="B31" s="32"/>
      <c r="C31" s="32"/>
      <c r="D31" s="32"/>
      <c r="E31" s="32"/>
      <c r="F31" s="32"/>
      <c r="G31" s="32"/>
      <c r="H31" s="32"/>
      <c r="I31" s="32"/>
      <c r="J31" s="32"/>
      <c r="K31" s="32"/>
      <c r="L31" s="29"/>
    </row>
    <row r="32" spans="1:12" ht="19.5" customHeight="1">
      <c r="A32" s="40"/>
      <c r="B32" s="32" t="s">
        <v>563</v>
      </c>
      <c r="C32" s="32"/>
      <c r="D32" s="32"/>
      <c r="E32" s="32"/>
      <c r="F32" s="32"/>
      <c r="G32" s="28"/>
      <c r="H32" s="28"/>
      <c r="I32" s="28"/>
      <c r="J32" s="28"/>
      <c r="K32" s="28"/>
      <c r="L32" s="29" t="s">
        <v>13</v>
      </c>
    </row>
    <row r="33" spans="1:12" ht="19.5" customHeight="1">
      <c r="A33" s="40"/>
      <c r="B33" s="32" t="s">
        <v>537</v>
      </c>
      <c r="C33" s="32"/>
      <c r="D33" s="32"/>
      <c r="E33" s="32"/>
      <c r="F33" s="32"/>
      <c r="G33" s="32"/>
      <c r="H33" s="28"/>
      <c r="I33" s="28"/>
      <c r="J33" s="28"/>
      <c r="K33" s="28"/>
      <c r="L33" s="29" t="s">
        <v>14</v>
      </c>
    </row>
    <row r="34" spans="1:12" ht="10.5" customHeight="1">
      <c r="A34" s="40"/>
      <c r="B34" s="32"/>
      <c r="C34" s="32"/>
      <c r="D34" s="32"/>
      <c r="E34" s="32"/>
      <c r="F34" s="32"/>
      <c r="G34" s="32"/>
      <c r="H34" s="32"/>
      <c r="I34" s="32"/>
      <c r="J34" s="32"/>
      <c r="K34" s="32"/>
      <c r="L34" s="29"/>
    </row>
    <row r="35" spans="1:12" ht="19.5" customHeight="1">
      <c r="A35" s="27" t="s">
        <v>538</v>
      </c>
      <c r="B35" s="33"/>
      <c r="C35" s="41"/>
      <c r="D35" s="33"/>
      <c r="E35" s="33"/>
      <c r="F35" s="33"/>
      <c r="G35" s="33"/>
      <c r="H35" s="33"/>
      <c r="I35" s="33"/>
      <c r="J35" s="33"/>
      <c r="K35" s="33"/>
      <c r="L35" s="29"/>
    </row>
    <row r="36" spans="1:12" ht="19.5" customHeight="1">
      <c r="A36" s="35"/>
      <c r="B36" s="32" t="s">
        <v>564</v>
      </c>
      <c r="C36" s="32"/>
      <c r="D36" s="32"/>
      <c r="E36" s="32"/>
      <c r="F36" s="28"/>
      <c r="G36" s="28"/>
      <c r="H36" s="28"/>
      <c r="I36" s="28"/>
      <c r="J36" s="28"/>
      <c r="K36" s="28"/>
      <c r="L36" s="29" t="s">
        <v>15</v>
      </c>
    </row>
    <row r="37" spans="1:12" ht="10.5" customHeight="1">
      <c r="A37" s="35"/>
      <c r="B37" s="32"/>
      <c r="C37" s="32"/>
      <c r="D37" s="32"/>
      <c r="E37" s="32"/>
      <c r="F37" s="32"/>
      <c r="G37" s="32"/>
      <c r="H37" s="32"/>
      <c r="I37" s="32"/>
      <c r="J37" s="32"/>
      <c r="K37" s="32"/>
      <c r="L37" s="29"/>
    </row>
    <row r="38" spans="1:12" ht="19.5" customHeight="1">
      <c r="A38" s="27" t="s">
        <v>539</v>
      </c>
      <c r="B38" s="44"/>
      <c r="C38" s="32"/>
      <c r="D38" s="32"/>
      <c r="E38" s="32"/>
      <c r="F38" s="32"/>
      <c r="G38" s="32"/>
      <c r="H38" s="32"/>
      <c r="I38" s="32"/>
      <c r="J38" s="32"/>
      <c r="K38" s="32"/>
      <c r="L38" s="48"/>
    </row>
    <row r="39" spans="1:12" ht="19.5" customHeight="1">
      <c r="A39" s="35"/>
      <c r="B39" s="32" t="s">
        <v>540</v>
      </c>
      <c r="C39" s="32"/>
      <c r="D39" s="32"/>
      <c r="E39" s="32"/>
      <c r="F39" s="32"/>
      <c r="G39" s="32"/>
      <c r="H39" s="28"/>
      <c r="I39" s="28"/>
      <c r="J39" s="28"/>
      <c r="K39" s="28"/>
      <c r="L39" s="29" t="s">
        <v>16</v>
      </c>
    </row>
    <row r="40" spans="1:12" ht="10.5" customHeight="1">
      <c r="A40" s="316"/>
      <c r="B40" s="32"/>
      <c r="C40" s="32"/>
      <c r="D40" s="32"/>
      <c r="E40" s="32"/>
      <c r="F40" s="32"/>
      <c r="G40" s="32"/>
      <c r="H40" s="32"/>
      <c r="I40" s="32"/>
      <c r="J40" s="32"/>
      <c r="K40" s="32"/>
      <c r="L40" s="29"/>
    </row>
    <row r="41" spans="1:12" ht="19.5" customHeight="1">
      <c r="A41" s="27" t="s">
        <v>236</v>
      </c>
      <c r="B41" s="32"/>
      <c r="C41" s="32"/>
      <c r="D41" s="32"/>
      <c r="E41" s="32"/>
      <c r="F41" s="32"/>
      <c r="G41" s="32"/>
      <c r="H41" s="32"/>
      <c r="I41" s="32"/>
      <c r="J41" s="32"/>
      <c r="K41" s="32"/>
      <c r="L41" s="29"/>
    </row>
    <row r="42" spans="1:12" ht="19.5" customHeight="1">
      <c r="A42" s="27" t="s">
        <v>17</v>
      </c>
      <c r="B42" s="32"/>
      <c r="C42" s="32"/>
      <c r="D42" s="32"/>
      <c r="E42" s="32"/>
      <c r="F42" s="32"/>
      <c r="G42" s="32"/>
      <c r="H42" s="32"/>
      <c r="I42" s="36"/>
      <c r="J42" s="36"/>
      <c r="K42" s="36"/>
      <c r="L42" s="29" t="s">
        <v>18</v>
      </c>
    </row>
    <row r="43" spans="1:12" ht="19.5" customHeight="1">
      <c r="A43" s="27" t="s">
        <v>565</v>
      </c>
      <c r="B43" s="32"/>
      <c r="C43" s="32"/>
      <c r="D43" s="32"/>
      <c r="E43" s="32"/>
      <c r="F43" s="28"/>
      <c r="G43" s="28"/>
      <c r="H43" s="28"/>
      <c r="I43" s="28"/>
      <c r="J43" s="28"/>
      <c r="K43" s="28"/>
      <c r="L43" s="29" t="s">
        <v>19</v>
      </c>
    </row>
    <row r="44" spans="1:12" ht="19.5" customHeight="1">
      <c r="A44" s="27" t="s">
        <v>20</v>
      </c>
      <c r="B44" s="32"/>
      <c r="C44" s="32"/>
      <c r="D44" s="32"/>
      <c r="E44" s="28"/>
      <c r="F44" s="28"/>
      <c r="G44" s="28"/>
      <c r="H44" s="28"/>
      <c r="I44" s="28"/>
      <c r="J44" s="28"/>
      <c r="K44" s="28"/>
      <c r="L44" s="29" t="s">
        <v>21</v>
      </c>
    </row>
    <row r="45" spans="1:12">
      <c r="A45" s="160"/>
      <c r="B45" s="160"/>
      <c r="C45" s="160"/>
      <c r="D45" s="160"/>
      <c r="E45" s="160"/>
      <c r="F45" s="160"/>
      <c r="G45" s="160"/>
      <c r="H45" s="160"/>
      <c r="I45" s="160"/>
      <c r="J45" s="160"/>
      <c r="K45" s="160"/>
      <c r="L45" s="160"/>
    </row>
    <row r="47" spans="1:12" ht="12">
      <c r="A47" s="14"/>
      <c r="B47" s="14"/>
      <c r="C47" s="14"/>
      <c r="D47" s="14"/>
      <c r="E47" s="14"/>
      <c r="F47" s="14"/>
      <c r="G47" s="14"/>
      <c r="H47" s="14"/>
      <c r="I47" s="14"/>
      <c r="J47" s="14"/>
      <c r="K47" s="14"/>
      <c r="L47" s="14"/>
    </row>
    <row r="48" spans="1:12" ht="12">
      <c r="A48" s="14"/>
      <c r="B48" s="14"/>
      <c r="C48" s="14"/>
      <c r="D48" s="14"/>
      <c r="E48" s="14"/>
      <c r="F48" s="14"/>
      <c r="G48" s="14"/>
      <c r="H48" s="14"/>
      <c r="I48" s="14"/>
      <c r="J48" s="14"/>
      <c r="K48" s="14"/>
      <c r="L48" s="14"/>
    </row>
    <row r="49" spans="1:12" ht="12">
      <c r="A49" s="14"/>
      <c r="B49" s="14"/>
      <c r="C49" s="14"/>
      <c r="D49" s="14"/>
      <c r="E49" s="14"/>
      <c r="F49" s="14"/>
      <c r="G49" s="14"/>
      <c r="H49" s="14"/>
      <c r="I49" s="14"/>
      <c r="J49" s="14"/>
      <c r="K49" s="14"/>
      <c r="L49" s="14"/>
    </row>
    <row r="50" spans="1:12" ht="12">
      <c r="A50" s="14"/>
      <c r="B50" s="14"/>
      <c r="C50" s="14"/>
      <c r="D50" s="14"/>
      <c r="E50" s="14"/>
      <c r="F50" s="14"/>
      <c r="G50" s="14"/>
      <c r="H50" s="14"/>
      <c r="I50" s="14"/>
      <c r="J50" s="14"/>
      <c r="K50" s="14"/>
      <c r="L50" s="14"/>
    </row>
    <row r="51" spans="1:12" ht="12">
      <c r="A51" s="14"/>
      <c r="B51" s="14"/>
      <c r="C51" s="14"/>
      <c r="D51" s="14"/>
      <c r="E51" s="14"/>
      <c r="F51" s="14"/>
      <c r="G51" s="14"/>
      <c r="H51" s="14"/>
      <c r="I51" s="14"/>
      <c r="J51" s="14"/>
      <c r="K51" s="14"/>
      <c r="L51" s="14"/>
    </row>
    <row r="52" spans="1:12" ht="12">
      <c r="A52" s="14"/>
      <c r="B52" s="14"/>
      <c r="C52" s="14"/>
      <c r="D52" s="14"/>
      <c r="E52" s="14"/>
      <c r="F52" s="14"/>
      <c r="G52" s="14"/>
      <c r="H52" s="14"/>
      <c r="I52" s="14"/>
      <c r="J52" s="14"/>
      <c r="K52" s="14"/>
      <c r="L52" s="14"/>
    </row>
    <row r="53" spans="1:12" ht="12">
      <c r="A53" s="14"/>
      <c r="B53" s="14"/>
      <c r="C53" s="14"/>
      <c r="D53" s="14"/>
      <c r="E53" s="14"/>
      <c r="F53" s="14"/>
      <c r="G53" s="14"/>
      <c r="H53" s="14"/>
      <c r="I53" s="14"/>
      <c r="J53" s="14"/>
      <c r="K53" s="14"/>
      <c r="L53" s="14"/>
    </row>
    <row r="54" spans="1:12" ht="12">
      <c r="A54" s="14"/>
      <c r="B54" s="14"/>
      <c r="C54" s="14"/>
      <c r="D54" s="14"/>
      <c r="E54" s="14"/>
      <c r="F54" s="14"/>
      <c r="G54" s="14"/>
      <c r="H54" s="14"/>
      <c r="I54" s="14"/>
      <c r="J54" s="14"/>
      <c r="K54" s="14"/>
      <c r="L54" s="14"/>
    </row>
    <row r="55" spans="1:12" ht="12">
      <c r="A55" s="14"/>
      <c r="B55" s="14"/>
      <c r="C55" s="14"/>
      <c r="D55" s="14"/>
      <c r="E55" s="14"/>
      <c r="F55" s="14"/>
      <c r="G55" s="14"/>
      <c r="H55" s="14"/>
      <c r="I55" s="14"/>
      <c r="J55" s="14"/>
      <c r="K55" s="14"/>
      <c r="L55" s="14"/>
    </row>
    <row r="56" spans="1:12" ht="12">
      <c r="A56" s="14"/>
      <c r="B56" s="14"/>
      <c r="C56" s="14"/>
      <c r="D56" s="14"/>
      <c r="E56" s="14"/>
      <c r="F56" s="14"/>
      <c r="G56" s="14"/>
      <c r="H56" s="14"/>
      <c r="I56" s="14"/>
      <c r="J56" s="14"/>
      <c r="K56" s="14"/>
      <c r="L56" s="14"/>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M165"/>
  <sheetViews>
    <sheetView showGridLines="0" view="pageBreakPreview" zoomScale="130" zoomScaleNormal="100" zoomScaleSheetLayoutView="130" zoomScalePageLayoutView="145" workbookViewId="0">
      <selection activeCell="B19" sqref="B19"/>
    </sheetView>
  </sheetViews>
  <sheetFormatPr defaultRowHeight="11.25"/>
  <cols>
    <col min="1" max="1" width="21.83203125" style="50" customWidth="1"/>
    <col min="2" max="2" width="20.83203125" style="50" customWidth="1"/>
    <col min="3" max="3" width="15.83203125" style="50" customWidth="1"/>
    <col min="4" max="4" width="17" style="50" customWidth="1"/>
    <col min="5" max="5" width="13.5" style="50" customWidth="1"/>
    <col min="6" max="6" width="13.83203125" style="50" customWidth="1"/>
    <col min="7" max="7" width="14.5" style="50" customWidth="1"/>
    <col min="8" max="9" width="9.33203125" style="50"/>
    <col min="10" max="11" width="9.33203125" style="50" customWidth="1"/>
    <col min="12" max="13" width="9.33203125" style="50"/>
    <col min="14" max="16384" width="9.33203125" style="3"/>
  </cols>
  <sheetData>
    <row r="1" spans="1:12" ht="11.25" customHeight="1">
      <c r="A1" s="486" t="s">
        <v>343</v>
      </c>
      <c r="B1" s="471"/>
      <c r="C1" s="471"/>
      <c r="D1" s="471"/>
      <c r="E1" s="471"/>
      <c r="F1" s="471"/>
      <c r="G1" s="471"/>
    </row>
    <row r="2" spans="1:12" ht="14.25" customHeight="1">
      <c r="A2" s="920" t="s">
        <v>299</v>
      </c>
      <c r="B2" s="923" t="s">
        <v>57</v>
      </c>
      <c r="C2" s="926" t="str">
        <f>"ENERGÍA PRODUCIDA "&amp;UPPER('1. Resumen'!Q4)&amp;" "&amp;'1. Resumen'!Q5</f>
        <v>ENERGÍA PRODUCIDA FEBRERO 2018</v>
      </c>
      <c r="D2" s="926"/>
      <c r="E2" s="926"/>
      <c r="F2" s="926"/>
      <c r="G2" s="487" t="s">
        <v>344</v>
      </c>
      <c r="H2" s="284"/>
      <c r="I2" s="284"/>
      <c r="J2" s="284"/>
      <c r="K2" s="284"/>
    </row>
    <row r="3" spans="1:12" ht="11.25" customHeight="1">
      <c r="A3" s="921"/>
      <c r="B3" s="924"/>
      <c r="C3" s="927" t="s">
        <v>345</v>
      </c>
      <c r="D3" s="927"/>
      <c r="E3" s="927"/>
      <c r="F3" s="928" t="str">
        <f>"TOTAL 
"&amp;UPPER('1. Resumen'!Q4)</f>
        <v>TOTAL 
FEBRERO</v>
      </c>
      <c r="G3" s="488" t="s">
        <v>346</v>
      </c>
      <c r="H3" s="273"/>
      <c r="I3" s="273"/>
      <c r="J3" s="273"/>
      <c r="K3" s="273"/>
      <c r="L3" s="274"/>
    </row>
    <row r="4" spans="1:12" ht="12.75" customHeight="1">
      <c r="A4" s="921"/>
      <c r="B4" s="924"/>
      <c r="C4" s="472" t="s">
        <v>251</v>
      </c>
      <c r="D4" s="472" t="s">
        <v>252</v>
      </c>
      <c r="E4" s="472" t="s">
        <v>347</v>
      </c>
      <c r="F4" s="929"/>
      <c r="G4" s="488">
        <v>2018</v>
      </c>
      <c r="H4" s="276"/>
      <c r="I4" s="275"/>
      <c r="J4" s="275"/>
      <c r="K4" s="275"/>
      <c r="L4" s="274"/>
    </row>
    <row r="5" spans="1:12" ht="11.25" customHeight="1">
      <c r="A5" s="922"/>
      <c r="B5" s="925"/>
      <c r="C5" s="489" t="s">
        <v>348</v>
      </c>
      <c r="D5" s="489" t="s">
        <v>348</v>
      </c>
      <c r="E5" s="489" t="s">
        <v>348</v>
      </c>
      <c r="F5" s="489" t="s">
        <v>348</v>
      </c>
      <c r="G5" s="490" t="s">
        <v>232</v>
      </c>
      <c r="H5" s="276"/>
      <c r="I5" s="276"/>
      <c r="J5" s="276"/>
      <c r="K5" s="276"/>
      <c r="L5" s="12"/>
    </row>
    <row r="6" spans="1:12" ht="11.25" customHeight="1">
      <c r="A6" s="481" t="s">
        <v>133</v>
      </c>
      <c r="B6" s="473" t="s">
        <v>95</v>
      </c>
      <c r="C6" s="725"/>
      <c r="D6" s="725"/>
      <c r="E6" s="725">
        <v>0</v>
      </c>
      <c r="F6" s="474">
        <v>0</v>
      </c>
      <c r="G6" s="475">
        <v>0</v>
      </c>
      <c r="H6" s="276"/>
      <c r="I6" s="276"/>
      <c r="J6" s="276"/>
      <c r="K6" s="276"/>
      <c r="L6" s="7"/>
    </row>
    <row r="7" spans="1:12" ht="11.25" customHeight="1">
      <c r="A7" s="482" t="s">
        <v>349</v>
      </c>
      <c r="B7" s="483"/>
      <c r="C7" s="726"/>
      <c r="D7" s="726"/>
      <c r="E7" s="726">
        <v>0</v>
      </c>
      <c r="F7" s="484">
        <v>0</v>
      </c>
      <c r="G7" s="485">
        <v>0</v>
      </c>
      <c r="H7" s="276"/>
      <c r="I7" s="276"/>
      <c r="J7" s="276"/>
      <c r="K7" s="276"/>
      <c r="L7" s="20"/>
    </row>
    <row r="8" spans="1:12" ht="11.25" customHeight="1">
      <c r="A8" s="476" t="s">
        <v>132</v>
      </c>
      <c r="B8" s="477" t="s">
        <v>67</v>
      </c>
      <c r="C8" s="727"/>
      <c r="D8" s="727"/>
      <c r="E8" s="727">
        <v>11852.31337</v>
      </c>
      <c r="F8" s="478">
        <v>11852.31337</v>
      </c>
      <c r="G8" s="479">
        <v>18827.88969</v>
      </c>
      <c r="H8" s="276"/>
      <c r="I8" s="276"/>
      <c r="J8" s="276"/>
      <c r="K8" s="276"/>
      <c r="L8" s="16"/>
    </row>
    <row r="9" spans="1:12" ht="11.25" customHeight="1">
      <c r="A9" s="482" t="s">
        <v>350</v>
      </c>
      <c r="B9" s="483"/>
      <c r="C9" s="726"/>
      <c r="D9" s="726"/>
      <c r="E9" s="726">
        <v>11852.31337</v>
      </c>
      <c r="F9" s="484">
        <v>11852.31337</v>
      </c>
      <c r="G9" s="485">
        <v>18827.88969</v>
      </c>
      <c r="H9" s="276"/>
      <c r="I9" s="276"/>
      <c r="J9" s="276"/>
      <c r="K9" s="277"/>
      <c r="L9" s="29"/>
    </row>
    <row r="10" spans="1:12" ht="11.25" customHeight="1">
      <c r="A10" s="476" t="s">
        <v>116</v>
      </c>
      <c r="B10" s="477" t="s">
        <v>92</v>
      </c>
      <c r="C10" s="727"/>
      <c r="D10" s="727"/>
      <c r="E10" s="727">
        <v>6631.8301625000004</v>
      </c>
      <c r="F10" s="478">
        <v>6631.8301625000004</v>
      </c>
      <c r="G10" s="479">
        <v>13479.742937499999</v>
      </c>
      <c r="H10" s="276"/>
      <c r="I10" s="276"/>
      <c r="J10" s="276"/>
      <c r="K10" s="277"/>
      <c r="L10" s="29"/>
    </row>
    <row r="11" spans="1:12" ht="11.25" customHeight="1">
      <c r="A11" s="482" t="s">
        <v>351</v>
      </c>
      <c r="B11" s="483"/>
      <c r="C11" s="726"/>
      <c r="D11" s="726"/>
      <c r="E11" s="726">
        <v>6631.8301625000004</v>
      </c>
      <c r="F11" s="484">
        <v>6631.8301625000004</v>
      </c>
      <c r="G11" s="485">
        <v>13479.742937499999</v>
      </c>
      <c r="H11" s="276"/>
      <c r="I11" s="276"/>
      <c r="J11" s="276"/>
      <c r="K11" s="277"/>
      <c r="L11" s="29"/>
    </row>
    <row r="12" spans="1:12" ht="11.25" customHeight="1">
      <c r="A12" s="476" t="s">
        <v>103</v>
      </c>
      <c r="B12" s="477" t="s">
        <v>352</v>
      </c>
      <c r="C12" s="727">
        <v>143584.165725</v>
      </c>
      <c r="D12" s="727"/>
      <c r="E12" s="727"/>
      <c r="F12" s="478">
        <v>143584.165725</v>
      </c>
      <c r="G12" s="479">
        <v>290393.80757</v>
      </c>
      <c r="H12" s="276"/>
      <c r="I12" s="276"/>
      <c r="J12" s="276"/>
      <c r="K12" s="277"/>
      <c r="L12" s="29"/>
    </row>
    <row r="13" spans="1:12" ht="11.25" customHeight="1">
      <c r="A13" s="482" t="s">
        <v>353</v>
      </c>
      <c r="B13" s="483"/>
      <c r="C13" s="726">
        <v>143584.165725</v>
      </c>
      <c r="D13" s="726"/>
      <c r="E13" s="726"/>
      <c r="F13" s="484">
        <v>143584.165725</v>
      </c>
      <c r="G13" s="485">
        <v>290393.80757</v>
      </c>
      <c r="H13" s="276"/>
      <c r="I13" s="276"/>
      <c r="J13" s="276"/>
      <c r="K13" s="277"/>
      <c r="L13" s="31"/>
    </row>
    <row r="14" spans="1:12" ht="11.25" customHeight="1">
      <c r="A14" s="480" t="s">
        <v>280</v>
      </c>
      <c r="B14" s="477" t="s">
        <v>354</v>
      </c>
      <c r="C14" s="727"/>
      <c r="D14" s="727">
        <v>0</v>
      </c>
      <c r="E14" s="727"/>
      <c r="F14" s="478">
        <v>0</v>
      </c>
      <c r="G14" s="479">
        <v>0</v>
      </c>
      <c r="H14" s="276"/>
      <c r="I14" s="276"/>
      <c r="J14" s="276"/>
      <c r="K14" s="277"/>
      <c r="L14" s="29"/>
    </row>
    <row r="15" spans="1:12" ht="11.25" customHeight="1">
      <c r="A15" s="482" t="s">
        <v>355</v>
      </c>
      <c r="B15" s="483"/>
      <c r="C15" s="726"/>
      <c r="D15" s="726">
        <v>0</v>
      </c>
      <c r="E15" s="726"/>
      <c r="F15" s="484">
        <v>0</v>
      </c>
      <c r="G15" s="485">
        <v>0</v>
      </c>
      <c r="H15" s="276"/>
      <c r="I15" s="276"/>
      <c r="J15" s="276"/>
      <c r="K15" s="277"/>
      <c r="L15" s="29"/>
    </row>
    <row r="16" spans="1:12" ht="11.25" customHeight="1">
      <c r="A16" s="480" t="s">
        <v>102</v>
      </c>
      <c r="B16" s="477" t="s">
        <v>356</v>
      </c>
      <c r="C16" s="727">
        <v>92427.901894999988</v>
      </c>
      <c r="D16" s="727"/>
      <c r="E16" s="727"/>
      <c r="F16" s="478">
        <v>92427.901894999988</v>
      </c>
      <c r="G16" s="479">
        <v>196565.58849249998</v>
      </c>
      <c r="H16" s="276"/>
      <c r="I16" s="276"/>
      <c r="J16" s="276"/>
      <c r="K16" s="277"/>
      <c r="L16" s="29"/>
    </row>
    <row r="17" spans="1:12" ht="11.25" customHeight="1">
      <c r="A17" s="480"/>
      <c r="B17" s="477" t="s">
        <v>357</v>
      </c>
      <c r="C17" s="727">
        <v>25237.288385</v>
      </c>
      <c r="D17" s="727"/>
      <c r="E17" s="727"/>
      <c r="F17" s="478">
        <v>25237.288385</v>
      </c>
      <c r="G17" s="479">
        <v>55077.580044999995</v>
      </c>
      <c r="H17" s="276"/>
      <c r="I17" s="276"/>
      <c r="J17" s="276"/>
      <c r="K17" s="277"/>
      <c r="L17" s="29"/>
    </row>
    <row r="18" spans="1:12" ht="11.25" customHeight="1">
      <c r="A18" s="482" t="s">
        <v>358</v>
      </c>
      <c r="B18" s="483"/>
      <c r="C18" s="726">
        <v>117665.19027999998</v>
      </c>
      <c r="D18" s="726"/>
      <c r="E18" s="726"/>
      <c r="F18" s="484">
        <v>117665.19027999998</v>
      </c>
      <c r="G18" s="485">
        <v>251643.16853749997</v>
      </c>
      <c r="H18" s="276"/>
      <c r="I18" s="276"/>
      <c r="J18" s="276"/>
      <c r="K18" s="277"/>
      <c r="L18" s="29"/>
    </row>
    <row r="19" spans="1:12" ht="11.25" customHeight="1">
      <c r="A19" s="480" t="s">
        <v>128</v>
      </c>
      <c r="B19" s="477" t="s">
        <v>94</v>
      </c>
      <c r="C19" s="727"/>
      <c r="D19" s="727"/>
      <c r="E19" s="727">
        <v>1218.9493975</v>
      </c>
      <c r="F19" s="478">
        <v>1218.9493975</v>
      </c>
      <c r="G19" s="479">
        <v>1218.9493975</v>
      </c>
      <c r="H19" s="276"/>
      <c r="I19" s="276"/>
      <c r="J19" s="276"/>
      <c r="K19" s="277"/>
      <c r="L19" s="39"/>
    </row>
    <row r="20" spans="1:12" ht="11.25" customHeight="1">
      <c r="A20" s="482" t="s">
        <v>478</v>
      </c>
      <c r="B20" s="483"/>
      <c r="C20" s="726"/>
      <c r="D20" s="726"/>
      <c r="E20" s="726">
        <v>1218.9493975</v>
      </c>
      <c r="F20" s="484">
        <v>1218.9493975</v>
      </c>
      <c r="G20" s="485">
        <v>1218.9493975</v>
      </c>
      <c r="H20" s="276"/>
      <c r="I20" s="276"/>
      <c r="J20" s="276"/>
      <c r="K20" s="277"/>
      <c r="L20" s="29"/>
    </row>
    <row r="21" spans="1:12" ht="11.25" customHeight="1">
      <c r="A21" s="480" t="s">
        <v>100</v>
      </c>
      <c r="B21" s="477" t="s">
        <v>359</v>
      </c>
      <c r="C21" s="727">
        <v>986.42798749999997</v>
      </c>
      <c r="D21" s="727"/>
      <c r="E21" s="727"/>
      <c r="F21" s="478">
        <v>986.42798749999997</v>
      </c>
      <c r="G21" s="479">
        <v>2214.5200749999999</v>
      </c>
      <c r="H21" s="276"/>
      <c r="I21" s="276"/>
      <c r="J21" s="276"/>
      <c r="K21" s="277"/>
      <c r="L21" s="29"/>
    </row>
    <row r="22" spans="1:12" ht="11.25" customHeight="1">
      <c r="A22" s="480"/>
      <c r="B22" s="477" t="s">
        <v>360</v>
      </c>
      <c r="C22" s="727">
        <v>375.8071625</v>
      </c>
      <c r="D22" s="727"/>
      <c r="E22" s="727"/>
      <c r="F22" s="478">
        <v>375.8071625</v>
      </c>
      <c r="G22" s="479">
        <v>799.27794749999998</v>
      </c>
      <c r="H22" s="276"/>
      <c r="I22" s="276"/>
      <c r="J22" s="276"/>
      <c r="K22" s="276"/>
      <c r="L22" s="20"/>
    </row>
    <row r="23" spans="1:12" ht="11.25" customHeight="1">
      <c r="A23" s="480"/>
      <c r="B23" s="477" t="s">
        <v>361</v>
      </c>
      <c r="C23" s="727">
        <v>3035.1489575000001</v>
      </c>
      <c r="D23" s="727"/>
      <c r="E23" s="727"/>
      <c r="F23" s="478">
        <v>3035.1489575000001</v>
      </c>
      <c r="G23" s="479">
        <v>6386.7158574999994</v>
      </c>
      <c r="H23" s="276"/>
      <c r="I23" s="276"/>
      <c r="J23" s="276"/>
      <c r="K23" s="276"/>
      <c r="L23" s="22"/>
    </row>
    <row r="24" spans="1:12" ht="11.25" customHeight="1">
      <c r="A24" s="480"/>
      <c r="B24" s="477" t="s">
        <v>362</v>
      </c>
      <c r="C24" s="727">
        <v>9974.9585599999991</v>
      </c>
      <c r="D24" s="727"/>
      <c r="E24" s="727"/>
      <c r="F24" s="478">
        <v>9974.9585599999991</v>
      </c>
      <c r="G24" s="479">
        <v>19561.589497499997</v>
      </c>
      <c r="H24" s="276"/>
      <c r="I24" s="276"/>
      <c r="J24" s="276"/>
      <c r="K24" s="276"/>
      <c r="L24" s="20"/>
    </row>
    <row r="25" spans="1:12" ht="11.25" customHeight="1">
      <c r="A25" s="480"/>
      <c r="B25" s="477" t="s">
        <v>363</v>
      </c>
      <c r="C25" s="727">
        <v>71753.264244999998</v>
      </c>
      <c r="D25" s="727"/>
      <c r="E25" s="727"/>
      <c r="F25" s="478">
        <v>71753.264244999998</v>
      </c>
      <c r="G25" s="479">
        <v>140474.92884750001</v>
      </c>
      <c r="H25" s="276"/>
      <c r="I25" s="276"/>
      <c r="J25" s="276"/>
      <c r="K25" s="276"/>
      <c r="L25" s="20"/>
    </row>
    <row r="26" spans="1:12" ht="11.25" customHeight="1">
      <c r="A26" s="480"/>
      <c r="B26" s="477" t="s">
        <v>364</v>
      </c>
      <c r="C26" s="727">
        <v>5705.8452950000001</v>
      </c>
      <c r="D26" s="727"/>
      <c r="E26" s="727"/>
      <c r="F26" s="478">
        <v>5705.8452950000001</v>
      </c>
      <c r="G26" s="479">
        <v>11471.0255175</v>
      </c>
      <c r="H26" s="276"/>
      <c r="I26" s="276"/>
      <c r="J26" s="276"/>
      <c r="K26" s="277"/>
      <c r="L26" s="29"/>
    </row>
    <row r="27" spans="1:12" ht="11.25" customHeight="1">
      <c r="A27" s="480"/>
      <c r="B27" s="477" t="s">
        <v>365</v>
      </c>
      <c r="C27" s="727"/>
      <c r="D27" s="727">
        <v>551.90291750000006</v>
      </c>
      <c r="E27" s="727"/>
      <c r="F27" s="478">
        <v>551.90291750000006</v>
      </c>
      <c r="G27" s="479">
        <v>584.87037750000002</v>
      </c>
      <c r="H27" s="276"/>
      <c r="I27" s="276"/>
      <c r="J27" s="276"/>
      <c r="K27" s="277"/>
      <c r="L27" s="29"/>
    </row>
    <row r="28" spans="1:12" ht="11.25" customHeight="1">
      <c r="A28" s="480"/>
      <c r="B28" s="477" t="s">
        <v>366</v>
      </c>
      <c r="C28" s="727"/>
      <c r="D28" s="727">
        <v>187.82881500000002</v>
      </c>
      <c r="E28" s="727"/>
      <c r="F28" s="478">
        <v>187.82881500000002</v>
      </c>
      <c r="G28" s="479">
        <v>210.54249000000002</v>
      </c>
      <c r="H28" s="276"/>
      <c r="I28" s="276"/>
      <c r="J28" s="276"/>
      <c r="K28" s="277"/>
      <c r="L28" s="29"/>
    </row>
    <row r="29" spans="1:12" ht="11.25" customHeight="1">
      <c r="A29" s="480"/>
      <c r="B29" s="477" t="s">
        <v>367</v>
      </c>
      <c r="C29" s="727"/>
      <c r="D29" s="727">
        <v>10168.114562500001</v>
      </c>
      <c r="E29" s="727"/>
      <c r="F29" s="478">
        <v>10168.114562500001</v>
      </c>
      <c r="G29" s="479">
        <v>37626.168079999996</v>
      </c>
      <c r="H29" s="276"/>
      <c r="I29" s="276"/>
      <c r="J29" s="276"/>
      <c r="K29" s="278"/>
      <c r="L29" s="29"/>
    </row>
    <row r="30" spans="1:12" ht="11.25" customHeight="1">
      <c r="A30" s="482" t="s">
        <v>368</v>
      </c>
      <c r="B30" s="483"/>
      <c r="C30" s="726">
        <v>91831.452207499999</v>
      </c>
      <c r="D30" s="726">
        <v>10907.846295000001</v>
      </c>
      <c r="E30" s="726"/>
      <c r="F30" s="484">
        <v>102739.29850250001</v>
      </c>
      <c r="G30" s="485">
        <v>219329.63868999999</v>
      </c>
      <c r="H30" s="276"/>
      <c r="I30" s="276"/>
      <c r="J30" s="276"/>
      <c r="K30" s="278"/>
      <c r="L30" s="29"/>
    </row>
    <row r="31" spans="1:12" ht="11.25" customHeight="1">
      <c r="A31" s="480" t="s">
        <v>124</v>
      </c>
      <c r="B31" s="477" t="s">
        <v>74</v>
      </c>
      <c r="C31" s="727"/>
      <c r="D31" s="727"/>
      <c r="E31" s="727">
        <v>2868.3672500000002</v>
      </c>
      <c r="F31" s="478">
        <v>2868.3672500000002</v>
      </c>
      <c r="G31" s="479">
        <v>5946.7647500000003</v>
      </c>
      <c r="H31" s="276"/>
      <c r="I31" s="276"/>
      <c r="J31" s="276"/>
      <c r="K31" s="278"/>
      <c r="L31" s="29"/>
    </row>
    <row r="32" spans="1:12" ht="11.25" customHeight="1">
      <c r="A32" s="482" t="s">
        <v>369</v>
      </c>
      <c r="B32" s="483"/>
      <c r="C32" s="726"/>
      <c r="D32" s="726"/>
      <c r="E32" s="726">
        <v>2868.3672500000002</v>
      </c>
      <c r="F32" s="484">
        <v>2868.3672500000002</v>
      </c>
      <c r="G32" s="485">
        <v>5946.7647500000003</v>
      </c>
      <c r="H32" s="276"/>
      <c r="I32" s="276"/>
      <c r="J32" s="276"/>
      <c r="K32" s="278"/>
      <c r="L32" s="29"/>
    </row>
    <row r="33" spans="1:12" ht="11.25" customHeight="1">
      <c r="A33" s="480" t="s">
        <v>101</v>
      </c>
      <c r="B33" s="477" t="s">
        <v>370</v>
      </c>
      <c r="C33" s="727">
        <v>110378.63407999999</v>
      </c>
      <c r="D33" s="727"/>
      <c r="E33" s="727"/>
      <c r="F33" s="478">
        <v>110378.63407999999</v>
      </c>
      <c r="G33" s="479">
        <v>232631.62256249998</v>
      </c>
      <c r="H33" s="276"/>
      <c r="I33" s="276"/>
      <c r="J33" s="276"/>
      <c r="K33" s="278"/>
      <c r="L33" s="29"/>
    </row>
    <row r="34" spans="1:12" ht="11.25" customHeight="1">
      <c r="A34" s="482" t="s">
        <v>371</v>
      </c>
      <c r="B34" s="483"/>
      <c r="C34" s="726">
        <v>110378.63407999999</v>
      </c>
      <c r="D34" s="726"/>
      <c r="E34" s="726"/>
      <c r="F34" s="484">
        <v>110378.63407999999</v>
      </c>
      <c r="G34" s="485">
        <v>232631.62256249998</v>
      </c>
      <c r="H34" s="276"/>
      <c r="I34" s="276"/>
      <c r="J34" s="276"/>
      <c r="K34" s="278"/>
      <c r="L34" s="29"/>
    </row>
    <row r="35" spans="1:12" ht="11.25" customHeight="1">
      <c r="A35" s="480" t="s">
        <v>110</v>
      </c>
      <c r="B35" s="477" t="s">
        <v>372</v>
      </c>
      <c r="C35" s="727">
        <v>5160.8894999999993</v>
      </c>
      <c r="D35" s="727"/>
      <c r="E35" s="727"/>
      <c r="F35" s="478">
        <v>5160.8894999999993</v>
      </c>
      <c r="G35" s="479">
        <v>10707.254999999999</v>
      </c>
      <c r="H35" s="276"/>
      <c r="I35" s="276"/>
      <c r="J35" s="276"/>
      <c r="K35" s="278"/>
      <c r="L35" s="29"/>
    </row>
    <row r="36" spans="1:12" ht="11.25" customHeight="1">
      <c r="A36" s="480"/>
      <c r="B36" s="477" t="s">
        <v>373</v>
      </c>
      <c r="C36" s="727">
        <v>3488.355</v>
      </c>
      <c r="D36" s="727"/>
      <c r="E36" s="727"/>
      <c r="F36" s="478">
        <v>3488.355</v>
      </c>
      <c r="G36" s="479">
        <v>7046.0333124999997</v>
      </c>
      <c r="H36" s="276"/>
      <c r="I36" s="276"/>
      <c r="J36" s="276"/>
      <c r="K36" s="278"/>
      <c r="L36" s="279"/>
    </row>
    <row r="37" spans="1:12" ht="11.25" customHeight="1">
      <c r="A37" s="480"/>
      <c r="B37" s="477" t="s">
        <v>374</v>
      </c>
      <c r="C37" s="727"/>
      <c r="D37" s="727">
        <v>8067.0666474999998</v>
      </c>
      <c r="E37" s="727"/>
      <c r="F37" s="478">
        <v>8067.0666474999998</v>
      </c>
      <c r="G37" s="479">
        <v>20271.048644999999</v>
      </c>
      <c r="H37" s="276"/>
      <c r="I37" s="276"/>
      <c r="J37" s="276"/>
      <c r="K37" s="278"/>
      <c r="L37" s="29"/>
    </row>
    <row r="38" spans="1:12" ht="11.25" customHeight="1">
      <c r="A38" s="482" t="s">
        <v>375</v>
      </c>
      <c r="B38" s="483"/>
      <c r="C38" s="726">
        <v>8649.2444999999989</v>
      </c>
      <c r="D38" s="726">
        <v>8067.0666474999998</v>
      </c>
      <c r="E38" s="726"/>
      <c r="F38" s="484">
        <v>16716.311147499997</v>
      </c>
      <c r="G38" s="485">
        <v>38024.336957499996</v>
      </c>
      <c r="H38" s="276"/>
      <c r="I38" s="276"/>
      <c r="J38" s="276"/>
      <c r="K38" s="278"/>
      <c r="L38" s="29"/>
    </row>
    <row r="39" spans="1:12" ht="11.25" customHeight="1">
      <c r="A39" s="480" t="s">
        <v>130</v>
      </c>
      <c r="B39" s="477" t="s">
        <v>79</v>
      </c>
      <c r="C39" s="727"/>
      <c r="D39" s="727"/>
      <c r="E39" s="727">
        <v>256.69575750000001</v>
      </c>
      <c r="F39" s="478">
        <v>256.69575750000001</v>
      </c>
      <c r="G39" s="479">
        <v>653.89561000000003</v>
      </c>
      <c r="H39" s="276"/>
      <c r="I39" s="276"/>
      <c r="J39" s="276"/>
      <c r="K39" s="278"/>
      <c r="L39" s="29"/>
    </row>
    <row r="40" spans="1:12" ht="11.25" customHeight="1">
      <c r="A40" s="482" t="s">
        <v>376</v>
      </c>
      <c r="B40" s="483"/>
      <c r="C40" s="726"/>
      <c r="D40" s="726"/>
      <c r="E40" s="726">
        <v>256.69575750000001</v>
      </c>
      <c r="F40" s="484">
        <v>256.69575750000001</v>
      </c>
      <c r="G40" s="485">
        <v>653.89561000000003</v>
      </c>
      <c r="H40" s="276"/>
      <c r="I40" s="276"/>
      <c r="J40" s="276"/>
      <c r="K40" s="278"/>
      <c r="L40" s="29"/>
    </row>
    <row r="41" spans="1:12" ht="11.25" customHeight="1">
      <c r="A41" s="480" t="s">
        <v>125</v>
      </c>
      <c r="B41" s="477" t="s">
        <v>77</v>
      </c>
      <c r="C41" s="727"/>
      <c r="D41" s="727"/>
      <c r="E41" s="727">
        <v>2287.3479625</v>
      </c>
      <c r="F41" s="478">
        <v>2287.3479625</v>
      </c>
      <c r="G41" s="479">
        <v>4625.6744424999997</v>
      </c>
      <c r="H41" s="276"/>
      <c r="I41" s="276"/>
      <c r="J41" s="276"/>
      <c r="K41" s="278"/>
      <c r="L41" s="29"/>
    </row>
    <row r="42" spans="1:12" ht="11.25" customHeight="1">
      <c r="A42" s="482" t="s">
        <v>377</v>
      </c>
      <c r="B42" s="483"/>
      <c r="C42" s="726"/>
      <c r="D42" s="726"/>
      <c r="E42" s="726">
        <v>2287.3479625</v>
      </c>
      <c r="F42" s="484">
        <v>2287.3479625</v>
      </c>
      <c r="G42" s="485">
        <v>4625.6744424999997</v>
      </c>
      <c r="H42" s="276"/>
      <c r="I42" s="276"/>
      <c r="J42" s="276"/>
      <c r="K42" s="278"/>
      <c r="L42" s="29"/>
    </row>
    <row r="43" spans="1:12" ht="11.25" customHeight="1">
      <c r="A43" s="480" t="s">
        <v>98</v>
      </c>
      <c r="B43" s="477" t="s">
        <v>378</v>
      </c>
      <c r="C43" s="727">
        <v>425308.78260000004</v>
      </c>
      <c r="D43" s="727"/>
      <c r="E43" s="727"/>
      <c r="F43" s="478">
        <v>425308.78260000004</v>
      </c>
      <c r="G43" s="479">
        <v>898463.86260000011</v>
      </c>
      <c r="H43" s="276"/>
      <c r="I43" s="276"/>
      <c r="J43" s="276"/>
      <c r="K43" s="280"/>
      <c r="L43" s="58"/>
    </row>
    <row r="44" spans="1:12" ht="11.25" customHeight="1">
      <c r="A44" s="480"/>
      <c r="B44" s="477" t="s">
        <v>379</v>
      </c>
      <c r="C44" s="727">
        <v>127584.36719999999</v>
      </c>
      <c r="D44" s="727"/>
      <c r="E44" s="727"/>
      <c r="F44" s="478">
        <v>127584.36719999999</v>
      </c>
      <c r="G44" s="479">
        <v>277300.32432000001</v>
      </c>
      <c r="H44" s="276"/>
      <c r="I44" s="276"/>
      <c r="J44" s="276"/>
      <c r="K44" s="280"/>
      <c r="L44" s="59"/>
    </row>
    <row r="45" spans="1:12" ht="11.25" customHeight="1">
      <c r="A45" s="480"/>
      <c r="B45" s="477" t="s">
        <v>380</v>
      </c>
      <c r="C45" s="727"/>
      <c r="D45" s="727">
        <v>1272.7732774999999</v>
      </c>
      <c r="E45" s="727"/>
      <c r="F45" s="478">
        <v>1272.7732774999999</v>
      </c>
      <c r="G45" s="479">
        <v>1272.7732774999999</v>
      </c>
      <c r="H45" s="276"/>
      <c r="I45" s="276"/>
      <c r="J45" s="276"/>
      <c r="K45" s="280"/>
      <c r="L45" s="59"/>
    </row>
    <row r="46" spans="1:12" ht="11.25" customHeight="1">
      <c r="A46" s="482" t="s">
        <v>381</v>
      </c>
      <c r="B46" s="483"/>
      <c r="C46" s="726">
        <v>552893.14980000001</v>
      </c>
      <c r="D46" s="726">
        <v>1272.7732774999999</v>
      </c>
      <c r="E46" s="726"/>
      <c r="F46" s="484">
        <v>554165.92307749996</v>
      </c>
      <c r="G46" s="485">
        <v>1177036.9601975002</v>
      </c>
      <c r="H46" s="276"/>
      <c r="I46" s="276"/>
      <c r="J46" s="276"/>
      <c r="K46" s="278"/>
    </row>
    <row r="47" spans="1:12" ht="11.25" customHeight="1">
      <c r="A47" s="480" t="s">
        <v>281</v>
      </c>
      <c r="B47" s="477" t="s">
        <v>382</v>
      </c>
      <c r="C47" s="727">
        <v>276079.53686749999</v>
      </c>
      <c r="D47" s="727"/>
      <c r="E47" s="727"/>
      <c r="F47" s="478">
        <v>276079.53686749999</v>
      </c>
      <c r="G47" s="479">
        <v>566732.57804500009</v>
      </c>
      <c r="H47" s="276"/>
      <c r="I47" s="276"/>
      <c r="J47" s="276"/>
      <c r="K47" s="278"/>
    </row>
    <row r="48" spans="1:12" ht="12.75">
      <c r="A48" s="480"/>
      <c r="B48" s="477" t="s">
        <v>383</v>
      </c>
      <c r="C48" s="727">
        <v>1301.1849125000001</v>
      </c>
      <c r="D48" s="727"/>
      <c r="E48" s="727"/>
      <c r="F48" s="478">
        <v>1301.1849125000001</v>
      </c>
      <c r="G48" s="479">
        <v>2857.9442675</v>
      </c>
      <c r="H48" s="276"/>
      <c r="I48" s="276"/>
      <c r="J48" s="276"/>
      <c r="K48" s="278"/>
    </row>
    <row r="49" spans="1:11" ht="12.75">
      <c r="A49" s="482" t="s">
        <v>384</v>
      </c>
      <c r="B49" s="483"/>
      <c r="C49" s="726">
        <v>277380.72177999996</v>
      </c>
      <c r="D49" s="726"/>
      <c r="E49" s="726"/>
      <c r="F49" s="484">
        <v>277380.72177999996</v>
      </c>
      <c r="G49" s="485">
        <v>569590.52231250005</v>
      </c>
      <c r="H49" s="276"/>
      <c r="I49" s="276"/>
      <c r="J49" s="276"/>
      <c r="K49" s="278"/>
    </row>
    <row r="50" spans="1:11" ht="12.75">
      <c r="A50" s="480" t="s">
        <v>282</v>
      </c>
      <c r="B50" s="477" t="s">
        <v>385</v>
      </c>
      <c r="C50" s="727">
        <v>22898.5625225</v>
      </c>
      <c r="D50" s="727"/>
      <c r="E50" s="727"/>
      <c r="F50" s="478">
        <v>22898.5625225</v>
      </c>
      <c r="G50" s="479">
        <v>42309.279982499997</v>
      </c>
      <c r="H50" s="276"/>
      <c r="I50" s="276"/>
      <c r="J50" s="276"/>
      <c r="K50" s="278"/>
    </row>
    <row r="51" spans="1:11" ht="12.75">
      <c r="A51" s="482" t="s">
        <v>386</v>
      </c>
      <c r="B51" s="483"/>
      <c r="C51" s="726">
        <v>22898.5625225</v>
      </c>
      <c r="D51" s="726"/>
      <c r="E51" s="726"/>
      <c r="F51" s="484">
        <v>22898.5625225</v>
      </c>
      <c r="G51" s="485">
        <v>42309.279982499997</v>
      </c>
      <c r="H51" s="276"/>
      <c r="I51" s="276"/>
      <c r="J51" s="276"/>
      <c r="K51" s="278"/>
    </row>
    <row r="52" spans="1:11" ht="12.75">
      <c r="A52" s="480" t="s">
        <v>283</v>
      </c>
      <c r="B52" s="477" t="s">
        <v>64</v>
      </c>
      <c r="C52" s="727"/>
      <c r="D52" s="727"/>
      <c r="E52" s="727">
        <v>11092.599260000001</v>
      </c>
      <c r="F52" s="478">
        <v>11092.599260000001</v>
      </c>
      <c r="G52" s="479">
        <v>23665.073779999999</v>
      </c>
      <c r="H52" s="276"/>
      <c r="I52" s="276"/>
      <c r="J52" s="276"/>
      <c r="K52" s="278"/>
    </row>
    <row r="53" spans="1:11">
      <c r="A53" s="480"/>
      <c r="B53" s="477" t="s">
        <v>61</v>
      </c>
      <c r="C53" s="727"/>
      <c r="D53" s="727"/>
      <c r="E53" s="727">
        <v>13207.42245</v>
      </c>
      <c r="F53" s="478">
        <v>13207.42245</v>
      </c>
      <c r="G53" s="479">
        <v>27913.75373</v>
      </c>
      <c r="H53" s="132"/>
      <c r="I53" s="132"/>
      <c r="J53" s="132"/>
      <c r="K53" s="278"/>
    </row>
    <row r="54" spans="1:11">
      <c r="A54" s="482" t="s">
        <v>387</v>
      </c>
      <c r="B54" s="483"/>
      <c r="C54" s="726"/>
      <c r="D54" s="726"/>
      <c r="E54" s="726">
        <v>24300.021710000001</v>
      </c>
      <c r="F54" s="484">
        <v>24300.021710000001</v>
      </c>
      <c r="G54" s="485">
        <v>51578.827510000003</v>
      </c>
      <c r="H54" s="132"/>
      <c r="I54" s="132"/>
      <c r="J54" s="132"/>
      <c r="K54" s="278"/>
    </row>
    <row r="55" spans="1:11">
      <c r="A55" s="480" t="s">
        <v>97</v>
      </c>
      <c r="B55" s="477" t="s">
        <v>388</v>
      </c>
      <c r="C55" s="727">
        <v>19993.6637925</v>
      </c>
      <c r="D55" s="727"/>
      <c r="E55" s="727"/>
      <c r="F55" s="478">
        <v>19993.6637925</v>
      </c>
      <c r="G55" s="479">
        <v>40780.525649999996</v>
      </c>
      <c r="H55" s="132"/>
      <c r="I55" s="132"/>
      <c r="J55" s="132"/>
      <c r="K55" s="278"/>
    </row>
    <row r="56" spans="1:11">
      <c r="A56" s="480"/>
      <c r="B56" s="477" t="s">
        <v>389</v>
      </c>
      <c r="C56" s="727">
        <v>85384.129987499997</v>
      </c>
      <c r="D56" s="727"/>
      <c r="E56" s="727"/>
      <c r="F56" s="478">
        <v>85384.129987499997</v>
      </c>
      <c r="G56" s="479">
        <v>167543.34268999999</v>
      </c>
      <c r="H56" s="132"/>
      <c r="I56" s="132"/>
      <c r="J56" s="132"/>
      <c r="K56" s="278"/>
    </row>
    <row r="57" spans="1:11">
      <c r="A57" s="480"/>
      <c r="B57" s="477" t="s">
        <v>390</v>
      </c>
      <c r="C57" s="727">
        <v>79910.25245</v>
      </c>
      <c r="D57" s="727"/>
      <c r="E57" s="727"/>
      <c r="F57" s="478">
        <v>79910.25245</v>
      </c>
      <c r="G57" s="479">
        <v>171516.3901475</v>
      </c>
      <c r="H57" s="132"/>
      <c r="I57" s="132"/>
      <c r="J57" s="132"/>
      <c r="K57" s="278"/>
    </row>
    <row r="58" spans="1:11">
      <c r="A58" s="480"/>
      <c r="B58" s="477" t="s">
        <v>391</v>
      </c>
      <c r="C58" s="727">
        <v>33425.541582500002</v>
      </c>
      <c r="D58" s="727"/>
      <c r="E58" s="727"/>
      <c r="F58" s="478">
        <v>33425.541582500002</v>
      </c>
      <c r="G58" s="479">
        <v>63798.820647500004</v>
      </c>
      <c r="H58" s="277"/>
      <c r="I58" s="277"/>
      <c r="J58" s="277"/>
      <c r="K58" s="278"/>
    </row>
    <row r="59" spans="1:11">
      <c r="A59" s="480"/>
      <c r="B59" s="477" t="s">
        <v>392</v>
      </c>
      <c r="C59" s="727"/>
      <c r="D59" s="727">
        <v>16808.497355</v>
      </c>
      <c r="E59" s="727"/>
      <c r="F59" s="478">
        <v>16808.497355</v>
      </c>
      <c r="G59" s="479">
        <v>29350.102977499999</v>
      </c>
      <c r="H59" s="277"/>
      <c r="I59" s="277"/>
      <c r="J59" s="277"/>
      <c r="K59" s="278"/>
    </row>
    <row r="60" spans="1:11">
      <c r="A60" s="480"/>
      <c r="B60" s="477" t="s">
        <v>393</v>
      </c>
      <c r="C60" s="727"/>
      <c r="D60" s="727">
        <v>35235.514997500002</v>
      </c>
      <c r="E60" s="727"/>
      <c r="F60" s="478">
        <v>35235.514997500002</v>
      </c>
      <c r="G60" s="479">
        <v>102346.72550500001</v>
      </c>
      <c r="H60" s="277"/>
      <c r="I60" s="277"/>
      <c r="J60" s="277"/>
      <c r="K60" s="278"/>
    </row>
    <row r="61" spans="1:11">
      <c r="A61" s="480"/>
      <c r="B61" s="477" t="s">
        <v>394</v>
      </c>
      <c r="C61" s="727"/>
      <c r="D61" s="727">
        <v>205183.8780725</v>
      </c>
      <c r="E61" s="727"/>
      <c r="F61" s="478">
        <v>205183.8780725</v>
      </c>
      <c r="G61" s="479">
        <v>491588.36899500003</v>
      </c>
      <c r="H61" s="277"/>
      <c r="I61" s="277"/>
      <c r="J61" s="277"/>
      <c r="K61" s="278"/>
    </row>
    <row r="62" spans="1:11">
      <c r="A62" s="482" t="s">
        <v>395</v>
      </c>
      <c r="B62" s="483"/>
      <c r="C62" s="726">
        <v>218713.58781249999</v>
      </c>
      <c r="D62" s="726">
        <v>257227.89042499999</v>
      </c>
      <c r="E62" s="726"/>
      <c r="F62" s="484">
        <v>475941.47823750001</v>
      </c>
      <c r="G62" s="485">
        <v>1066924.2766125002</v>
      </c>
      <c r="H62" s="277"/>
      <c r="I62" s="277"/>
      <c r="J62" s="277"/>
      <c r="K62" s="277"/>
    </row>
    <row r="63" spans="1:11">
      <c r="A63" s="729"/>
      <c r="B63" s="729"/>
      <c r="C63" s="729"/>
      <c r="D63" s="729"/>
      <c r="E63" s="729"/>
      <c r="F63" s="729"/>
      <c r="G63" s="729"/>
      <c r="H63" s="277"/>
      <c r="I63" s="277"/>
      <c r="J63" s="277"/>
      <c r="K63" s="277"/>
    </row>
    <row r="64" spans="1:11">
      <c r="A64" s="730"/>
      <c r="B64" s="477"/>
      <c r="C64" s="727"/>
      <c r="D64" s="727"/>
      <c r="E64" s="727"/>
      <c r="F64" s="478"/>
      <c r="G64" s="478"/>
    </row>
    <row r="65" spans="3:5">
      <c r="C65" s="728"/>
      <c r="D65" s="728"/>
      <c r="E65" s="728"/>
    </row>
    <row r="66" spans="3:5">
      <c r="C66" s="728"/>
      <c r="D66" s="728"/>
      <c r="E66" s="728"/>
    </row>
    <row r="67" spans="3:5">
      <c r="C67" s="728"/>
      <c r="D67" s="728"/>
      <c r="E67" s="728"/>
    </row>
    <row r="68" spans="3:5">
      <c r="C68" s="728"/>
      <c r="D68" s="728"/>
      <c r="E68" s="728"/>
    </row>
    <row r="69" spans="3:5">
      <c r="C69" s="728"/>
      <c r="D69" s="728"/>
      <c r="E69" s="728"/>
    </row>
    <row r="70" spans="3:5">
      <c r="C70" s="728"/>
      <c r="D70" s="728"/>
      <c r="E70" s="728"/>
    </row>
    <row r="71" spans="3:5">
      <c r="C71" s="728"/>
      <c r="D71" s="728"/>
      <c r="E71" s="728"/>
    </row>
    <row r="72" spans="3:5">
      <c r="C72" s="728"/>
      <c r="D72" s="728"/>
      <c r="E72" s="728"/>
    </row>
    <row r="73" spans="3:5">
      <c r="C73" s="728"/>
      <c r="D73" s="728"/>
      <c r="E73" s="728"/>
    </row>
    <row r="74" spans="3:5">
      <c r="C74" s="728"/>
      <c r="D74" s="728"/>
      <c r="E74" s="728"/>
    </row>
    <row r="75" spans="3:5">
      <c r="C75" s="728"/>
      <c r="D75" s="728"/>
      <c r="E75" s="728"/>
    </row>
    <row r="76" spans="3:5">
      <c r="C76" s="728"/>
      <c r="D76" s="728"/>
      <c r="E76" s="728"/>
    </row>
    <row r="77" spans="3:5">
      <c r="C77" s="728"/>
      <c r="D77" s="728"/>
      <c r="E77" s="728"/>
    </row>
    <row r="78" spans="3:5">
      <c r="C78" s="728"/>
      <c r="D78" s="728"/>
      <c r="E78" s="728"/>
    </row>
    <row r="79" spans="3:5">
      <c r="C79" s="728"/>
      <c r="D79" s="728"/>
      <c r="E79" s="728"/>
    </row>
    <row r="80" spans="3:5">
      <c r="C80" s="728"/>
      <c r="D80" s="728"/>
      <c r="E80" s="728"/>
    </row>
    <row r="81" spans="3:5">
      <c r="C81" s="728"/>
      <c r="D81" s="728"/>
      <c r="E81" s="728"/>
    </row>
    <row r="82" spans="3:5">
      <c r="C82" s="728"/>
      <c r="D82" s="728"/>
      <c r="E82" s="728"/>
    </row>
    <row r="83" spans="3:5">
      <c r="C83" s="728"/>
      <c r="D83" s="728"/>
      <c r="E83" s="728"/>
    </row>
    <row r="84" spans="3:5">
      <c r="C84" s="728"/>
      <c r="D84" s="728"/>
      <c r="E84" s="728"/>
    </row>
    <row r="85" spans="3:5">
      <c r="C85" s="728"/>
      <c r="D85" s="728"/>
      <c r="E85" s="728"/>
    </row>
    <row r="86" spans="3:5">
      <c r="C86" s="728"/>
      <c r="D86" s="728"/>
      <c r="E86" s="728"/>
    </row>
    <row r="87" spans="3:5">
      <c r="C87" s="728"/>
      <c r="D87" s="728"/>
      <c r="E87" s="728"/>
    </row>
    <row r="88" spans="3:5">
      <c r="C88" s="728"/>
      <c r="D88" s="728"/>
      <c r="E88" s="728"/>
    </row>
    <row r="89" spans="3:5">
      <c r="C89" s="728"/>
      <c r="D89" s="728"/>
      <c r="E89" s="728"/>
    </row>
    <row r="90" spans="3:5">
      <c r="C90" s="728"/>
      <c r="D90" s="728"/>
      <c r="E90" s="728"/>
    </row>
    <row r="91" spans="3:5">
      <c r="C91" s="728"/>
      <c r="D91" s="728"/>
      <c r="E91" s="728"/>
    </row>
    <row r="92" spans="3:5">
      <c r="C92" s="728"/>
      <c r="D92" s="728"/>
      <c r="E92" s="728"/>
    </row>
    <row r="93" spans="3:5">
      <c r="C93" s="728"/>
      <c r="D93" s="728"/>
      <c r="E93" s="728"/>
    </row>
    <row r="94" spans="3:5">
      <c r="C94" s="728"/>
      <c r="D94" s="728"/>
      <c r="E94" s="728"/>
    </row>
    <row r="95" spans="3:5">
      <c r="C95" s="728"/>
      <c r="D95" s="728"/>
      <c r="E95" s="728"/>
    </row>
    <row r="96" spans="3:5">
      <c r="C96" s="728"/>
      <c r="D96" s="728"/>
      <c r="E96" s="728"/>
    </row>
    <row r="97" spans="3:5">
      <c r="C97" s="728"/>
      <c r="D97" s="728"/>
      <c r="E97" s="728"/>
    </row>
    <row r="98" spans="3:5">
      <c r="C98" s="728"/>
      <c r="D98" s="728"/>
      <c r="E98" s="728"/>
    </row>
    <row r="99" spans="3:5">
      <c r="C99" s="728"/>
      <c r="D99" s="728"/>
      <c r="E99" s="728"/>
    </row>
    <row r="100" spans="3:5">
      <c r="C100" s="728"/>
      <c r="D100" s="728"/>
      <c r="E100" s="728"/>
    </row>
    <row r="101" spans="3:5">
      <c r="C101" s="728"/>
      <c r="D101" s="728"/>
      <c r="E101" s="728"/>
    </row>
    <row r="102" spans="3:5">
      <c r="C102" s="728"/>
      <c r="D102" s="728"/>
      <c r="E102" s="728"/>
    </row>
    <row r="103" spans="3:5">
      <c r="C103" s="728"/>
      <c r="D103" s="728"/>
      <c r="E103" s="728"/>
    </row>
    <row r="104" spans="3:5">
      <c r="C104" s="728"/>
      <c r="D104" s="728"/>
      <c r="E104" s="728"/>
    </row>
    <row r="105" spans="3:5">
      <c r="C105" s="728"/>
      <c r="D105" s="728"/>
      <c r="E105" s="728"/>
    </row>
    <row r="106" spans="3:5">
      <c r="C106" s="728"/>
      <c r="D106" s="728"/>
      <c r="E106" s="728"/>
    </row>
    <row r="107" spans="3:5">
      <c r="C107" s="728"/>
      <c r="D107" s="728"/>
      <c r="E107" s="728"/>
    </row>
    <row r="108" spans="3:5">
      <c r="C108" s="728"/>
      <c r="D108" s="728"/>
      <c r="E108" s="728"/>
    </row>
    <row r="109" spans="3:5">
      <c r="C109" s="728"/>
      <c r="D109" s="728"/>
      <c r="E109" s="728"/>
    </row>
    <row r="110" spans="3:5">
      <c r="C110" s="728"/>
      <c r="D110" s="728"/>
      <c r="E110" s="728"/>
    </row>
    <row r="111" spans="3:5">
      <c r="C111" s="728"/>
      <c r="D111" s="728"/>
      <c r="E111" s="728"/>
    </row>
    <row r="112" spans="3:5">
      <c r="C112" s="728"/>
      <c r="D112" s="728"/>
      <c r="E112" s="728"/>
    </row>
    <row r="113" spans="3:5">
      <c r="C113" s="728"/>
      <c r="D113" s="728"/>
      <c r="E113" s="728"/>
    </row>
    <row r="114" spans="3:5">
      <c r="C114" s="728"/>
      <c r="D114" s="728"/>
      <c r="E114" s="728"/>
    </row>
    <row r="115" spans="3:5">
      <c r="C115" s="728"/>
      <c r="D115" s="728"/>
      <c r="E115" s="728"/>
    </row>
    <row r="116" spans="3:5">
      <c r="C116" s="728"/>
      <c r="D116" s="728"/>
      <c r="E116" s="728"/>
    </row>
    <row r="117" spans="3:5">
      <c r="C117" s="728"/>
      <c r="D117" s="728"/>
      <c r="E117" s="728"/>
    </row>
    <row r="118" spans="3:5">
      <c r="C118" s="728"/>
      <c r="D118" s="728"/>
      <c r="E118" s="728"/>
    </row>
    <row r="119" spans="3:5">
      <c r="C119" s="728"/>
      <c r="D119" s="728"/>
      <c r="E119" s="728"/>
    </row>
    <row r="120" spans="3:5">
      <c r="C120" s="728"/>
      <c r="D120" s="728"/>
      <c r="E120" s="728"/>
    </row>
    <row r="121" spans="3:5">
      <c r="C121" s="728"/>
      <c r="D121" s="728"/>
      <c r="E121" s="728"/>
    </row>
    <row r="122" spans="3:5">
      <c r="C122" s="728"/>
      <c r="D122" s="728"/>
      <c r="E122" s="728"/>
    </row>
    <row r="123" spans="3:5">
      <c r="C123" s="728"/>
      <c r="D123" s="728"/>
      <c r="E123" s="728"/>
    </row>
    <row r="124" spans="3:5">
      <c r="C124" s="728"/>
      <c r="D124" s="728"/>
      <c r="E124" s="728"/>
    </row>
    <row r="125" spans="3:5">
      <c r="C125" s="728"/>
      <c r="D125" s="728"/>
      <c r="E125" s="728"/>
    </row>
    <row r="126" spans="3:5">
      <c r="C126" s="728"/>
      <c r="D126" s="728"/>
      <c r="E126" s="728"/>
    </row>
    <row r="127" spans="3:5">
      <c r="C127" s="728"/>
      <c r="D127" s="728"/>
      <c r="E127" s="728"/>
    </row>
    <row r="128" spans="3:5">
      <c r="C128" s="728"/>
      <c r="D128" s="728"/>
      <c r="E128" s="728"/>
    </row>
    <row r="129" spans="3:5">
      <c r="C129" s="728"/>
      <c r="D129" s="728"/>
      <c r="E129" s="728"/>
    </row>
    <row r="130" spans="3:5">
      <c r="C130" s="728"/>
      <c r="D130" s="728"/>
      <c r="E130" s="728"/>
    </row>
    <row r="131" spans="3:5">
      <c r="C131" s="728"/>
      <c r="D131" s="728"/>
      <c r="E131" s="728"/>
    </row>
    <row r="132" spans="3:5">
      <c r="C132" s="728"/>
      <c r="D132" s="728"/>
      <c r="E132" s="728"/>
    </row>
    <row r="133" spans="3:5">
      <c r="C133" s="728"/>
      <c r="D133" s="728"/>
      <c r="E133" s="728"/>
    </row>
    <row r="134" spans="3:5">
      <c r="C134" s="728"/>
      <c r="D134" s="728"/>
      <c r="E134" s="728"/>
    </row>
    <row r="135" spans="3:5">
      <c r="C135" s="728"/>
      <c r="D135" s="728"/>
      <c r="E135" s="728"/>
    </row>
    <row r="136" spans="3:5">
      <c r="C136" s="728"/>
      <c r="D136" s="728"/>
      <c r="E136" s="728"/>
    </row>
    <row r="137" spans="3:5">
      <c r="C137" s="728"/>
      <c r="D137" s="728"/>
      <c r="E137" s="728"/>
    </row>
    <row r="138" spans="3:5">
      <c r="C138" s="728"/>
      <c r="D138" s="728"/>
      <c r="E138" s="728"/>
    </row>
    <row r="139" spans="3:5">
      <c r="C139" s="728"/>
      <c r="D139" s="728"/>
      <c r="E139" s="728"/>
    </row>
    <row r="140" spans="3:5">
      <c r="C140" s="728"/>
      <c r="D140" s="728"/>
      <c r="E140" s="728"/>
    </row>
    <row r="141" spans="3:5">
      <c r="C141" s="728"/>
      <c r="D141" s="728"/>
      <c r="E141" s="728"/>
    </row>
    <row r="142" spans="3:5">
      <c r="C142" s="728"/>
      <c r="D142" s="728"/>
      <c r="E142" s="728"/>
    </row>
    <row r="143" spans="3:5">
      <c r="C143" s="728"/>
      <c r="D143" s="728"/>
      <c r="E143" s="728"/>
    </row>
    <row r="144" spans="3:5">
      <c r="C144" s="728"/>
      <c r="D144" s="728"/>
      <c r="E144" s="728"/>
    </row>
    <row r="145" spans="3:5">
      <c r="C145" s="728"/>
      <c r="D145" s="728"/>
      <c r="E145" s="728"/>
    </row>
    <row r="146" spans="3:5">
      <c r="C146" s="728"/>
      <c r="D146" s="728"/>
      <c r="E146" s="728"/>
    </row>
    <row r="147" spans="3:5">
      <c r="C147" s="728"/>
      <c r="D147" s="728"/>
      <c r="E147" s="728"/>
    </row>
    <row r="148" spans="3:5">
      <c r="C148" s="728"/>
      <c r="D148" s="728"/>
      <c r="E148" s="728"/>
    </row>
    <row r="149" spans="3:5">
      <c r="C149" s="728"/>
      <c r="D149" s="728"/>
      <c r="E149" s="728"/>
    </row>
    <row r="150" spans="3:5">
      <c r="C150" s="728"/>
      <c r="D150" s="728"/>
      <c r="E150" s="728"/>
    </row>
    <row r="151" spans="3:5">
      <c r="C151" s="728"/>
      <c r="D151" s="728"/>
      <c r="E151" s="728"/>
    </row>
    <row r="152" spans="3:5">
      <c r="C152" s="728"/>
      <c r="D152" s="728"/>
      <c r="E152" s="728"/>
    </row>
    <row r="153" spans="3:5">
      <c r="C153" s="728"/>
      <c r="D153" s="728"/>
      <c r="E153" s="728"/>
    </row>
    <row r="154" spans="3:5">
      <c r="C154" s="728"/>
      <c r="D154" s="728"/>
      <c r="E154" s="728"/>
    </row>
    <row r="155" spans="3:5">
      <c r="C155" s="728"/>
      <c r="D155" s="728"/>
      <c r="E155" s="728"/>
    </row>
    <row r="156" spans="3:5">
      <c r="C156" s="728"/>
      <c r="D156" s="728"/>
      <c r="E156" s="728"/>
    </row>
    <row r="157" spans="3:5">
      <c r="C157" s="728"/>
      <c r="D157" s="728"/>
      <c r="E157" s="728"/>
    </row>
    <row r="158" spans="3:5">
      <c r="C158" s="728"/>
      <c r="D158" s="728"/>
      <c r="E158" s="728"/>
    </row>
    <row r="159" spans="3:5">
      <c r="C159" s="728"/>
      <c r="D159" s="728"/>
      <c r="E159" s="728"/>
    </row>
    <row r="160" spans="3:5">
      <c r="C160" s="728"/>
      <c r="D160" s="728"/>
      <c r="E160" s="728"/>
    </row>
    <row r="161" spans="3:5">
      <c r="C161" s="728"/>
      <c r="D161" s="728"/>
      <c r="E161" s="728"/>
    </row>
    <row r="162" spans="3:5">
      <c r="C162" s="728"/>
      <c r="D162" s="728"/>
      <c r="E162" s="728"/>
    </row>
    <row r="163" spans="3:5">
      <c r="C163" s="728"/>
      <c r="D163" s="728"/>
      <c r="E163" s="728"/>
    </row>
    <row r="164" spans="3:5">
      <c r="C164" s="728"/>
      <c r="D164" s="728"/>
      <c r="E164" s="728"/>
    </row>
    <row r="165" spans="3:5">
      <c r="C165" s="728"/>
      <c r="D165" s="728"/>
      <c r="E165" s="728"/>
    </row>
  </sheetData>
  <mergeCells count="5">
    <mergeCell ref="A2:A5"/>
    <mergeCell ref="B2:B5"/>
    <mergeCell ref="C2:F2"/>
    <mergeCell ref="C3:E3"/>
    <mergeCell ref="F3:F4"/>
  </mergeCells>
  <pageMargins left="0.7" right="0.46474358974358976" top="0.86956521739130432" bottom="0.61458333333333337" header="0.3" footer="0.3"/>
  <pageSetup orientation="portrait" r:id="rId1"/>
  <headerFooter>
    <oddHeader>&amp;R&amp;7Informe de la Operación Mensual - Febrero 2018
INFSGI-MES-02-2018
08/03/2018
Versión: 01</oddHeader>
    <oddFooter>&amp;L&amp;7COES SINAC, 2018
&amp;C18&amp;R&amp;7Dirección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M67"/>
  <sheetViews>
    <sheetView showGridLines="0" view="pageBreakPreview" zoomScale="130" zoomScaleNormal="100" zoomScaleSheetLayoutView="130" zoomScalePageLayoutView="160" workbookViewId="0">
      <selection activeCell="G48" sqref="G48"/>
    </sheetView>
  </sheetViews>
  <sheetFormatPr defaultRowHeight="11.25"/>
  <cols>
    <col min="1" max="1" width="21.832031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2" s="50" customFormat="1" ht="17.25" customHeight="1">
      <c r="A1" s="930" t="s">
        <v>299</v>
      </c>
      <c r="B1" s="924" t="s">
        <v>57</v>
      </c>
      <c r="C1" s="926" t="str">
        <f>+'18. ANEXOI-1'!C2:F2</f>
        <v>ENERGÍA PRODUCIDA FEBRERO 2018</v>
      </c>
      <c r="D1" s="926"/>
      <c r="E1" s="926"/>
      <c r="F1" s="926"/>
      <c r="G1" s="487" t="s">
        <v>344</v>
      </c>
      <c r="H1" s="284"/>
      <c r="I1" s="284"/>
      <c r="J1" s="284"/>
      <c r="K1" s="284"/>
    </row>
    <row r="2" spans="1:12" s="50" customFormat="1" ht="11.25" customHeight="1">
      <c r="A2" s="930"/>
      <c r="B2" s="924"/>
      <c r="C2" s="927" t="s">
        <v>345</v>
      </c>
      <c r="D2" s="927"/>
      <c r="E2" s="927"/>
      <c r="F2" s="928" t="str">
        <f>"TOTAL 
"&amp;UPPER('1. Resumen'!Q4)</f>
        <v>TOTAL 
FEBRERO</v>
      </c>
      <c r="G2" s="488" t="s">
        <v>346</v>
      </c>
      <c r="H2" s="273"/>
      <c r="I2" s="273"/>
      <c r="J2" s="273"/>
      <c r="K2" s="273"/>
      <c r="L2" s="274"/>
    </row>
    <row r="3" spans="1:12" s="50" customFormat="1" ht="11.25" customHeight="1">
      <c r="A3" s="930"/>
      <c r="B3" s="924"/>
      <c r="C3" s="472" t="s">
        <v>251</v>
      </c>
      <c r="D3" s="472" t="s">
        <v>252</v>
      </c>
      <c r="E3" s="472" t="s">
        <v>347</v>
      </c>
      <c r="F3" s="929"/>
      <c r="G3" s="488">
        <v>2018</v>
      </c>
      <c r="H3" s="276"/>
      <c r="I3" s="275"/>
      <c r="J3" s="275"/>
      <c r="K3" s="275"/>
      <c r="L3" s="274"/>
    </row>
    <row r="4" spans="1:12" s="50" customFormat="1" ht="11.25" customHeight="1">
      <c r="A4" s="931"/>
      <c r="B4" s="932"/>
      <c r="C4" s="489" t="s">
        <v>348</v>
      </c>
      <c r="D4" s="489" t="s">
        <v>348</v>
      </c>
      <c r="E4" s="489" t="s">
        <v>348</v>
      </c>
      <c r="F4" s="489" t="s">
        <v>348</v>
      </c>
      <c r="G4" s="490" t="s">
        <v>232</v>
      </c>
      <c r="H4" s="276"/>
      <c r="I4" s="276"/>
      <c r="J4" s="276"/>
      <c r="K4" s="276"/>
      <c r="L4" s="12"/>
    </row>
    <row r="5" spans="1:12">
      <c r="A5" s="480" t="s">
        <v>105</v>
      </c>
      <c r="B5" s="477" t="s">
        <v>396</v>
      </c>
      <c r="C5" s="478"/>
      <c r="D5" s="478">
        <v>18831.299552500001</v>
      </c>
      <c r="E5" s="478"/>
      <c r="F5" s="478">
        <v>18831.299552500001</v>
      </c>
      <c r="G5" s="479">
        <v>34032.230804999999</v>
      </c>
    </row>
    <row r="6" spans="1:12">
      <c r="A6" s="480"/>
      <c r="B6" s="477" t="s">
        <v>397</v>
      </c>
      <c r="C6" s="478"/>
      <c r="D6" s="478">
        <v>0</v>
      </c>
      <c r="E6" s="478"/>
      <c r="F6" s="478">
        <v>0</v>
      </c>
      <c r="G6" s="479">
        <v>24375.911365</v>
      </c>
    </row>
    <row r="7" spans="1:12">
      <c r="A7" s="480"/>
      <c r="B7" s="477" t="s">
        <v>398</v>
      </c>
      <c r="C7" s="478"/>
      <c r="D7" s="478">
        <v>21308.547234999998</v>
      </c>
      <c r="E7" s="478"/>
      <c r="F7" s="478">
        <v>21308.547234999998</v>
      </c>
      <c r="G7" s="479">
        <v>26385.304949999998</v>
      </c>
    </row>
    <row r="8" spans="1:12">
      <c r="A8" s="482" t="s">
        <v>399</v>
      </c>
      <c r="B8" s="483"/>
      <c r="C8" s="484"/>
      <c r="D8" s="484">
        <v>40139.846787499999</v>
      </c>
      <c r="E8" s="484"/>
      <c r="F8" s="484">
        <v>40139.846787499999</v>
      </c>
      <c r="G8" s="485">
        <v>84793.447119999997</v>
      </c>
    </row>
    <row r="9" spans="1:12">
      <c r="A9" s="480" t="s">
        <v>690</v>
      </c>
      <c r="B9" s="477" t="s">
        <v>691</v>
      </c>
      <c r="C9" s="478"/>
      <c r="D9" s="478"/>
      <c r="E9" s="478">
        <v>28358.605067500001</v>
      </c>
      <c r="F9" s="478">
        <v>28358.605067500001</v>
      </c>
      <c r="G9" s="479">
        <v>67133.305464999998</v>
      </c>
    </row>
    <row r="10" spans="1:12">
      <c r="A10" s="480"/>
      <c r="B10" s="477" t="s">
        <v>692</v>
      </c>
      <c r="C10" s="478"/>
      <c r="D10" s="478"/>
      <c r="E10" s="478">
        <v>4327.5880674999999</v>
      </c>
      <c r="F10" s="478">
        <v>4327.5880674999999</v>
      </c>
      <c r="G10" s="479">
        <v>4327.5880674999999</v>
      </c>
    </row>
    <row r="11" spans="1:12">
      <c r="A11" s="482" t="s">
        <v>400</v>
      </c>
      <c r="B11" s="483"/>
      <c r="C11" s="484"/>
      <c r="D11" s="484"/>
      <c r="E11" s="484">
        <v>32686.193135000001</v>
      </c>
      <c r="F11" s="484">
        <v>32686.193135000001</v>
      </c>
      <c r="G11" s="485">
        <v>71460.893532499991</v>
      </c>
    </row>
    <row r="12" spans="1:12">
      <c r="A12" s="480" t="s">
        <v>106</v>
      </c>
      <c r="B12" s="477" t="s">
        <v>82</v>
      </c>
      <c r="C12" s="478"/>
      <c r="D12" s="478"/>
      <c r="E12" s="478">
        <v>18337.717505000001</v>
      </c>
      <c r="F12" s="478">
        <v>18337.717505000001</v>
      </c>
      <c r="G12" s="479">
        <v>45419.360484999997</v>
      </c>
    </row>
    <row r="13" spans="1:12">
      <c r="A13" s="480"/>
      <c r="B13" s="477" t="s">
        <v>84</v>
      </c>
      <c r="C13" s="478"/>
      <c r="D13" s="478"/>
      <c r="E13" s="478">
        <v>4590.2075850000001</v>
      </c>
      <c r="F13" s="478">
        <v>4590.2075850000001</v>
      </c>
      <c r="G13" s="479">
        <v>15015.566547500001</v>
      </c>
    </row>
    <row r="14" spans="1:12">
      <c r="A14" s="482" t="s">
        <v>401</v>
      </c>
      <c r="B14" s="483"/>
      <c r="C14" s="484"/>
      <c r="D14" s="484"/>
      <c r="E14" s="484">
        <v>22927.925090000001</v>
      </c>
      <c r="F14" s="484">
        <v>22927.925090000001</v>
      </c>
      <c r="G14" s="485">
        <v>60434.927032499996</v>
      </c>
    </row>
    <row r="15" spans="1:12">
      <c r="A15" s="480" t="s">
        <v>96</v>
      </c>
      <c r="B15" s="477" t="s">
        <v>402</v>
      </c>
      <c r="C15" s="478">
        <v>46353.525280000002</v>
      </c>
      <c r="D15" s="478"/>
      <c r="E15" s="478"/>
      <c r="F15" s="478">
        <v>46353.525280000002</v>
      </c>
      <c r="G15" s="479">
        <v>108939.9585925</v>
      </c>
    </row>
    <row r="16" spans="1:12">
      <c r="A16" s="480"/>
      <c r="B16" s="477" t="s">
        <v>403</v>
      </c>
      <c r="C16" s="478">
        <v>85944.577742499998</v>
      </c>
      <c r="D16" s="478"/>
      <c r="E16" s="478"/>
      <c r="F16" s="478">
        <v>85944.577742499998</v>
      </c>
      <c r="G16" s="479">
        <v>176376.97068249999</v>
      </c>
    </row>
    <row r="17" spans="1:7">
      <c r="A17" s="480"/>
      <c r="B17" s="477" t="s">
        <v>404</v>
      </c>
      <c r="C17" s="478"/>
      <c r="D17" s="478">
        <v>60582.998322499996</v>
      </c>
      <c r="E17" s="478"/>
      <c r="F17" s="478">
        <v>60582.998322499996</v>
      </c>
      <c r="G17" s="479">
        <v>200243.02024499999</v>
      </c>
    </row>
    <row r="18" spans="1:7">
      <c r="A18" s="480"/>
      <c r="B18" s="477" t="s">
        <v>405</v>
      </c>
      <c r="C18" s="478"/>
      <c r="D18" s="478">
        <v>896.24612000000002</v>
      </c>
      <c r="E18" s="478"/>
      <c r="F18" s="478">
        <v>896.24612000000002</v>
      </c>
      <c r="G18" s="479">
        <v>11696.7132525</v>
      </c>
    </row>
    <row r="19" spans="1:7">
      <c r="A19" s="480"/>
      <c r="B19" s="477" t="s">
        <v>406</v>
      </c>
      <c r="C19" s="478"/>
      <c r="D19" s="478">
        <v>20235.010845000001</v>
      </c>
      <c r="E19" s="478"/>
      <c r="F19" s="478">
        <v>20235.010845000001</v>
      </c>
      <c r="G19" s="479">
        <v>20235.010845000001</v>
      </c>
    </row>
    <row r="20" spans="1:7">
      <c r="A20" s="480"/>
      <c r="B20" s="477" t="s">
        <v>407</v>
      </c>
      <c r="C20" s="478"/>
      <c r="D20" s="478">
        <v>6309.2863875000003</v>
      </c>
      <c r="E20" s="478"/>
      <c r="F20" s="478">
        <v>6309.2863875000003</v>
      </c>
      <c r="G20" s="479">
        <v>6309.2863875000003</v>
      </c>
    </row>
    <row r="21" spans="1:7">
      <c r="A21" s="480"/>
      <c r="B21" s="477" t="s">
        <v>408</v>
      </c>
      <c r="C21" s="478"/>
      <c r="D21" s="478">
        <v>1442.7697074999999</v>
      </c>
      <c r="E21" s="478"/>
      <c r="F21" s="478">
        <v>1442.7697074999999</v>
      </c>
      <c r="G21" s="479">
        <v>1442.7697074999999</v>
      </c>
    </row>
    <row r="22" spans="1:7">
      <c r="A22" s="480"/>
      <c r="B22" s="477" t="s">
        <v>693</v>
      </c>
      <c r="C22" s="478"/>
      <c r="D22" s="478"/>
      <c r="E22" s="478">
        <v>719.09056499999997</v>
      </c>
      <c r="F22" s="478">
        <v>719.09056499999997</v>
      </c>
      <c r="G22" s="479">
        <v>719.09056499999997</v>
      </c>
    </row>
    <row r="23" spans="1:7">
      <c r="A23" s="482" t="s">
        <v>409</v>
      </c>
      <c r="B23" s="483"/>
      <c r="C23" s="484">
        <v>132298.1030225</v>
      </c>
      <c r="D23" s="484">
        <v>89466.311382500004</v>
      </c>
      <c r="E23" s="484">
        <v>719.09056499999997</v>
      </c>
      <c r="F23" s="484">
        <v>222483.50497000001</v>
      </c>
      <c r="G23" s="485">
        <v>525962.82027749997</v>
      </c>
    </row>
    <row r="24" spans="1:7">
      <c r="A24" s="480" t="s">
        <v>284</v>
      </c>
      <c r="B24" s="477" t="s">
        <v>410</v>
      </c>
      <c r="C24" s="478"/>
      <c r="D24" s="478">
        <v>66095.459795000002</v>
      </c>
      <c r="E24" s="478"/>
      <c r="F24" s="478">
        <v>66095.459795000002</v>
      </c>
      <c r="G24" s="479">
        <v>258877.69881</v>
      </c>
    </row>
    <row r="25" spans="1:7">
      <c r="A25" s="482" t="s">
        <v>411</v>
      </c>
      <c r="B25" s="483"/>
      <c r="C25" s="484"/>
      <c r="D25" s="484">
        <v>66095.459795000002</v>
      </c>
      <c r="E25" s="484"/>
      <c r="F25" s="484">
        <v>66095.459795000002</v>
      </c>
      <c r="G25" s="485">
        <v>258877.69881</v>
      </c>
    </row>
    <row r="26" spans="1:7">
      <c r="A26" s="480" t="s">
        <v>118</v>
      </c>
      <c r="B26" s="477" t="s">
        <v>70</v>
      </c>
      <c r="C26" s="478"/>
      <c r="D26" s="478"/>
      <c r="E26" s="478">
        <v>4650.8904299999995</v>
      </c>
      <c r="F26" s="478">
        <v>4650.8904299999995</v>
      </c>
      <c r="G26" s="479">
        <v>9262.3805924999997</v>
      </c>
    </row>
    <row r="27" spans="1:7">
      <c r="A27" s="482" t="s">
        <v>412</v>
      </c>
      <c r="B27" s="483"/>
      <c r="C27" s="484"/>
      <c r="D27" s="484"/>
      <c r="E27" s="484">
        <v>4650.8904299999995</v>
      </c>
      <c r="F27" s="484">
        <v>4650.8904299999995</v>
      </c>
      <c r="G27" s="485">
        <v>9262.3805924999997</v>
      </c>
    </row>
    <row r="28" spans="1:7">
      <c r="A28" s="480" t="s">
        <v>121</v>
      </c>
      <c r="B28" s="477" t="s">
        <v>276</v>
      </c>
      <c r="C28" s="478"/>
      <c r="D28" s="478"/>
      <c r="E28" s="478">
        <v>3394.7251849999998</v>
      </c>
      <c r="F28" s="478">
        <v>3394.7251849999998</v>
      </c>
      <c r="G28" s="479">
        <v>7257.9470975000004</v>
      </c>
    </row>
    <row r="29" spans="1:7">
      <c r="A29" s="482" t="s">
        <v>413</v>
      </c>
      <c r="B29" s="483"/>
      <c r="C29" s="484"/>
      <c r="D29" s="484"/>
      <c r="E29" s="484">
        <v>3394.7251849999998</v>
      </c>
      <c r="F29" s="484">
        <v>3394.7251849999998</v>
      </c>
      <c r="G29" s="485">
        <v>7257.9470975000004</v>
      </c>
    </row>
    <row r="30" spans="1:7">
      <c r="A30" s="480" t="s">
        <v>122</v>
      </c>
      <c r="B30" s="477" t="s">
        <v>91</v>
      </c>
      <c r="C30" s="478"/>
      <c r="D30" s="478"/>
      <c r="E30" s="478">
        <v>1928.3449450000001</v>
      </c>
      <c r="F30" s="478">
        <v>1928.3449450000001</v>
      </c>
      <c r="G30" s="479">
        <v>5350.845945</v>
      </c>
    </row>
    <row r="31" spans="1:7">
      <c r="A31" s="482" t="s">
        <v>414</v>
      </c>
      <c r="B31" s="483"/>
      <c r="C31" s="484"/>
      <c r="D31" s="484"/>
      <c r="E31" s="484">
        <v>1928.3449450000001</v>
      </c>
      <c r="F31" s="484">
        <v>1928.3449450000001</v>
      </c>
      <c r="G31" s="485">
        <v>5350.845945</v>
      </c>
    </row>
    <row r="32" spans="1:7">
      <c r="A32" s="480" t="s">
        <v>126</v>
      </c>
      <c r="B32" s="477" t="s">
        <v>78</v>
      </c>
      <c r="C32" s="478"/>
      <c r="D32" s="478"/>
      <c r="E32" s="478">
        <v>2213.1999999999998</v>
      </c>
      <c r="F32" s="478">
        <v>2213.1999999999998</v>
      </c>
      <c r="G32" s="479">
        <v>3430.6</v>
      </c>
    </row>
    <row r="33" spans="1:7">
      <c r="A33" s="482" t="s">
        <v>415</v>
      </c>
      <c r="B33" s="483"/>
      <c r="C33" s="484"/>
      <c r="D33" s="484"/>
      <c r="E33" s="484">
        <v>2213.1999999999998</v>
      </c>
      <c r="F33" s="484">
        <v>2213.1999999999998</v>
      </c>
      <c r="G33" s="485">
        <v>3430.6</v>
      </c>
    </row>
    <row r="34" spans="1:7">
      <c r="A34" s="480" t="s">
        <v>112</v>
      </c>
      <c r="B34" s="477" t="s">
        <v>416</v>
      </c>
      <c r="C34" s="478">
        <v>13025.115</v>
      </c>
      <c r="D34" s="478"/>
      <c r="E34" s="478"/>
      <c r="F34" s="478">
        <v>13025.115</v>
      </c>
      <c r="G34" s="479">
        <v>27022.883000000002</v>
      </c>
    </row>
    <row r="35" spans="1:7">
      <c r="A35" s="482" t="s">
        <v>417</v>
      </c>
      <c r="B35" s="483"/>
      <c r="C35" s="484">
        <v>13025.115</v>
      </c>
      <c r="D35" s="484"/>
      <c r="E35" s="484"/>
      <c r="F35" s="484">
        <v>13025.115</v>
      </c>
      <c r="G35" s="485">
        <v>27022.883000000002</v>
      </c>
    </row>
    <row r="36" spans="1:7">
      <c r="A36" s="480" t="s">
        <v>113</v>
      </c>
      <c r="B36" s="477" t="s">
        <v>418</v>
      </c>
      <c r="C36" s="478">
        <v>12551.683467499999</v>
      </c>
      <c r="D36" s="478"/>
      <c r="E36" s="478"/>
      <c r="F36" s="478">
        <v>12551.683467499999</v>
      </c>
      <c r="G36" s="479">
        <v>26949.117279999999</v>
      </c>
    </row>
    <row r="37" spans="1:7">
      <c r="A37" s="482" t="s">
        <v>419</v>
      </c>
      <c r="B37" s="483"/>
      <c r="C37" s="484">
        <v>12551.683467499999</v>
      </c>
      <c r="D37" s="484"/>
      <c r="E37" s="484"/>
      <c r="F37" s="484">
        <v>12551.683467499999</v>
      </c>
      <c r="G37" s="485">
        <v>26949.117279999999</v>
      </c>
    </row>
    <row r="38" spans="1:7">
      <c r="A38" s="480" t="s">
        <v>285</v>
      </c>
      <c r="B38" s="477" t="s">
        <v>63</v>
      </c>
      <c r="C38" s="478"/>
      <c r="D38" s="478"/>
      <c r="E38" s="478">
        <v>12348.326535</v>
      </c>
      <c r="F38" s="478">
        <v>12348.326535</v>
      </c>
      <c r="G38" s="479">
        <v>25788.417355000001</v>
      </c>
    </row>
    <row r="39" spans="1:7">
      <c r="A39" s="482" t="s">
        <v>420</v>
      </c>
      <c r="B39" s="483"/>
      <c r="C39" s="484"/>
      <c r="D39" s="484"/>
      <c r="E39" s="484">
        <v>12348.326535</v>
      </c>
      <c r="F39" s="484">
        <v>12348.326535</v>
      </c>
      <c r="G39" s="485">
        <v>25788.417355000001</v>
      </c>
    </row>
    <row r="40" spans="1:7">
      <c r="A40" s="480" t="s">
        <v>129</v>
      </c>
      <c r="B40" s="477" t="s">
        <v>421</v>
      </c>
      <c r="C40" s="478"/>
      <c r="D40" s="478">
        <v>1.60836</v>
      </c>
      <c r="E40" s="478"/>
      <c r="F40" s="478">
        <v>1.60836</v>
      </c>
      <c r="G40" s="479">
        <v>373.21760499999999</v>
      </c>
    </row>
    <row r="41" spans="1:7">
      <c r="A41" s="480"/>
      <c r="B41" s="477" t="s">
        <v>422</v>
      </c>
      <c r="C41" s="478"/>
      <c r="D41" s="478">
        <v>11.676197500000001</v>
      </c>
      <c r="E41" s="478"/>
      <c r="F41" s="478">
        <v>11.676197500000001</v>
      </c>
      <c r="G41" s="479">
        <v>14.4850975</v>
      </c>
    </row>
    <row r="42" spans="1:7">
      <c r="A42" s="482" t="s">
        <v>423</v>
      </c>
      <c r="B42" s="483"/>
      <c r="C42" s="484"/>
      <c r="D42" s="484">
        <v>13.2845575</v>
      </c>
      <c r="E42" s="484"/>
      <c r="F42" s="484">
        <v>13.2845575</v>
      </c>
      <c r="G42" s="485">
        <v>387.70270249999999</v>
      </c>
    </row>
    <row r="43" spans="1:7">
      <c r="A43" s="480" t="s">
        <v>286</v>
      </c>
      <c r="B43" s="477" t="s">
        <v>425</v>
      </c>
      <c r="C43" s="478"/>
      <c r="D43" s="478">
        <v>399273.04337500001</v>
      </c>
      <c r="E43" s="478"/>
      <c r="F43" s="478">
        <v>399273.04337500001</v>
      </c>
      <c r="G43" s="479">
        <v>666567.57071750006</v>
      </c>
    </row>
    <row r="44" spans="1:7">
      <c r="A44" s="480"/>
      <c r="B44" s="477" t="s">
        <v>426</v>
      </c>
      <c r="C44" s="478"/>
      <c r="D44" s="478">
        <v>42141.806197500002</v>
      </c>
      <c r="E44" s="478"/>
      <c r="F44" s="478">
        <v>42141.806197500002</v>
      </c>
      <c r="G44" s="479">
        <v>89640.071954999992</v>
      </c>
    </row>
    <row r="45" spans="1:7">
      <c r="A45" s="480"/>
      <c r="B45" s="477" t="s">
        <v>424</v>
      </c>
      <c r="C45" s="478">
        <v>351557.9933575</v>
      </c>
      <c r="D45" s="478"/>
      <c r="E45" s="478"/>
      <c r="F45" s="478">
        <v>351557.9933575</v>
      </c>
      <c r="G45" s="479">
        <f>377058.8715775+F45</f>
        <v>728616.86493499996</v>
      </c>
    </row>
    <row r="46" spans="1:7">
      <c r="A46" s="480"/>
      <c r="B46" s="477" t="s">
        <v>427</v>
      </c>
      <c r="C46" s="478">
        <v>6824.7495349999999</v>
      </c>
      <c r="D46" s="478"/>
      <c r="E46" s="478"/>
      <c r="F46" s="478">
        <v>6824.7495349999999</v>
      </c>
      <c r="G46" s="479">
        <v>13791.117419999999</v>
      </c>
    </row>
    <row r="47" spans="1:7">
      <c r="A47" s="482" t="s">
        <v>428</v>
      </c>
      <c r="B47" s="483"/>
      <c r="C47" s="484">
        <v>358382.74289250001</v>
      </c>
      <c r="D47" s="484">
        <v>441414.84957249998</v>
      </c>
      <c r="E47" s="484"/>
      <c r="F47" s="484">
        <v>799797.59246499999</v>
      </c>
      <c r="G47" s="485">
        <f>+G43+G44+G45+G46</f>
        <v>1498615.6250275001</v>
      </c>
    </row>
    <row r="48" spans="1:7">
      <c r="A48" s="480" t="s">
        <v>704</v>
      </c>
      <c r="B48" s="477" t="s">
        <v>706</v>
      </c>
      <c r="C48" s="478">
        <v>59999.820025000001</v>
      </c>
      <c r="D48" s="478"/>
      <c r="E48" s="478"/>
      <c r="F48" s="478">
        <v>59999.820024999994</v>
      </c>
      <c r="G48" s="479">
        <v>126417.41709999999</v>
      </c>
    </row>
    <row r="49" spans="1:7">
      <c r="A49" s="482" t="s">
        <v>705</v>
      </c>
      <c r="B49" s="483"/>
      <c r="C49" s="484">
        <v>59999.820024999994</v>
      </c>
      <c r="D49" s="484"/>
      <c r="E49" s="484"/>
      <c r="F49" s="484">
        <v>59999.820024999994</v>
      </c>
      <c r="G49" s="485">
        <v>126417.41709999999</v>
      </c>
    </row>
    <row r="50" spans="1:7">
      <c r="A50" s="480" t="s">
        <v>127</v>
      </c>
      <c r="B50" s="477" t="s">
        <v>76</v>
      </c>
      <c r="C50" s="478"/>
      <c r="D50" s="478"/>
      <c r="E50" s="478">
        <v>2285.1489999999999</v>
      </c>
      <c r="F50" s="478">
        <v>2285.1489999999999</v>
      </c>
      <c r="G50" s="479">
        <v>4809.9557999999997</v>
      </c>
    </row>
    <row r="51" spans="1:7">
      <c r="A51" s="482" t="s">
        <v>429</v>
      </c>
      <c r="B51" s="483"/>
      <c r="C51" s="484"/>
      <c r="D51" s="484"/>
      <c r="E51" s="484">
        <v>2285.1489999999999</v>
      </c>
      <c r="F51" s="484">
        <v>2285.1489999999999</v>
      </c>
      <c r="G51" s="485">
        <v>4809.9557999999997</v>
      </c>
    </row>
    <row r="52" spans="1:7">
      <c r="A52" s="480" t="s">
        <v>120</v>
      </c>
      <c r="B52" s="477" t="s">
        <v>88</v>
      </c>
      <c r="C52" s="478"/>
      <c r="D52" s="478"/>
      <c r="E52" s="478">
        <v>3553.2930350000001</v>
      </c>
      <c r="F52" s="478">
        <v>3553.2930350000001</v>
      </c>
      <c r="G52" s="479">
        <v>7693.4843249999994</v>
      </c>
    </row>
    <row r="53" spans="1:7">
      <c r="A53" s="482" t="s">
        <v>430</v>
      </c>
      <c r="B53" s="483"/>
      <c r="C53" s="484"/>
      <c r="D53" s="484"/>
      <c r="E53" s="484">
        <v>3553.2930350000001</v>
      </c>
      <c r="F53" s="484">
        <v>3553.2930350000001</v>
      </c>
      <c r="G53" s="485">
        <v>7693.4843249999994</v>
      </c>
    </row>
    <row r="54" spans="1:7">
      <c r="A54" s="480" t="s">
        <v>287</v>
      </c>
      <c r="B54" s="477" t="s">
        <v>75</v>
      </c>
      <c r="C54" s="478"/>
      <c r="D54" s="478"/>
      <c r="E54" s="478">
        <v>2275.415755</v>
      </c>
      <c r="F54" s="478">
        <v>2275.415755</v>
      </c>
      <c r="G54" s="479">
        <v>5253.4194100000004</v>
      </c>
    </row>
    <row r="55" spans="1:7">
      <c r="A55" s="480"/>
      <c r="B55" s="477" t="s">
        <v>431</v>
      </c>
      <c r="C55" s="478">
        <v>160667.51962000001</v>
      </c>
      <c r="D55" s="478"/>
      <c r="E55" s="478"/>
      <c r="F55" s="478">
        <v>160667.51962000001</v>
      </c>
      <c r="G55" s="479">
        <v>330963.57684749999</v>
      </c>
    </row>
    <row r="56" spans="1:7">
      <c r="A56" s="480"/>
      <c r="B56" s="477" t="s">
        <v>432</v>
      </c>
      <c r="C56" s="478">
        <v>58274.956292499999</v>
      </c>
      <c r="D56" s="478"/>
      <c r="E56" s="478"/>
      <c r="F56" s="478">
        <v>58274.956292499999</v>
      </c>
      <c r="G56" s="479">
        <v>116498.84628500001</v>
      </c>
    </row>
    <row r="57" spans="1:7">
      <c r="A57" s="480"/>
      <c r="B57" s="477" t="s">
        <v>66</v>
      </c>
      <c r="C57" s="478"/>
      <c r="D57" s="478"/>
      <c r="E57" s="478">
        <v>6615.9434375000001</v>
      </c>
      <c r="F57" s="478">
        <v>6615.9434375000001</v>
      </c>
      <c r="G57" s="479">
        <v>13960.8687875</v>
      </c>
    </row>
    <row r="58" spans="1:7">
      <c r="A58" s="482" t="s">
        <v>433</v>
      </c>
      <c r="B58" s="483"/>
      <c r="C58" s="484">
        <v>218942.4759125</v>
      </c>
      <c r="D58" s="484"/>
      <c r="E58" s="484">
        <v>8891.3591925000001</v>
      </c>
      <c r="F58" s="484">
        <v>227833.83510500001</v>
      </c>
      <c r="G58" s="485">
        <v>466676.71133000002</v>
      </c>
    </row>
    <row r="59" spans="1:7">
      <c r="A59" s="480" t="s">
        <v>288</v>
      </c>
      <c r="B59" s="477" t="s">
        <v>83</v>
      </c>
      <c r="C59" s="478"/>
      <c r="D59" s="478"/>
      <c r="E59" s="478">
        <v>8608.3409124999998</v>
      </c>
      <c r="F59" s="478">
        <v>8608.3409124999998</v>
      </c>
      <c r="G59" s="479">
        <v>19600.897182499997</v>
      </c>
    </row>
    <row r="60" spans="1:7">
      <c r="A60" s="482" t="s">
        <v>434</v>
      </c>
      <c r="B60" s="483"/>
      <c r="C60" s="484"/>
      <c r="D60" s="484"/>
      <c r="E60" s="484">
        <v>8608.3409124999998</v>
      </c>
      <c r="F60" s="484">
        <v>8608.3409124999998</v>
      </c>
      <c r="G60" s="485">
        <v>19600.897182499997</v>
      </c>
    </row>
    <row r="61" spans="1:7">
      <c r="A61" s="480" t="s">
        <v>108</v>
      </c>
      <c r="B61" s="477" t="s">
        <v>80</v>
      </c>
      <c r="C61" s="478"/>
      <c r="D61" s="478"/>
      <c r="E61" s="478">
        <v>26598.642795</v>
      </c>
      <c r="F61" s="478">
        <v>26598.642795</v>
      </c>
      <c r="G61" s="479">
        <v>65472.091962500002</v>
      </c>
    </row>
    <row r="62" spans="1:7">
      <c r="A62" s="482" t="s">
        <v>435</v>
      </c>
      <c r="B62" s="483"/>
      <c r="C62" s="484"/>
      <c r="D62" s="484"/>
      <c r="E62" s="484">
        <v>26598.642795</v>
      </c>
      <c r="F62" s="484">
        <v>26598.642795</v>
      </c>
      <c r="G62" s="485">
        <v>65472.091962500002</v>
      </c>
    </row>
    <row r="63" spans="1:7">
      <c r="A63" s="480" t="s">
        <v>117</v>
      </c>
      <c r="B63" s="477" t="s">
        <v>275</v>
      </c>
      <c r="C63" s="478"/>
      <c r="D63" s="478"/>
      <c r="E63" s="478">
        <v>3924.8712500000001</v>
      </c>
      <c r="F63" s="478">
        <v>3924.8712500000001</v>
      </c>
      <c r="G63" s="479">
        <v>8525.1757500000003</v>
      </c>
    </row>
    <row r="64" spans="1:7">
      <c r="A64" s="482" t="s">
        <v>436</v>
      </c>
      <c r="B64" s="483"/>
      <c r="C64" s="484"/>
      <c r="D64" s="484"/>
      <c r="E64" s="484">
        <v>3924.8712500000001</v>
      </c>
      <c r="F64" s="484">
        <v>3924.8712500000001</v>
      </c>
      <c r="G64" s="485">
        <v>8525.1757500000003</v>
      </c>
    </row>
    <row r="65" spans="1:7">
      <c r="A65" s="731"/>
      <c r="B65" s="473"/>
      <c r="C65" s="474"/>
      <c r="D65" s="474"/>
      <c r="E65" s="474"/>
      <c r="F65" s="474"/>
      <c r="G65" s="474"/>
    </row>
    <row r="66" spans="1:7">
      <c r="A66" s="730"/>
      <c r="B66" s="477"/>
      <c r="C66" s="478"/>
      <c r="D66" s="478"/>
      <c r="E66" s="478"/>
      <c r="F66" s="478"/>
      <c r="G66" s="478"/>
    </row>
    <row r="67" spans="1:7">
      <c r="A67" s="732"/>
      <c r="B67" s="732"/>
      <c r="C67" s="732"/>
      <c r="D67" s="732"/>
      <c r="E67" s="732"/>
      <c r="F67" s="732"/>
      <c r="G67" s="732"/>
    </row>
  </sheetData>
  <mergeCells count="5">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Febrero 2018
INFSGI-MES-02-2018
08/03/2018
Versión: 01</oddHeader>
    <oddFooter>&amp;L&amp;7COES SINAC, 2018
&amp;C19&amp;R&amp;7Dirección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60"/>
  <sheetViews>
    <sheetView showGridLines="0" view="pageBreakPreview" zoomScale="145" zoomScaleNormal="100" zoomScaleSheetLayoutView="145" zoomScalePageLayoutView="160" workbookViewId="0">
      <selection activeCell="K12" sqref="K12"/>
    </sheetView>
  </sheetViews>
  <sheetFormatPr defaultRowHeight="11.25"/>
  <cols>
    <col min="1" max="1" width="21.832031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2" ht="15.75" customHeight="1">
      <c r="A1" s="930" t="s">
        <v>299</v>
      </c>
      <c r="B1" s="924" t="s">
        <v>57</v>
      </c>
      <c r="C1" s="926" t="str">
        <f>+'19. ANEXOI-2'!C1:F1</f>
        <v>ENERGÍA PRODUCIDA FEBRERO 2018</v>
      </c>
      <c r="D1" s="926"/>
      <c r="E1" s="926"/>
      <c r="F1" s="926"/>
      <c r="G1" s="487" t="s">
        <v>344</v>
      </c>
      <c r="H1" s="284"/>
      <c r="I1" s="284"/>
      <c r="J1" s="284"/>
      <c r="K1" s="284"/>
    </row>
    <row r="2" spans="1:12" ht="11.25" customHeight="1">
      <c r="A2" s="930"/>
      <c r="B2" s="924"/>
      <c r="C2" s="927" t="s">
        <v>345</v>
      </c>
      <c r="D2" s="927"/>
      <c r="E2" s="927"/>
      <c r="F2" s="928" t="str">
        <f>"TOTAL 
"&amp;UPPER('1. Resumen'!Q4)</f>
        <v>TOTAL 
FEBRERO</v>
      </c>
      <c r="G2" s="488" t="s">
        <v>346</v>
      </c>
      <c r="H2" s="273"/>
      <c r="I2" s="273"/>
      <c r="J2" s="273"/>
      <c r="K2" s="273"/>
      <c r="L2" s="274"/>
    </row>
    <row r="3" spans="1:12" ht="11.25" customHeight="1">
      <c r="A3" s="930"/>
      <c r="B3" s="924"/>
      <c r="C3" s="472" t="s">
        <v>251</v>
      </c>
      <c r="D3" s="472" t="s">
        <v>252</v>
      </c>
      <c r="E3" s="472" t="s">
        <v>347</v>
      </c>
      <c r="F3" s="929"/>
      <c r="G3" s="488">
        <v>2018</v>
      </c>
      <c r="H3" s="276"/>
      <c r="I3" s="275"/>
      <c r="J3" s="275"/>
      <c r="K3" s="275"/>
      <c r="L3" s="274"/>
    </row>
    <row r="4" spans="1:12" ht="11.25" customHeight="1">
      <c r="A4" s="931"/>
      <c r="B4" s="932"/>
      <c r="C4" s="489" t="s">
        <v>348</v>
      </c>
      <c r="D4" s="489" t="s">
        <v>348</v>
      </c>
      <c r="E4" s="489" t="s">
        <v>348</v>
      </c>
      <c r="F4" s="489" t="s">
        <v>348</v>
      </c>
      <c r="G4" s="490" t="s">
        <v>232</v>
      </c>
      <c r="H4" s="276"/>
      <c r="I4" s="276"/>
      <c r="J4" s="276"/>
      <c r="K4" s="276"/>
      <c r="L4" s="12"/>
    </row>
    <row r="5" spans="1:12">
      <c r="A5" s="480" t="s">
        <v>289</v>
      </c>
      <c r="B5" s="477" t="s">
        <v>94</v>
      </c>
      <c r="C5" s="478"/>
      <c r="D5" s="478"/>
      <c r="E5" s="478"/>
      <c r="F5" s="478"/>
      <c r="G5" s="479">
        <v>943.64092499999992</v>
      </c>
    </row>
    <row r="6" spans="1:12">
      <c r="A6" s="480"/>
      <c r="B6" s="477" t="s">
        <v>93</v>
      </c>
      <c r="C6" s="478"/>
      <c r="D6" s="478"/>
      <c r="E6" s="478">
        <v>2643.5123825000001</v>
      </c>
      <c r="F6" s="478">
        <v>2643.5123825000001</v>
      </c>
      <c r="G6" s="479">
        <v>5628.9754324999994</v>
      </c>
    </row>
    <row r="7" spans="1:12">
      <c r="A7" s="482" t="s">
        <v>437</v>
      </c>
      <c r="B7" s="483"/>
      <c r="C7" s="484"/>
      <c r="D7" s="484"/>
      <c r="E7" s="484">
        <v>2643.5123825000001</v>
      </c>
      <c r="F7" s="484">
        <v>2643.5123825000001</v>
      </c>
      <c r="G7" s="485">
        <v>6572.6163574999991</v>
      </c>
    </row>
    <row r="8" spans="1:12">
      <c r="A8" s="480" t="s">
        <v>290</v>
      </c>
      <c r="B8" s="477" t="s">
        <v>438</v>
      </c>
      <c r="C8" s="478"/>
      <c r="D8" s="478">
        <v>159.79007250000001</v>
      </c>
      <c r="E8" s="478"/>
      <c r="F8" s="478">
        <v>159.79007250000001</v>
      </c>
      <c r="G8" s="479">
        <v>159.79007250000001</v>
      </c>
    </row>
    <row r="9" spans="1:12">
      <c r="A9" s="482" t="s">
        <v>439</v>
      </c>
      <c r="B9" s="483"/>
      <c r="C9" s="484"/>
      <c r="D9" s="484">
        <v>159.79007250000001</v>
      </c>
      <c r="E9" s="484"/>
      <c r="F9" s="484">
        <v>159.79007250000001</v>
      </c>
      <c r="G9" s="485">
        <v>159.79007250000001</v>
      </c>
    </row>
    <row r="10" spans="1:12">
      <c r="A10" s="476" t="s">
        <v>114</v>
      </c>
      <c r="B10" s="477" t="s">
        <v>65</v>
      </c>
      <c r="C10" s="478"/>
      <c r="D10" s="478"/>
      <c r="E10" s="478">
        <v>11770.2440525</v>
      </c>
      <c r="F10" s="478">
        <v>11770.2440525</v>
      </c>
      <c r="G10" s="479">
        <v>22703.612280000001</v>
      </c>
    </row>
    <row r="11" spans="1:12">
      <c r="A11" s="482" t="s">
        <v>440</v>
      </c>
      <c r="B11" s="483"/>
      <c r="C11" s="484"/>
      <c r="D11" s="484"/>
      <c r="E11" s="484">
        <v>11770.2440525</v>
      </c>
      <c r="F11" s="484">
        <v>11770.2440525</v>
      </c>
      <c r="G11" s="485">
        <v>22703.612280000001</v>
      </c>
    </row>
    <row r="12" spans="1:12">
      <c r="A12" s="476" t="s">
        <v>291</v>
      </c>
      <c r="B12" s="477" t="s">
        <v>441</v>
      </c>
      <c r="C12" s="478"/>
      <c r="D12" s="478">
        <v>23174.802917499997</v>
      </c>
      <c r="E12" s="478"/>
      <c r="F12" s="478">
        <v>23174.802917499997</v>
      </c>
      <c r="G12" s="479">
        <v>23370.040837499997</v>
      </c>
    </row>
    <row r="13" spans="1:12">
      <c r="A13" s="482" t="s">
        <v>442</v>
      </c>
      <c r="B13" s="483"/>
      <c r="C13" s="484"/>
      <c r="D13" s="484">
        <v>23174.802917499997</v>
      </c>
      <c r="E13" s="484"/>
      <c r="F13" s="484">
        <v>23174.802917499997</v>
      </c>
      <c r="G13" s="485">
        <v>23370.040837499997</v>
      </c>
    </row>
    <row r="14" spans="1:12">
      <c r="A14" s="476" t="s">
        <v>104</v>
      </c>
      <c r="B14" s="477" t="s">
        <v>443</v>
      </c>
      <c r="C14" s="478">
        <v>73767.913012500008</v>
      </c>
      <c r="D14" s="478"/>
      <c r="E14" s="478"/>
      <c r="F14" s="478">
        <v>73767.913012500008</v>
      </c>
      <c r="G14" s="479">
        <v>155302.20213749999</v>
      </c>
    </row>
    <row r="15" spans="1:12">
      <c r="A15" s="482" t="s">
        <v>444</v>
      </c>
      <c r="B15" s="483"/>
      <c r="C15" s="484">
        <v>73767.913012500008</v>
      </c>
      <c r="D15" s="484"/>
      <c r="E15" s="484"/>
      <c r="F15" s="484">
        <v>73767.913012500008</v>
      </c>
      <c r="G15" s="485">
        <v>155302.20213749999</v>
      </c>
    </row>
    <row r="16" spans="1:12">
      <c r="A16" s="476" t="s">
        <v>678</v>
      </c>
      <c r="B16" s="477" t="s">
        <v>695</v>
      </c>
      <c r="C16" s="478"/>
      <c r="D16" s="478"/>
      <c r="E16" s="478">
        <v>581.11249999999995</v>
      </c>
      <c r="F16" s="478">
        <v>581.11249999999995</v>
      </c>
      <c r="G16" s="479">
        <v>581.11249999999995</v>
      </c>
    </row>
    <row r="17" spans="1:7">
      <c r="A17" s="482" t="s">
        <v>685</v>
      </c>
      <c r="B17" s="483"/>
      <c r="C17" s="484"/>
      <c r="D17" s="484"/>
      <c r="E17" s="484">
        <v>581.11249999999995</v>
      </c>
      <c r="F17" s="484">
        <v>581.11249999999995</v>
      </c>
      <c r="G17" s="485">
        <v>581.11249999999995</v>
      </c>
    </row>
    <row r="18" spans="1:7">
      <c r="A18" s="480" t="s">
        <v>292</v>
      </c>
      <c r="B18" s="477" t="s">
        <v>69</v>
      </c>
      <c r="C18" s="478"/>
      <c r="D18" s="478"/>
      <c r="E18" s="478">
        <v>6079.0917950000003</v>
      </c>
      <c r="F18" s="478">
        <v>6079.0917950000003</v>
      </c>
      <c r="G18" s="479">
        <v>12560.235172500001</v>
      </c>
    </row>
    <row r="19" spans="1:7">
      <c r="A19" s="480"/>
      <c r="B19" s="477" t="s">
        <v>68</v>
      </c>
      <c r="C19" s="478"/>
      <c r="D19" s="478"/>
      <c r="E19" s="478">
        <v>6291.6226075000004</v>
      </c>
      <c r="F19" s="478">
        <v>6291.6226075000004</v>
      </c>
      <c r="G19" s="479">
        <v>12940.992372500001</v>
      </c>
    </row>
    <row r="20" spans="1:7">
      <c r="A20" s="480"/>
      <c r="B20" s="477" t="s">
        <v>72</v>
      </c>
      <c r="C20" s="478"/>
      <c r="D20" s="478"/>
      <c r="E20" s="478">
        <v>3454.9798225</v>
      </c>
      <c r="F20" s="478">
        <v>3454.9798225</v>
      </c>
      <c r="G20" s="479">
        <v>7403.6835824999998</v>
      </c>
    </row>
    <row r="21" spans="1:7">
      <c r="A21" s="480"/>
      <c r="B21" s="477" t="s">
        <v>71</v>
      </c>
      <c r="C21" s="478"/>
      <c r="D21" s="478"/>
      <c r="E21" s="478">
        <v>3874.0400875</v>
      </c>
      <c r="F21" s="478">
        <v>3874.0400875</v>
      </c>
      <c r="G21" s="479">
        <v>8261.3855275000005</v>
      </c>
    </row>
    <row r="22" spans="1:7">
      <c r="A22" s="482" t="s">
        <v>445</v>
      </c>
      <c r="B22" s="483"/>
      <c r="C22" s="484"/>
      <c r="D22" s="484"/>
      <c r="E22" s="484">
        <v>19699.734312500001</v>
      </c>
      <c r="F22" s="484">
        <v>19699.734312500001</v>
      </c>
      <c r="G22" s="485">
        <v>41166.296655000006</v>
      </c>
    </row>
    <row r="23" spans="1:7">
      <c r="A23" s="480" t="s">
        <v>111</v>
      </c>
      <c r="B23" s="477" t="s">
        <v>446</v>
      </c>
      <c r="C23" s="478"/>
      <c r="D23" s="478">
        <v>18165.458607500001</v>
      </c>
      <c r="E23" s="478"/>
      <c r="F23" s="478">
        <v>18165.458607500001</v>
      </c>
      <c r="G23" s="479">
        <v>38476.080600000001</v>
      </c>
    </row>
    <row r="24" spans="1:7">
      <c r="A24" s="482" t="s">
        <v>447</v>
      </c>
      <c r="B24" s="483"/>
      <c r="C24" s="484"/>
      <c r="D24" s="484">
        <v>18165.458607500001</v>
      </c>
      <c r="E24" s="484"/>
      <c r="F24" s="484">
        <v>18165.458607500001</v>
      </c>
      <c r="G24" s="485">
        <v>38476.080600000001</v>
      </c>
    </row>
    <row r="25" spans="1:7">
      <c r="A25" s="480" t="s">
        <v>131</v>
      </c>
      <c r="B25" s="477" t="s">
        <v>448</v>
      </c>
      <c r="C25" s="478"/>
      <c r="D25" s="478">
        <v>1136.8056349999999</v>
      </c>
      <c r="E25" s="478"/>
      <c r="F25" s="478">
        <v>1136.8056349999999</v>
      </c>
      <c r="G25" s="479">
        <v>1214.3711349999999</v>
      </c>
    </row>
    <row r="26" spans="1:7">
      <c r="A26" s="482" t="s">
        <v>449</v>
      </c>
      <c r="B26" s="483"/>
      <c r="C26" s="484"/>
      <c r="D26" s="484">
        <v>1136.8056349999999</v>
      </c>
      <c r="E26" s="484"/>
      <c r="F26" s="484">
        <v>1136.8056349999999</v>
      </c>
      <c r="G26" s="485">
        <v>1214.3711349999999</v>
      </c>
    </row>
    <row r="27" spans="1:7">
      <c r="A27" s="480" t="s">
        <v>123</v>
      </c>
      <c r="B27" s="477" t="s">
        <v>73</v>
      </c>
      <c r="C27" s="478"/>
      <c r="D27" s="478"/>
      <c r="E27" s="478">
        <v>5100.9950675</v>
      </c>
      <c r="F27" s="478">
        <v>5100.9950675</v>
      </c>
      <c r="G27" s="479">
        <v>8716.0059775000009</v>
      </c>
    </row>
    <row r="28" spans="1:7">
      <c r="A28" s="482" t="s">
        <v>450</v>
      </c>
      <c r="B28" s="483"/>
      <c r="C28" s="484"/>
      <c r="D28" s="484"/>
      <c r="E28" s="484">
        <v>5100.9950675</v>
      </c>
      <c r="F28" s="484">
        <v>5100.9950675</v>
      </c>
      <c r="G28" s="485">
        <v>8716.0059775000009</v>
      </c>
    </row>
    <row r="29" spans="1:7">
      <c r="A29" s="480" t="s">
        <v>99</v>
      </c>
      <c r="B29" s="477" t="s">
        <v>451</v>
      </c>
      <c r="C29" s="478">
        <v>28236.943882500003</v>
      </c>
      <c r="D29" s="478"/>
      <c r="E29" s="478"/>
      <c r="F29" s="478">
        <v>28236.943882500003</v>
      </c>
      <c r="G29" s="479">
        <v>57336.595170000001</v>
      </c>
    </row>
    <row r="30" spans="1:7">
      <c r="A30" s="480"/>
      <c r="B30" s="477" t="s">
        <v>452</v>
      </c>
      <c r="C30" s="478">
        <v>100105.140365</v>
      </c>
      <c r="D30" s="478"/>
      <c r="E30" s="478"/>
      <c r="F30" s="478">
        <v>100105.140365</v>
      </c>
      <c r="G30" s="479">
        <v>198167.51203749998</v>
      </c>
    </row>
    <row r="31" spans="1:7">
      <c r="A31" s="480"/>
      <c r="B31" s="477" t="s">
        <v>453</v>
      </c>
      <c r="C31" s="478">
        <v>15684.940044999999</v>
      </c>
      <c r="D31" s="478"/>
      <c r="E31" s="478"/>
      <c r="F31" s="478">
        <v>15684.940044999999</v>
      </c>
      <c r="G31" s="479">
        <v>31542.238010000001</v>
      </c>
    </row>
    <row r="32" spans="1:7">
      <c r="A32" s="480"/>
      <c r="B32" s="477" t="s">
        <v>454</v>
      </c>
      <c r="C32" s="478">
        <v>0</v>
      </c>
      <c r="D32" s="478"/>
      <c r="E32" s="478"/>
      <c r="F32" s="478">
        <v>0</v>
      </c>
      <c r="G32" s="479">
        <v>0</v>
      </c>
    </row>
    <row r="33" spans="1:7">
      <c r="A33" s="480"/>
      <c r="B33" s="477" t="s">
        <v>455</v>
      </c>
      <c r="C33" s="478">
        <v>19764.946057500001</v>
      </c>
      <c r="D33" s="478"/>
      <c r="E33" s="478"/>
      <c r="F33" s="478">
        <v>19764.946057500001</v>
      </c>
      <c r="G33" s="479">
        <v>34781.724782500001</v>
      </c>
    </row>
    <row r="34" spans="1:7">
      <c r="A34" s="480"/>
      <c r="B34" s="477" t="s">
        <v>456</v>
      </c>
      <c r="C34" s="478">
        <v>2486.9915999999998</v>
      </c>
      <c r="D34" s="478"/>
      <c r="E34" s="478"/>
      <c r="F34" s="478">
        <v>2486.9915999999998</v>
      </c>
      <c r="G34" s="479">
        <v>4101.8662800000002</v>
      </c>
    </row>
    <row r="35" spans="1:7">
      <c r="A35" s="480"/>
      <c r="B35" s="477" t="s">
        <v>457</v>
      </c>
      <c r="C35" s="478">
        <v>4725.4480199999998</v>
      </c>
      <c r="D35" s="478"/>
      <c r="E35" s="478"/>
      <c r="F35" s="478">
        <v>4725.4480199999998</v>
      </c>
      <c r="G35" s="479">
        <v>10025.4339</v>
      </c>
    </row>
    <row r="36" spans="1:7">
      <c r="A36" s="480"/>
      <c r="B36" s="477" t="s">
        <v>458</v>
      </c>
      <c r="C36" s="478">
        <v>2444.6986200000001</v>
      </c>
      <c r="D36" s="478"/>
      <c r="E36" s="478"/>
      <c r="F36" s="478">
        <v>2444.6986200000001</v>
      </c>
      <c r="G36" s="479">
        <v>3217.4242525</v>
      </c>
    </row>
    <row r="37" spans="1:7">
      <c r="A37" s="480"/>
      <c r="B37" s="477" t="s">
        <v>459</v>
      </c>
      <c r="C37" s="478">
        <v>1663.9628325000001</v>
      </c>
      <c r="D37" s="478"/>
      <c r="E37" s="478"/>
      <c r="F37" s="478">
        <v>1663.9628325000001</v>
      </c>
      <c r="G37" s="479">
        <v>3834.5851075</v>
      </c>
    </row>
    <row r="38" spans="1:7">
      <c r="A38" s="480"/>
      <c r="B38" s="477" t="s">
        <v>460</v>
      </c>
      <c r="C38" s="478">
        <v>244.1137525</v>
      </c>
      <c r="D38" s="478"/>
      <c r="E38" s="478"/>
      <c r="F38" s="478">
        <v>244.1137525</v>
      </c>
      <c r="G38" s="479">
        <v>407.01378750000003</v>
      </c>
    </row>
    <row r="39" spans="1:7">
      <c r="A39" s="480"/>
      <c r="B39" s="477" t="s">
        <v>461</v>
      </c>
      <c r="C39" s="478">
        <v>166.10106250000001</v>
      </c>
      <c r="D39" s="478"/>
      <c r="E39" s="478"/>
      <c r="F39" s="478">
        <v>166.10106250000001</v>
      </c>
      <c r="G39" s="479">
        <v>285.90120999999999</v>
      </c>
    </row>
    <row r="40" spans="1:7">
      <c r="A40" s="480"/>
      <c r="B40" s="477" t="s">
        <v>462</v>
      </c>
      <c r="C40" s="478">
        <v>67081.2690325</v>
      </c>
      <c r="D40" s="478"/>
      <c r="E40" s="478"/>
      <c r="F40" s="478">
        <v>67081.2690325</v>
      </c>
      <c r="G40" s="479">
        <v>127332.31572499999</v>
      </c>
    </row>
    <row r="41" spans="1:7">
      <c r="A41" s="482" t="s">
        <v>463</v>
      </c>
      <c r="B41" s="483"/>
      <c r="C41" s="484">
        <v>242604.55527000001</v>
      </c>
      <c r="D41" s="484"/>
      <c r="E41" s="484"/>
      <c r="F41" s="484">
        <v>242604.55527000001</v>
      </c>
      <c r="G41" s="485">
        <v>471032.61026250001</v>
      </c>
    </row>
    <row r="42" spans="1:7">
      <c r="A42" s="476" t="s">
        <v>119</v>
      </c>
      <c r="B42" s="477" t="s">
        <v>274</v>
      </c>
      <c r="C42" s="478"/>
      <c r="D42" s="478"/>
      <c r="E42" s="478">
        <v>4308.43246</v>
      </c>
      <c r="F42" s="478">
        <v>4308.43246</v>
      </c>
      <c r="G42" s="479">
        <v>9166.39221</v>
      </c>
    </row>
    <row r="43" spans="1:7">
      <c r="A43" s="482" t="s">
        <v>464</v>
      </c>
      <c r="B43" s="483"/>
      <c r="C43" s="484"/>
      <c r="D43" s="484"/>
      <c r="E43" s="484">
        <v>4308.43246</v>
      </c>
      <c r="F43" s="484">
        <v>4308.43246</v>
      </c>
      <c r="G43" s="485">
        <v>9166.39221</v>
      </c>
    </row>
    <row r="44" spans="1:7">
      <c r="A44" s="476" t="s">
        <v>109</v>
      </c>
      <c r="B44" s="477" t="s">
        <v>694</v>
      </c>
      <c r="C44" s="478"/>
      <c r="D44" s="478">
        <v>30925.195844999998</v>
      </c>
      <c r="E44" s="478"/>
      <c r="F44" s="478">
        <v>30925.195844999998</v>
      </c>
      <c r="G44" s="479">
        <v>50404.783750000002</v>
      </c>
    </row>
    <row r="45" spans="1:7">
      <c r="A45" s="482" t="s">
        <v>465</v>
      </c>
      <c r="B45" s="483"/>
      <c r="C45" s="484"/>
      <c r="D45" s="484">
        <v>30925.195844999998</v>
      </c>
      <c r="E45" s="484"/>
      <c r="F45" s="484">
        <v>30925.195844999998</v>
      </c>
      <c r="G45" s="485">
        <v>50404.783750000002</v>
      </c>
    </row>
    <row r="46" spans="1:7">
      <c r="A46" s="476" t="s">
        <v>115</v>
      </c>
      <c r="B46" s="477" t="s">
        <v>466</v>
      </c>
      <c r="C46" s="478"/>
      <c r="D46" s="478">
        <v>47557.086605000004</v>
      </c>
      <c r="E46" s="478"/>
      <c r="F46" s="478">
        <v>47557.086605000004</v>
      </c>
      <c r="G46" s="479">
        <v>56915.968597500003</v>
      </c>
    </row>
    <row r="47" spans="1:7">
      <c r="A47" s="482" t="s">
        <v>467</v>
      </c>
      <c r="B47" s="483"/>
      <c r="C47" s="484"/>
      <c r="D47" s="484">
        <v>47557.086605000004</v>
      </c>
      <c r="E47" s="484"/>
      <c r="F47" s="484">
        <v>47557.086605000004</v>
      </c>
      <c r="G47" s="485">
        <v>56915.968597500003</v>
      </c>
    </row>
    <row r="49" spans="1:7">
      <c r="A49" s="491" t="s">
        <v>468</v>
      </c>
      <c r="B49" s="492"/>
      <c r="C49" s="493">
        <v>2655567.1173099992</v>
      </c>
      <c r="D49" s="493">
        <v>1035724.4684225</v>
      </c>
      <c r="E49" s="493">
        <v>228249.908455</v>
      </c>
      <c r="F49" s="493">
        <v>3919541.4941874985</v>
      </c>
      <c r="G49" s="493">
        <v>8174788.2803549971</v>
      </c>
    </row>
    <row r="50" spans="1:7">
      <c r="A50" s="495" t="s">
        <v>469</v>
      </c>
      <c r="B50" s="496"/>
      <c r="C50" s="497"/>
      <c r="D50" s="497"/>
      <c r="E50" s="498"/>
      <c r="F50" s="494">
        <v>2120.6869999999994</v>
      </c>
      <c r="G50" s="494">
        <v>2120.6869999999994</v>
      </c>
    </row>
    <row r="51" spans="1:7">
      <c r="A51" s="499" t="s">
        <v>470</v>
      </c>
      <c r="B51" s="500"/>
      <c r="C51" s="501"/>
      <c r="D51" s="501"/>
      <c r="E51" s="502"/>
      <c r="F51" s="494">
        <v>0</v>
      </c>
      <c r="G51" s="494">
        <v>0</v>
      </c>
    </row>
    <row r="53" spans="1:7" ht="25.5" customHeight="1">
      <c r="A53" s="933" t="s">
        <v>471</v>
      </c>
      <c r="B53" s="933"/>
      <c r="C53" s="933"/>
      <c r="D53" s="933"/>
      <c r="E53" s="933"/>
      <c r="F53" s="933"/>
      <c r="G53" s="933"/>
    </row>
    <row r="55" spans="1:7">
      <c r="A55" s="503" t="s">
        <v>472</v>
      </c>
      <c r="B55" s="503"/>
      <c r="C55" s="503"/>
      <c r="D55" s="503"/>
      <c r="E55" s="503"/>
      <c r="F55" s="503"/>
    </row>
    <row r="56" spans="1:7">
      <c r="A56" s="503" t="s">
        <v>688</v>
      </c>
      <c r="B56" s="503"/>
      <c r="C56" s="503"/>
      <c r="D56" s="503"/>
      <c r="E56" s="503"/>
      <c r="F56" s="503"/>
    </row>
    <row r="57" spans="1:7">
      <c r="A57" s="503" t="s">
        <v>689</v>
      </c>
    </row>
    <row r="58" spans="1:7">
      <c r="A58" s="503" t="s">
        <v>686</v>
      </c>
    </row>
    <row r="59" spans="1:7">
      <c r="A59" s="503" t="s">
        <v>687</v>
      </c>
    </row>
    <row r="60" spans="1:7">
      <c r="A60" s="503" t="s">
        <v>709</v>
      </c>
    </row>
  </sheetData>
  <mergeCells count="6">
    <mergeCell ref="A53:G53"/>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Febrero 2018
INFSGI-MES-02-2018
08/03/2018
Versión: 01</oddHeader>
    <oddFooter>&amp;L&amp;7COES SINAC, 2018
&amp;C20&amp;R&amp;7Dirección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M67"/>
  <sheetViews>
    <sheetView showGridLines="0" view="pageBreakPreview" zoomScale="130" zoomScaleNormal="100" zoomScaleSheetLayoutView="130" zoomScalePageLayoutView="160" workbookViewId="0">
      <selection activeCell="F17" sqref="F17"/>
    </sheetView>
  </sheetViews>
  <sheetFormatPr defaultRowHeight="9"/>
  <cols>
    <col min="1" max="1" width="28.6640625" style="503" customWidth="1"/>
    <col min="2" max="2" width="22.1640625" style="503" customWidth="1"/>
    <col min="3" max="4" width="17.6640625" style="503" customWidth="1"/>
    <col min="5" max="5" width="15.1640625" style="503" customWidth="1"/>
    <col min="6" max="6" width="13.33203125" style="503" customWidth="1"/>
    <col min="7" max="9" width="9.33203125" style="503"/>
    <col min="10" max="11" width="9.33203125" style="503" customWidth="1"/>
    <col min="12" max="13" width="9.33203125" style="503"/>
    <col min="14" max="16384" width="9.33203125" style="504"/>
  </cols>
  <sheetData>
    <row r="1" spans="1:12" ht="11.25" customHeight="1">
      <c r="A1" s="486" t="s">
        <v>488</v>
      </c>
    </row>
    <row r="2" spans="1:12" ht="11.25" customHeight="1">
      <c r="A2" s="934" t="s">
        <v>299</v>
      </c>
      <c r="B2" s="937" t="s">
        <v>57</v>
      </c>
      <c r="C2" s="937" t="s">
        <v>489</v>
      </c>
      <c r="D2" s="937"/>
      <c r="E2" s="937"/>
      <c r="F2" s="940"/>
      <c r="G2" s="505"/>
      <c r="H2" s="505"/>
      <c r="I2" s="505"/>
      <c r="J2" s="505"/>
      <c r="K2" s="505"/>
    </row>
    <row r="3" spans="1:12" ht="11.25" customHeight="1">
      <c r="A3" s="935"/>
      <c r="B3" s="938"/>
      <c r="C3" s="527" t="str">
        <f>UPPER('1. Resumen'!Q4)&amp;" "&amp;'1. Resumen'!Q5</f>
        <v>FEBRERO 2018</v>
      </c>
      <c r="D3" s="528" t="str">
        <f>UPPER('1. Resumen'!Q4)&amp;" "&amp;'1. Resumen'!Q5-1</f>
        <v>FEBRERO 2017</v>
      </c>
      <c r="E3" s="529">
        <v>2018</v>
      </c>
      <c r="F3" s="506" t="s">
        <v>487</v>
      </c>
      <c r="G3" s="507"/>
      <c r="H3" s="507"/>
      <c r="I3" s="507"/>
      <c r="J3" s="507"/>
      <c r="K3" s="507"/>
      <c r="L3" s="508"/>
    </row>
    <row r="4" spans="1:12" ht="11.25" customHeight="1">
      <c r="A4" s="935"/>
      <c r="B4" s="938"/>
      <c r="C4" s="530">
        <f>+'8. Max Potencia'!D8</f>
        <v>43144.8125</v>
      </c>
      <c r="D4" s="530">
        <f>+'8. Max Potencia'!E8</f>
        <v>42767.833333333336</v>
      </c>
      <c r="E4" s="530">
        <f>+'8. Max Potencia'!G8</f>
        <v>43144.8125</v>
      </c>
      <c r="F4" s="531" t="s">
        <v>473</v>
      </c>
      <c r="G4" s="509"/>
      <c r="H4" s="509"/>
      <c r="I4" s="510"/>
      <c r="J4" s="510"/>
      <c r="K4" s="510"/>
      <c r="L4" s="508"/>
    </row>
    <row r="5" spans="1:12" ht="11.25" customHeight="1">
      <c r="A5" s="936"/>
      <c r="B5" s="939"/>
      <c r="C5" s="532">
        <f>+'8. Max Potencia'!D9</f>
        <v>43144.8125</v>
      </c>
      <c r="D5" s="532">
        <f>+'8. Max Potencia'!E9</f>
        <v>42767.833333333336</v>
      </c>
      <c r="E5" s="532">
        <f>+'8. Max Potencia'!G9</f>
        <v>43144.8125</v>
      </c>
      <c r="F5" s="533" t="s">
        <v>474</v>
      </c>
      <c r="G5" s="509"/>
      <c r="H5" s="509"/>
      <c r="I5" s="509"/>
      <c r="J5" s="509"/>
      <c r="K5" s="509"/>
      <c r="L5" s="511"/>
    </row>
    <row r="6" spans="1:12" ht="11.25" customHeight="1">
      <c r="A6" s="481" t="s">
        <v>133</v>
      </c>
      <c r="B6" s="525" t="s">
        <v>95</v>
      </c>
      <c r="C6" s="526">
        <v>0</v>
      </c>
      <c r="D6" s="526">
        <v>0</v>
      </c>
      <c r="E6" s="526">
        <v>0</v>
      </c>
      <c r="F6" s="734" t="str">
        <f>+IF(D6=0,"",C6/D6-1)</f>
        <v/>
      </c>
      <c r="G6" s="509"/>
      <c r="H6" s="509"/>
      <c r="I6" s="509"/>
      <c r="J6" s="509"/>
      <c r="K6" s="509"/>
      <c r="L6" s="512"/>
    </row>
    <row r="7" spans="1:12" ht="11.25" customHeight="1">
      <c r="A7" s="482" t="s">
        <v>349</v>
      </c>
      <c r="B7" s="483"/>
      <c r="C7" s="520">
        <v>0</v>
      </c>
      <c r="D7" s="520">
        <v>0</v>
      </c>
      <c r="E7" s="520">
        <v>0</v>
      </c>
      <c r="F7" s="524" t="str">
        <f t="shared" ref="F7:F67" si="0">+IF(D7=0,"",C7/D7-1)</f>
        <v/>
      </c>
      <c r="G7" s="509"/>
      <c r="H7" s="509"/>
      <c r="I7" s="509"/>
      <c r="J7" s="509"/>
      <c r="K7" s="509"/>
      <c r="L7" s="422"/>
    </row>
    <row r="8" spans="1:12" ht="11.25" customHeight="1">
      <c r="A8" s="476" t="s">
        <v>132</v>
      </c>
      <c r="B8" s="521" t="s">
        <v>67</v>
      </c>
      <c r="C8" s="522">
        <v>20.382480000000001</v>
      </c>
      <c r="D8" s="522"/>
      <c r="E8" s="522">
        <v>20.382480000000001</v>
      </c>
      <c r="F8" s="523" t="str">
        <f t="shared" si="0"/>
        <v/>
      </c>
      <c r="G8" s="509"/>
      <c r="H8" s="509"/>
      <c r="I8" s="509"/>
      <c r="J8" s="509"/>
      <c r="K8" s="509"/>
      <c r="L8" s="513"/>
    </row>
    <row r="9" spans="1:12" ht="11.25" customHeight="1">
      <c r="A9" s="482" t="s">
        <v>350</v>
      </c>
      <c r="B9" s="483"/>
      <c r="C9" s="520">
        <v>20.382480000000001</v>
      </c>
      <c r="D9" s="520"/>
      <c r="E9" s="520">
        <v>20.382480000000001</v>
      </c>
      <c r="F9" s="524" t="str">
        <f t="shared" si="0"/>
        <v/>
      </c>
      <c r="G9" s="509"/>
      <c r="H9" s="509"/>
      <c r="I9" s="509"/>
      <c r="J9" s="509"/>
      <c r="K9" s="509"/>
      <c r="L9" s="422"/>
    </row>
    <row r="10" spans="1:12" ht="11.25" customHeight="1">
      <c r="A10" s="476" t="s">
        <v>116</v>
      </c>
      <c r="B10" s="521" t="s">
        <v>92</v>
      </c>
      <c r="C10" s="522">
        <v>13.00605</v>
      </c>
      <c r="D10" s="522">
        <v>0</v>
      </c>
      <c r="E10" s="522">
        <v>13.00605</v>
      </c>
      <c r="F10" s="523" t="str">
        <f t="shared" si="0"/>
        <v/>
      </c>
      <c r="G10" s="509"/>
      <c r="H10" s="509"/>
      <c r="I10" s="509"/>
      <c r="J10" s="509"/>
      <c r="K10" s="509"/>
      <c r="L10" s="422"/>
    </row>
    <row r="11" spans="1:12" ht="11.25" customHeight="1">
      <c r="A11" s="482" t="s">
        <v>351</v>
      </c>
      <c r="B11" s="483"/>
      <c r="C11" s="520">
        <v>13.00605</v>
      </c>
      <c r="D11" s="520">
        <v>0</v>
      </c>
      <c r="E11" s="520">
        <v>13.00605</v>
      </c>
      <c r="F11" s="524" t="str">
        <f t="shared" si="0"/>
        <v/>
      </c>
      <c r="G11" s="509"/>
      <c r="H11" s="509"/>
      <c r="I11" s="509"/>
      <c r="J11" s="509"/>
      <c r="K11" s="509"/>
      <c r="L11" s="422"/>
    </row>
    <row r="12" spans="1:12" ht="11.25" customHeight="1">
      <c r="A12" s="476" t="s">
        <v>135</v>
      </c>
      <c r="B12" s="521" t="s">
        <v>475</v>
      </c>
      <c r="C12" s="522"/>
      <c r="D12" s="522">
        <v>11.60938</v>
      </c>
      <c r="E12" s="522"/>
      <c r="F12" s="523">
        <f t="shared" si="0"/>
        <v>-1</v>
      </c>
      <c r="G12" s="509"/>
      <c r="H12" s="509"/>
      <c r="I12" s="509"/>
      <c r="J12" s="509"/>
      <c r="K12" s="509"/>
      <c r="L12" s="422"/>
    </row>
    <row r="13" spans="1:12" ht="11.25" customHeight="1">
      <c r="A13" s="482" t="s">
        <v>476</v>
      </c>
      <c r="B13" s="483"/>
      <c r="C13" s="520"/>
      <c r="D13" s="520">
        <v>11.60938</v>
      </c>
      <c r="E13" s="520"/>
      <c r="F13" s="524">
        <f t="shared" si="0"/>
        <v>-1</v>
      </c>
      <c r="G13" s="509"/>
      <c r="H13" s="509"/>
      <c r="I13" s="509"/>
      <c r="J13" s="509"/>
      <c r="K13" s="509"/>
      <c r="L13" s="513"/>
    </row>
    <row r="14" spans="1:12" ht="11.25" customHeight="1">
      <c r="A14" s="476" t="s">
        <v>103</v>
      </c>
      <c r="B14" s="521" t="s">
        <v>352</v>
      </c>
      <c r="C14" s="522">
        <v>215.80619999999999</v>
      </c>
      <c r="D14" s="522">
        <v>214.69425000000001</v>
      </c>
      <c r="E14" s="522">
        <v>215.80619999999999</v>
      </c>
      <c r="F14" s="523">
        <f t="shared" si="0"/>
        <v>5.1792258060008312E-3</v>
      </c>
      <c r="G14" s="509"/>
      <c r="H14" s="509"/>
      <c r="I14" s="509"/>
      <c r="J14" s="509"/>
      <c r="K14" s="509"/>
      <c r="L14" s="422"/>
    </row>
    <row r="15" spans="1:12" ht="11.25" customHeight="1">
      <c r="A15" s="482" t="s">
        <v>353</v>
      </c>
      <c r="B15" s="483"/>
      <c r="C15" s="520">
        <v>215.80619999999999</v>
      </c>
      <c r="D15" s="520">
        <v>214.69425000000001</v>
      </c>
      <c r="E15" s="520">
        <v>215.80619999999999</v>
      </c>
      <c r="F15" s="524">
        <f t="shared" si="0"/>
        <v>5.1792258060008312E-3</v>
      </c>
      <c r="G15" s="509"/>
      <c r="H15" s="509"/>
      <c r="I15" s="509"/>
      <c r="J15" s="509"/>
      <c r="K15" s="509"/>
      <c r="L15" s="422"/>
    </row>
    <row r="16" spans="1:12" ht="11.25" customHeight="1">
      <c r="A16" s="476" t="s">
        <v>136</v>
      </c>
      <c r="B16" s="521" t="s">
        <v>424</v>
      </c>
      <c r="C16" s="522"/>
      <c r="D16" s="522">
        <v>335.36574000000002</v>
      </c>
      <c r="E16" s="522"/>
      <c r="F16" s="523">
        <f>+IF(D16=0,"",C16/D16-1)</f>
        <v>-1</v>
      </c>
      <c r="G16" s="509"/>
      <c r="H16" s="509"/>
      <c r="I16" s="509"/>
      <c r="J16" s="509"/>
      <c r="K16" s="509"/>
      <c r="L16" s="422"/>
    </row>
    <row r="17" spans="1:12" ht="11.25" customHeight="1">
      <c r="A17" s="482" t="s">
        <v>477</v>
      </c>
      <c r="B17" s="483"/>
      <c r="C17" s="520"/>
      <c r="D17" s="520">
        <v>335.36574000000002</v>
      </c>
      <c r="E17" s="520"/>
      <c r="F17" s="524">
        <f t="shared" si="0"/>
        <v>-1</v>
      </c>
      <c r="G17" s="509"/>
      <c r="H17" s="509"/>
      <c r="I17" s="509"/>
      <c r="J17" s="509"/>
      <c r="K17" s="509"/>
      <c r="L17" s="422"/>
    </row>
    <row r="18" spans="1:12" ht="11.25" customHeight="1">
      <c r="A18" s="476" t="s">
        <v>280</v>
      </c>
      <c r="B18" s="521" t="s">
        <v>354</v>
      </c>
      <c r="C18" s="522">
        <v>0</v>
      </c>
      <c r="D18" s="522">
        <v>0</v>
      </c>
      <c r="E18" s="522">
        <v>0</v>
      </c>
      <c r="F18" s="523" t="str">
        <f t="shared" si="0"/>
        <v/>
      </c>
      <c r="G18" s="509"/>
      <c r="H18" s="509"/>
      <c r="I18" s="509"/>
      <c r="J18" s="509"/>
      <c r="K18" s="509"/>
      <c r="L18" s="422"/>
    </row>
    <row r="19" spans="1:12" ht="11.25" customHeight="1">
      <c r="A19" s="482" t="s">
        <v>355</v>
      </c>
      <c r="B19" s="483"/>
      <c r="C19" s="520">
        <v>0</v>
      </c>
      <c r="D19" s="520">
        <v>0</v>
      </c>
      <c r="E19" s="520">
        <v>0</v>
      </c>
      <c r="F19" s="524" t="str">
        <f t="shared" si="0"/>
        <v/>
      </c>
      <c r="G19" s="509"/>
      <c r="H19" s="509"/>
      <c r="I19" s="509"/>
      <c r="J19" s="509"/>
      <c r="K19" s="509"/>
      <c r="L19" s="422"/>
    </row>
    <row r="20" spans="1:12" ht="11.25" customHeight="1">
      <c r="A20" s="480" t="s">
        <v>102</v>
      </c>
      <c r="B20" s="521" t="s">
        <v>356</v>
      </c>
      <c r="C20" s="522">
        <v>149.97149000000002</v>
      </c>
      <c r="D20" s="522">
        <v>153.00560000000002</v>
      </c>
      <c r="E20" s="522">
        <v>149.97149000000002</v>
      </c>
      <c r="F20" s="523">
        <f t="shared" si="0"/>
        <v>-1.9830058507662507E-2</v>
      </c>
      <c r="G20" s="509"/>
      <c r="H20" s="509"/>
      <c r="I20" s="509"/>
      <c r="J20" s="509"/>
      <c r="K20" s="509"/>
      <c r="L20" s="422"/>
    </row>
    <row r="21" spans="1:12" ht="11.25" customHeight="1">
      <c r="A21" s="476"/>
      <c r="B21" s="521" t="s">
        <v>357</v>
      </c>
      <c r="C21" s="522">
        <v>42.226730000000003</v>
      </c>
      <c r="D21" s="522">
        <v>38.80415</v>
      </c>
      <c r="E21" s="522">
        <v>42.226730000000003</v>
      </c>
      <c r="F21" s="523">
        <f t="shared" si="0"/>
        <v>8.8201390830620063E-2</v>
      </c>
      <c r="G21" s="509"/>
      <c r="H21" s="509"/>
      <c r="I21" s="509"/>
      <c r="J21" s="509"/>
      <c r="K21" s="509"/>
      <c r="L21" s="514"/>
    </row>
    <row r="22" spans="1:12" ht="11.25" customHeight="1">
      <c r="A22" s="482" t="s">
        <v>358</v>
      </c>
      <c r="B22" s="483"/>
      <c r="C22" s="520">
        <v>192.19822000000002</v>
      </c>
      <c r="D22" s="520">
        <v>191.80975000000001</v>
      </c>
      <c r="E22" s="520">
        <v>192.19822000000002</v>
      </c>
      <c r="F22" s="524">
        <f t="shared" si="0"/>
        <v>2.0252880784215055E-3</v>
      </c>
      <c r="G22" s="509"/>
      <c r="H22" s="509"/>
      <c r="I22" s="509"/>
      <c r="J22" s="509"/>
      <c r="K22" s="509"/>
      <c r="L22" s="422"/>
    </row>
    <row r="23" spans="1:12" ht="11.25" customHeight="1">
      <c r="A23" s="476" t="s">
        <v>128</v>
      </c>
      <c r="B23" s="521" t="s">
        <v>94</v>
      </c>
      <c r="C23" s="522">
        <v>1.4519200000000001</v>
      </c>
      <c r="D23" s="522">
        <v>3.0008999999999997</v>
      </c>
      <c r="E23" s="522">
        <v>1.4519200000000001</v>
      </c>
      <c r="F23" s="523">
        <f t="shared" si="0"/>
        <v>-0.51617181512212995</v>
      </c>
      <c r="G23" s="509"/>
      <c r="H23" s="509"/>
      <c r="I23" s="509"/>
      <c r="J23" s="509"/>
      <c r="K23" s="509"/>
      <c r="L23" s="422"/>
    </row>
    <row r="24" spans="1:12" ht="11.25" customHeight="1">
      <c r="A24" s="482" t="s">
        <v>478</v>
      </c>
      <c r="B24" s="483"/>
      <c r="C24" s="520">
        <v>1.4519200000000001</v>
      </c>
      <c r="D24" s="520">
        <v>3.0008999999999997</v>
      </c>
      <c r="E24" s="520">
        <v>1.4519200000000001</v>
      </c>
      <c r="F24" s="524">
        <f t="shared" si="0"/>
        <v>-0.51617181512212995</v>
      </c>
      <c r="G24" s="509"/>
      <c r="H24" s="509"/>
      <c r="I24" s="509"/>
      <c r="J24" s="509"/>
      <c r="K24" s="509"/>
      <c r="L24" s="422"/>
    </row>
    <row r="25" spans="1:12" ht="11.25" customHeight="1">
      <c r="A25" s="480" t="s">
        <v>100</v>
      </c>
      <c r="B25" s="521" t="s">
        <v>359</v>
      </c>
      <c r="C25" s="522">
        <v>1.65957</v>
      </c>
      <c r="D25" s="522">
        <v>1.57779</v>
      </c>
      <c r="E25" s="522">
        <v>1.65957</v>
      </c>
      <c r="F25" s="523">
        <f t="shared" si="0"/>
        <v>5.1831992850759567E-2</v>
      </c>
      <c r="G25" s="509"/>
      <c r="H25" s="509"/>
      <c r="I25" s="509"/>
      <c r="J25" s="509"/>
      <c r="K25" s="509"/>
      <c r="L25" s="514"/>
    </row>
    <row r="26" spans="1:12" ht="11.25" customHeight="1">
      <c r="A26" s="480"/>
      <c r="B26" s="521" t="s">
        <v>360</v>
      </c>
      <c r="C26" s="522">
        <v>0.57299999999999995</v>
      </c>
      <c r="D26" s="522">
        <v>0.36141000000000001</v>
      </c>
      <c r="E26" s="522">
        <v>0.57299999999999995</v>
      </c>
      <c r="F26" s="523">
        <f t="shared" si="0"/>
        <v>0.58545696023906357</v>
      </c>
      <c r="G26" s="509"/>
      <c r="H26" s="509"/>
      <c r="I26" s="509"/>
      <c r="J26" s="509"/>
      <c r="K26" s="509"/>
      <c r="L26" s="422"/>
    </row>
    <row r="27" spans="1:12" ht="11.25" customHeight="1">
      <c r="A27" s="480"/>
      <c r="B27" s="521" t="s">
        <v>361</v>
      </c>
      <c r="C27" s="522">
        <v>4.5425199999999997</v>
      </c>
      <c r="D27" s="522">
        <v>2.0190600000000001</v>
      </c>
      <c r="E27" s="522">
        <v>4.5425199999999997</v>
      </c>
      <c r="F27" s="523">
        <f t="shared" si="0"/>
        <v>1.2498192228066523</v>
      </c>
      <c r="G27" s="509"/>
      <c r="H27" s="509"/>
      <c r="I27" s="509"/>
      <c r="J27" s="509"/>
      <c r="K27" s="509"/>
      <c r="L27" s="422"/>
    </row>
    <row r="28" spans="1:12" ht="11.25" customHeight="1">
      <c r="A28" s="480"/>
      <c r="B28" s="521" t="s">
        <v>362</v>
      </c>
      <c r="C28" s="522">
        <v>15.10961</v>
      </c>
      <c r="D28" s="522">
        <v>13.269660000000002</v>
      </c>
      <c r="E28" s="522">
        <v>15.10961</v>
      </c>
      <c r="F28" s="523">
        <f t="shared" si="0"/>
        <v>0.13865841325248707</v>
      </c>
      <c r="G28" s="509"/>
      <c r="H28" s="509"/>
      <c r="I28" s="509"/>
      <c r="J28" s="509"/>
      <c r="K28" s="509"/>
      <c r="L28" s="422"/>
    </row>
    <row r="29" spans="1:12" ht="11.25" customHeight="1">
      <c r="A29" s="480"/>
      <c r="B29" s="521" t="s">
        <v>363</v>
      </c>
      <c r="C29" s="522">
        <v>138.73094</v>
      </c>
      <c r="D29" s="522">
        <v>132.15036000000001</v>
      </c>
      <c r="E29" s="522">
        <v>138.73094</v>
      </c>
      <c r="F29" s="523">
        <f t="shared" si="0"/>
        <v>4.9796156438771666E-2</v>
      </c>
      <c r="G29" s="509"/>
      <c r="H29" s="509"/>
      <c r="I29" s="509"/>
      <c r="J29" s="509"/>
      <c r="K29" s="509"/>
      <c r="L29" s="422"/>
    </row>
    <row r="30" spans="1:12" ht="11.25" customHeight="1">
      <c r="A30" s="480"/>
      <c r="B30" s="521" t="s">
        <v>364</v>
      </c>
      <c r="C30" s="522">
        <v>8.7476299999999991</v>
      </c>
      <c r="D30" s="522">
        <v>5.7289099999999999</v>
      </c>
      <c r="E30" s="522">
        <v>8.7476299999999991</v>
      </c>
      <c r="F30" s="523">
        <f t="shared" si="0"/>
        <v>0.52692746089570264</v>
      </c>
      <c r="G30" s="509"/>
      <c r="H30" s="509"/>
      <c r="I30" s="509"/>
      <c r="J30" s="509"/>
      <c r="K30" s="509"/>
      <c r="L30" s="422"/>
    </row>
    <row r="31" spans="1:12" ht="11.25" customHeight="1">
      <c r="A31" s="480"/>
      <c r="B31" s="521" t="s">
        <v>365</v>
      </c>
      <c r="C31" s="522">
        <v>0</v>
      </c>
      <c r="D31" s="522">
        <v>9.815100000000001</v>
      </c>
      <c r="E31" s="522">
        <v>0</v>
      </c>
      <c r="F31" s="523">
        <f t="shared" si="0"/>
        <v>-1</v>
      </c>
      <c r="G31" s="509"/>
      <c r="H31" s="509"/>
      <c r="I31" s="509"/>
      <c r="J31" s="509"/>
      <c r="K31" s="515"/>
      <c r="L31" s="422"/>
    </row>
    <row r="32" spans="1:12" ht="11.25" customHeight="1">
      <c r="A32" s="480"/>
      <c r="B32" s="521" t="s">
        <v>366</v>
      </c>
      <c r="C32" s="522">
        <v>0</v>
      </c>
      <c r="D32" s="522">
        <v>16.007989999999999</v>
      </c>
      <c r="E32" s="522">
        <v>0</v>
      </c>
      <c r="F32" s="523">
        <f t="shared" si="0"/>
        <v>-1</v>
      </c>
      <c r="G32" s="509"/>
      <c r="H32" s="509"/>
      <c r="I32" s="509"/>
      <c r="J32" s="509"/>
      <c r="K32" s="515"/>
      <c r="L32" s="422"/>
    </row>
    <row r="33" spans="1:12" ht="11.25" customHeight="1">
      <c r="A33" s="476"/>
      <c r="B33" s="521" t="s">
        <v>367</v>
      </c>
      <c r="C33" s="522">
        <v>30.096039999999999</v>
      </c>
      <c r="D33" s="522">
        <v>68.306250000000006</v>
      </c>
      <c r="E33" s="522">
        <v>30.096039999999999</v>
      </c>
      <c r="F33" s="523">
        <f t="shared" si="0"/>
        <v>-0.5593955165156923</v>
      </c>
      <c r="G33" s="509"/>
      <c r="H33" s="509"/>
      <c r="I33" s="509"/>
      <c r="J33" s="509"/>
      <c r="K33" s="515"/>
      <c r="L33" s="422"/>
    </row>
    <row r="34" spans="1:12" ht="11.25" customHeight="1">
      <c r="A34" s="482" t="s">
        <v>368</v>
      </c>
      <c r="B34" s="483"/>
      <c r="C34" s="520">
        <v>199.45930999999999</v>
      </c>
      <c r="D34" s="520">
        <v>249.23653000000004</v>
      </c>
      <c r="E34" s="520">
        <v>199.45930999999999</v>
      </c>
      <c r="F34" s="524">
        <f t="shared" si="0"/>
        <v>-0.19971879724051711</v>
      </c>
      <c r="G34" s="509"/>
      <c r="H34" s="509"/>
      <c r="I34" s="509"/>
      <c r="J34" s="509"/>
      <c r="K34" s="515"/>
      <c r="L34" s="422"/>
    </row>
    <row r="35" spans="1:12" ht="11.25" customHeight="1">
      <c r="A35" s="476" t="s">
        <v>124</v>
      </c>
      <c r="B35" s="521" t="s">
        <v>74</v>
      </c>
      <c r="C35" s="522">
        <v>4.7</v>
      </c>
      <c r="D35" s="522">
        <v>4.2699999999999996</v>
      </c>
      <c r="E35" s="522">
        <v>4.7</v>
      </c>
      <c r="F35" s="523">
        <f t="shared" si="0"/>
        <v>0.10070257611241229</v>
      </c>
      <c r="G35" s="509"/>
      <c r="H35" s="509"/>
      <c r="I35" s="509"/>
      <c r="J35" s="509"/>
      <c r="K35" s="515"/>
      <c r="L35" s="422"/>
    </row>
    <row r="36" spans="1:12" ht="11.25" customHeight="1">
      <c r="A36" s="482" t="s">
        <v>369</v>
      </c>
      <c r="B36" s="483"/>
      <c r="C36" s="520">
        <v>4.7</v>
      </c>
      <c r="D36" s="520">
        <v>4.2699999999999996</v>
      </c>
      <c r="E36" s="520">
        <v>4.7</v>
      </c>
      <c r="F36" s="524">
        <f t="shared" si="0"/>
        <v>0.10070257611241229</v>
      </c>
      <c r="G36" s="509"/>
      <c r="H36" s="509"/>
      <c r="I36" s="509"/>
      <c r="J36" s="509"/>
      <c r="K36" s="515"/>
      <c r="L36" s="422"/>
    </row>
    <row r="37" spans="1:12" ht="11.25" customHeight="1">
      <c r="A37" s="476" t="s">
        <v>101</v>
      </c>
      <c r="B37" s="521" t="s">
        <v>370</v>
      </c>
      <c r="C37" s="522">
        <v>163.39222999999998</v>
      </c>
      <c r="D37" s="522">
        <v>169.55522999999999</v>
      </c>
      <c r="E37" s="522">
        <v>163.39222999999998</v>
      </c>
      <c r="F37" s="523">
        <f t="shared" si="0"/>
        <v>-3.6348038335355493E-2</v>
      </c>
      <c r="G37" s="509"/>
      <c r="H37" s="509"/>
      <c r="I37" s="509"/>
      <c r="J37" s="509"/>
      <c r="K37" s="515"/>
      <c r="L37" s="422"/>
    </row>
    <row r="38" spans="1:12" ht="11.25" customHeight="1">
      <c r="A38" s="482" t="s">
        <v>371</v>
      </c>
      <c r="B38" s="483"/>
      <c r="C38" s="520">
        <v>163.39222999999998</v>
      </c>
      <c r="D38" s="520">
        <v>169.55522999999999</v>
      </c>
      <c r="E38" s="520">
        <v>163.39222999999998</v>
      </c>
      <c r="F38" s="524">
        <f t="shared" si="0"/>
        <v>-3.6348038335355493E-2</v>
      </c>
      <c r="G38" s="509"/>
      <c r="H38" s="509"/>
      <c r="I38" s="509"/>
      <c r="J38" s="509"/>
      <c r="K38" s="515"/>
      <c r="L38" s="516"/>
    </row>
    <row r="39" spans="1:12" ht="11.25" customHeight="1">
      <c r="A39" s="480" t="s">
        <v>110</v>
      </c>
      <c r="B39" s="521" t="s">
        <v>372</v>
      </c>
      <c r="C39" s="522">
        <v>12.84</v>
      </c>
      <c r="D39" s="522">
        <v>17.585999999999999</v>
      </c>
      <c r="E39" s="522">
        <v>12.84</v>
      </c>
      <c r="F39" s="523">
        <f t="shared" si="0"/>
        <v>-0.26987376322074375</v>
      </c>
      <c r="G39" s="509"/>
      <c r="H39" s="509"/>
      <c r="I39" s="509"/>
      <c r="J39" s="509"/>
      <c r="K39" s="515"/>
      <c r="L39" s="422"/>
    </row>
    <row r="40" spans="1:12" ht="11.25" customHeight="1">
      <c r="A40" s="480"/>
      <c r="B40" s="521" t="s">
        <v>373</v>
      </c>
      <c r="C40" s="522">
        <v>7.6920000000000002</v>
      </c>
      <c r="D40" s="522">
        <v>10.368</v>
      </c>
      <c r="E40" s="522">
        <v>7.6920000000000002</v>
      </c>
      <c r="F40" s="523">
        <f t="shared" si="0"/>
        <v>-0.25810185185185186</v>
      </c>
      <c r="G40" s="509"/>
      <c r="H40" s="509"/>
      <c r="I40" s="509"/>
      <c r="J40" s="509"/>
      <c r="K40" s="515"/>
      <c r="L40" s="422"/>
    </row>
    <row r="41" spans="1:12" ht="11.25" customHeight="1">
      <c r="A41" s="476"/>
      <c r="B41" s="521" t="s">
        <v>374</v>
      </c>
      <c r="C41" s="522">
        <v>22.09009</v>
      </c>
      <c r="D41" s="522">
        <v>11.254090000000001</v>
      </c>
      <c r="E41" s="522">
        <v>22.09009</v>
      </c>
      <c r="F41" s="523">
        <f t="shared" si="0"/>
        <v>0.9628499505513104</v>
      </c>
      <c r="G41" s="509"/>
      <c r="H41" s="509"/>
      <c r="I41" s="509"/>
      <c r="J41" s="509"/>
      <c r="K41" s="515"/>
      <c r="L41" s="422"/>
    </row>
    <row r="42" spans="1:12" ht="11.25" customHeight="1">
      <c r="A42" s="482" t="s">
        <v>375</v>
      </c>
      <c r="B42" s="483"/>
      <c r="C42" s="520">
        <v>42.62209</v>
      </c>
      <c r="D42" s="520">
        <v>39.208089999999999</v>
      </c>
      <c r="E42" s="520">
        <v>42.62209</v>
      </c>
      <c r="F42" s="524">
        <f t="shared" si="0"/>
        <v>8.707386664333816E-2</v>
      </c>
      <c r="G42" s="509"/>
      <c r="H42" s="509"/>
      <c r="I42" s="509"/>
      <c r="J42" s="509"/>
      <c r="K42" s="515"/>
      <c r="L42" s="422"/>
    </row>
    <row r="43" spans="1:12" ht="11.25" customHeight="1">
      <c r="A43" s="476" t="s">
        <v>130</v>
      </c>
      <c r="B43" s="521" t="s">
        <v>79</v>
      </c>
      <c r="C43" s="522">
        <v>0.99741000000000002</v>
      </c>
      <c r="D43" s="522">
        <v>0</v>
      </c>
      <c r="E43" s="522">
        <v>0.99741000000000002</v>
      </c>
      <c r="F43" s="523" t="str">
        <f t="shared" si="0"/>
        <v/>
      </c>
      <c r="G43" s="509"/>
      <c r="H43" s="509"/>
      <c r="I43" s="509"/>
      <c r="J43" s="509"/>
      <c r="K43" s="515"/>
      <c r="L43" s="422"/>
    </row>
    <row r="44" spans="1:12" ht="11.25" customHeight="1">
      <c r="A44" s="482" t="s">
        <v>376</v>
      </c>
      <c r="B44" s="483"/>
      <c r="C44" s="520">
        <v>0.99741000000000002</v>
      </c>
      <c r="D44" s="520">
        <v>0</v>
      </c>
      <c r="E44" s="520">
        <v>0.99741000000000002</v>
      </c>
      <c r="F44" s="524" t="str">
        <f t="shared" si="0"/>
        <v/>
      </c>
      <c r="G44" s="509"/>
      <c r="H44" s="509"/>
      <c r="I44" s="509"/>
      <c r="J44" s="509"/>
      <c r="K44" s="515"/>
      <c r="L44" s="422"/>
    </row>
    <row r="45" spans="1:12" ht="11.25" customHeight="1">
      <c r="A45" s="476" t="s">
        <v>125</v>
      </c>
      <c r="B45" s="521" t="s">
        <v>77</v>
      </c>
      <c r="C45" s="522">
        <v>3.6574800000000001</v>
      </c>
      <c r="D45" s="522">
        <v>3.4839199999999999</v>
      </c>
      <c r="E45" s="522">
        <v>3.6574800000000001</v>
      </c>
      <c r="F45" s="523">
        <f t="shared" si="0"/>
        <v>4.9817447013708716E-2</v>
      </c>
      <c r="G45" s="509"/>
      <c r="H45" s="509"/>
      <c r="I45" s="509"/>
      <c r="J45" s="509"/>
      <c r="K45" s="515"/>
      <c r="L45" s="517"/>
    </row>
    <row r="46" spans="1:12" ht="11.25" customHeight="1">
      <c r="A46" s="482" t="s">
        <v>377</v>
      </c>
      <c r="B46" s="483"/>
      <c r="C46" s="520">
        <v>3.6574800000000001</v>
      </c>
      <c r="D46" s="520">
        <v>3.4839199999999999</v>
      </c>
      <c r="E46" s="520">
        <v>3.6574800000000001</v>
      </c>
      <c r="F46" s="524">
        <f t="shared" si="0"/>
        <v>4.9817447013708716E-2</v>
      </c>
      <c r="G46" s="509"/>
      <c r="H46" s="509"/>
      <c r="I46" s="509"/>
      <c r="J46" s="509"/>
      <c r="K46" s="515"/>
    </row>
    <row r="47" spans="1:12" ht="11.25" customHeight="1">
      <c r="A47" s="480" t="s">
        <v>98</v>
      </c>
      <c r="B47" s="521" t="s">
        <v>378</v>
      </c>
      <c r="C47" s="522">
        <v>642.69359999999995</v>
      </c>
      <c r="D47" s="522">
        <v>650.64239999999995</v>
      </c>
      <c r="E47" s="522">
        <v>642.69359999999995</v>
      </c>
      <c r="F47" s="523">
        <f t="shared" si="0"/>
        <v>-1.2216849071010394E-2</v>
      </c>
      <c r="G47" s="509"/>
      <c r="H47" s="509"/>
      <c r="I47" s="509"/>
      <c r="J47" s="509"/>
      <c r="K47" s="515"/>
    </row>
    <row r="48" spans="1:12" ht="11.25" customHeight="1">
      <c r="A48" s="480"/>
      <c r="B48" s="521" t="s">
        <v>379</v>
      </c>
      <c r="C48" s="522">
        <v>203.44512</v>
      </c>
      <c r="D48" s="522">
        <v>212.71872000000002</v>
      </c>
      <c r="E48" s="522">
        <v>203.44512</v>
      </c>
      <c r="F48" s="523">
        <f t="shared" si="0"/>
        <v>-4.3595598920490031E-2</v>
      </c>
      <c r="G48" s="509"/>
      <c r="H48" s="509"/>
      <c r="I48" s="509"/>
      <c r="J48" s="509"/>
      <c r="K48" s="515"/>
    </row>
    <row r="49" spans="1:11" ht="11.25" customHeight="1">
      <c r="A49" s="476"/>
      <c r="B49" s="521" t="s">
        <v>380</v>
      </c>
      <c r="C49" s="522">
        <v>0</v>
      </c>
      <c r="D49" s="522">
        <v>0</v>
      </c>
      <c r="E49" s="522">
        <v>0</v>
      </c>
      <c r="F49" s="523" t="str">
        <f t="shared" si="0"/>
        <v/>
      </c>
      <c r="G49" s="509"/>
      <c r="H49" s="509"/>
      <c r="I49" s="509"/>
      <c r="J49" s="509"/>
      <c r="K49" s="515"/>
    </row>
    <row r="50" spans="1:11" ht="11.25" customHeight="1">
      <c r="A50" s="482" t="s">
        <v>381</v>
      </c>
      <c r="B50" s="483"/>
      <c r="C50" s="520">
        <v>846.13871999999992</v>
      </c>
      <c r="D50" s="520">
        <v>863.36112000000003</v>
      </c>
      <c r="E50" s="520">
        <v>846.13871999999992</v>
      </c>
      <c r="F50" s="524">
        <f t="shared" si="0"/>
        <v>-1.9948083833101204E-2</v>
      </c>
      <c r="G50" s="509"/>
      <c r="H50" s="509"/>
      <c r="I50" s="509"/>
      <c r="J50" s="509"/>
      <c r="K50" s="515"/>
    </row>
    <row r="51" spans="1:11" ht="11.25" customHeight="1">
      <c r="A51" s="480" t="s">
        <v>281</v>
      </c>
      <c r="B51" s="521" t="s">
        <v>382</v>
      </c>
      <c r="C51" s="522">
        <v>455.95588999999995</v>
      </c>
      <c r="D51" s="522">
        <v>463.35694999999998</v>
      </c>
      <c r="E51" s="522">
        <v>455.95588999999995</v>
      </c>
      <c r="F51" s="523">
        <f t="shared" si="0"/>
        <v>-1.5972696643484108E-2</v>
      </c>
      <c r="G51" s="509"/>
      <c r="H51" s="509"/>
      <c r="I51" s="509"/>
      <c r="J51" s="509"/>
      <c r="K51" s="515"/>
    </row>
    <row r="52" spans="1:11" ht="11.25" customHeight="1">
      <c r="A52" s="476"/>
      <c r="B52" s="521" t="s">
        <v>383</v>
      </c>
      <c r="C52" s="522">
        <v>0</v>
      </c>
      <c r="D52" s="522">
        <v>6.3163299999999998</v>
      </c>
      <c r="E52" s="522">
        <v>0</v>
      </c>
      <c r="F52" s="523">
        <f t="shared" si="0"/>
        <v>-1</v>
      </c>
      <c r="G52" s="509"/>
      <c r="H52" s="509"/>
      <c r="I52" s="509"/>
      <c r="J52" s="509"/>
      <c r="K52" s="515"/>
    </row>
    <row r="53" spans="1:11" ht="11.25" customHeight="1">
      <c r="A53" s="482" t="s">
        <v>384</v>
      </c>
      <c r="B53" s="483"/>
      <c r="C53" s="520">
        <v>455.95588999999995</v>
      </c>
      <c r="D53" s="520">
        <v>469.67327999999998</v>
      </c>
      <c r="E53" s="520">
        <v>455.95588999999995</v>
      </c>
      <c r="F53" s="524">
        <f t="shared" si="0"/>
        <v>-2.92062388560832E-2</v>
      </c>
      <c r="G53" s="509"/>
      <c r="H53" s="509"/>
      <c r="I53" s="509"/>
      <c r="J53" s="509"/>
      <c r="K53" s="515"/>
    </row>
    <row r="54" spans="1:11" ht="11.25" customHeight="1">
      <c r="A54" s="476" t="s">
        <v>282</v>
      </c>
      <c r="B54" s="521" t="s">
        <v>385</v>
      </c>
      <c r="C54" s="522">
        <v>94.394300000000001</v>
      </c>
      <c r="D54" s="522">
        <v>46.829799999999999</v>
      </c>
      <c r="E54" s="522">
        <v>94.394300000000001</v>
      </c>
      <c r="F54" s="523">
        <f t="shared" si="0"/>
        <v>1.0156887281175662</v>
      </c>
      <c r="G54" s="509"/>
      <c r="H54" s="509"/>
      <c r="I54" s="509"/>
      <c r="J54" s="509"/>
      <c r="K54" s="515"/>
    </row>
    <row r="55" spans="1:11" ht="11.25" customHeight="1">
      <c r="A55" s="482" t="s">
        <v>386</v>
      </c>
      <c r="B55" s="483"/>
      <c r="C55" s="520">
        <v>94.394300000000001</v>
      </c>
      <c r="D55" s="520">
        <v>46.829799999999999</v>
      </c>
      <c r="E55" s="520">
        <v>94.394300000000001</v>
      </c>
      <c r="F55" s="524">
        <f t="shared" si="0"/>
        <v>1.0156887281175662</v>
      </c>
      <c r="G55" s="518"/>
      <c r="H55" s="518"/>
      <c r="I55" s="518"/>
      <c r="J55" s="518"/>
      <c r="K55" s="515"/>
    </row>
    <row r="56" spans="1:11" ht="11.25" customHeight="1">
      <c r="A56" s="480" t="s">
        <v>283</v>
      </c>
      <c r="B56" s="521" t="s">
        <v>64</v>
      </c>
      <c r="C56" s="522">
        <v>17.025480000000002</v>
      </c>
      <c r="D56" s="522">
        <v>17.66188</v>
      </c>
      <c r="E56" s="522">
        <v>17.025480000000002</v>
      </c>
      <c r="F56" s="523">
        <f t="shared" si="0"/>
        <v>-3.6032404251415961E-2</v>
      </c>
      <c r="G56" s="518"/>
      <c r="H56" s="518"/>
      <c r="I56" s="518"/>
      <c r="J56" s="518"/>
      <c r="K56" s="515"/>
    </row>
    <row r="57" spans="1:11" ht="11.25" customHeight="1">
      <c r="A57" s="476"/>
      <c r="B57" s="521" t="s">
        <v>61</v>
      </c>
      <c r="C57" s="522">
        <v>20.070920000000001</v>
      </c>
      <c r="D57" s="522">
        <v>20.060120000000001</v>
      </c>
      <c r="E57" s="522">
        <v>20.070920000000001</v>
      </c>
      <c r="F57" s="523">
        <f t="shared" si="0"/>
        <v>5.3838162483565988E-4</v>
      </c>
      <c r="G57" s="518"/>
      <c r="H57" s="518"/>
      <c r="I57" s="518"/>
      <c r="J57" s="518"/>
      <c r="K57" s="515"/>
    </row>
    <row r="58" spans="1:11" ht="11.25" customHeight="1">
      <c r="A58" s="482" t="s">
        <v>387</v>
      </c>
      <c r="B58" s="483"/>
      <c r="C58" s="520">
        <v>37.096400000000003</v>
      </c>
      <c r="D58" s="520">
        <v>37.722000000000001</v>
      </c>
      <c r="E58" s="520">
        <v>37.096400000000003</v>
      </c>
      <c r="F58" s="524">
        <f t="shared" si="0"/>
        <v>-1.6584486506547869E-2</v>
      </c>
      <c r="G58" s="518"/>
      <c r="H58" s="518"/>
      <c r="I58" s="518"/>
      <c r="J58" s="518"/>
      <c r="K58" s="515"/>
    </row>
    <row r="59" spans="1:11" ht="11.25" customHeight="1">
      <c r="A59" s="480" t="s">
        <v>97</v>
      </c>
      <c r="B59" s="521" t="s">
        <v>479</v>
      </c>
      <c r="C59" s="522"/>
      <c r="D59" s="522">
        <v>46.043089999999992</v>
      </c>
      <c r="E59" s="522"/>
      <c r="F59" s="523">
        <f t="shared" si="0"/>
        <v>-1</v>
      </c>
      <c r="G59" s="518"/>
      <c r="H59" s="518"/>
      <c r="I59" s="518"/>
      <c r="J59" s="518"/>
      <c r="K59" s="515"/>
    </row>
    <row r="60" spans="1:11" ht="11.25" customHeight="1">
      <c r="A60" s="480"/>
      <c r="B60" s="521" t="s">
        <v>388</v>
      </c>
      <c r="C60" s="522">
        <v>30.4633</v>
      </c>
      <c r="D60" s="522">
        <v>0</v>
      </c>
      <c r="E60" s="522">
        <v>30.4633</v>
      </c>
      <c r="F60" s="523" t="str">
        <f t="shared" si="0"/>
        <v/>
      </c>
      <c r="G60" s="509"/>
      <c r="H60" s="509"/>
      <c r="I60" s="509"/>
      <c r="J60" s="509"/>
      <c r="K60" s="515"/>
    </row>
    <row r="61" spans="1:11" ht="11.25" customHeight="1">
      <c r="A61" s="480"/>
      <c r="B61" s="521" t="s">
        <v>389</v>
      </c>
      <c r="C61" s="522">
        <v>248.8031</v>
      </c>
      <c r="D61" s="522">
        <v>230.95319000000001</v>
      </c>
      <c r="E61" s="522">
        <v>248.8031</v>
      </c>
      <c r="F61" s="523">
        <f t="shared" si="0"/>
        <v>7.7287999356060011E-2</v>
      </c>
      <c r="G61" s="509"/>
      <c r="H61" s="509"/>
      <c r="I61" s="509"/>
      <c r="J61" s="509"/>
      <c r="K61" s="515"/>
    </row>
    <row r="62" spans="1:11" ht="11.25" customHeight="1">
      <c r="A62" s="480"/>
      <c r="B62" s="521" t="s">
        <v>390</v>
      </c>
      <c r="C62" s="522">
        <v>105.48232999999999</v>
      </c>
      <c r="D62" s="522">
        <v>131.67189000000002</v>
      </c>
      <c r="E62" s="522">
        <v>105.48232999999999</v>
      </c>
      <c r="F62" s="523">
        <f t="shared" si="0"/>
        <v>-0.19890016008732025</v>
      </c>
      <c r="G62" s="509"/>
      <c r="H62" s="509"/>
      <c r="I62" s="509"/>
      <c r="J62" s="509"/>
      <c r="K62" s="515"/>
    </row>
    <row r="63" spans="1:11" ht="11.25" customHeight="1">
      <c r="A63" s="480"/>
      <c r="B63" s="521" t="s">
        <v>391</v>
      </c>
      <c r="C63" s="522">
        <v>63.276740000000004</v>
      </c>
      <c r="D63" s="522">
        <v>47.868210000000005</v>
      </c>
      <c r="E63" s="522">
        <v>63.276740000000004</v>
      </c>
      <c r="F63" s="523">
        <f t="shared" si="0"/>
        <v>0.32189484419826853</v>
      </c>
      <c r="G63" s="519"/>
      <c r="H63" s="509"/>
      <c r="I63" s="509"/>
      <c r="J63" s="509"/>
      <c r="K63" s="515"/>
    </row>
    <row r="64" spans="1:11" ht="11.25" customHeight="1">
      <c r="A64" s="480"/>
      <c r="B64" s="521" t="s">
        <v>392</v>
      </c>
      <c r="C64" s="522">
        <v>0</v>
      </c>
      <c r="D64" s="522">
        <v>0</v>
      </c>
      <c r="E64" s="522">
        <v>0</v>
      </c>
      <c r="F64" s="523" t="str">
        <f t="shared" si="0"/>
        <v/>
      </c>
      <c r="G64" s="519"/>
      <c r="H64" s="509"/>
      <c r="I64" s="509"/>
      <c r="J64" s="509"/>
      <c r="K64" s="509"/>
    </row>
    <row r="65" spans="1:11" ht="11.25" customHeight="1">
      <c r="A65" s="480"/>
      <c r="B65" s="521" t="s">
        <v>393</v>
      </c>
      <c r="C65" s="522">
        <v>0</v>
      </c>
      <c r="D65" s="522">
        <v>0</v>
      </c>
      <c r="E65" s="522">
        <v>0</v>
      </c>
      <c r="F65" s="523" t="str">
        <f t="shared" si="0"/>
        <v/>
      </c>
      <c r="G65" s="519"/>
      <c r="H65" s="509"/>
      <c r="I65" s="509"/>
      <c r="J65" s="509"/>
      <c r="K65" s="509"/>
    </row>
    <row r="66" spans="1:11" ht="11.25" customHeight="1">
      <c r="A66" s="476"/>
      <c r="B66" s="521" t="s">
        <v>394</v>
      </c>
      <c r="C66" s="522">
        <v>438.84868999999998</v>
      </c>
      <c r="D66" s="522">
        <v>73.894069999999999</v>
      </c>
      <c r="E66" s="522">
        <v>438.84868999999998</v>
      </c>
      <c r="F66" s="523">
        <f t="shared" si="0"/>
        <v>4.9388891422545811</v>
      </c>
    </row>
    <row r="67" spans="1:11" ht="11.25" customHeight="1">
      <c r="A67" s="482" t="s">
        <v>395</v>
      </c>
      <c r="B67" s="483"/>
      <c r="C67" s="520">
        <v>886.87415999999996</v>
      </c>
      <c r="D67" s="520">
        <v>530.43045000000006</v>
      </c>
      <c r="E67" s="520">
        <v>886.87415999999996</v>
      </c>
      <c r="F67" s="524">
        <f t="shared" si="0"/>
        <v>0.67198953227515479</v>
      </c>
    </row>
  </sheetData>
  <mergeCells count="3">
    <mergeCell ref="A2:A5"/>
    <mergeCell ref="B2:B5"/>
    <mergeCell ref="C2:F2"/>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M67"/>
  <sheetViews>
    <sheetView showGridLines="0" view="pageBreakPreview" zoomScale="145" zoomScaleNormal="100" zoomScaleSheetLayoutView="145" zoomScalePageLayoutView="160" workbookViewId="0">
      <selection activeCell="F42" sqref="F42"/>
    </sheetView>
  </sheetViews>
  <sheetFormatPr defaultRowHeight="9"/>
  <cols>
    <col min="1" max="1" width="28.6640625" style="503" customWidth="1"/>
    <col min="2" max="2" width="22.1640625" style="503" customWidth="1"/>
    <col min="3" max="4" width="17.6640625" style="503" customWidth="1"/>
    <col min="5" max="5" width="15.1640625" style="503" customWidth="1"/>
    <col min="6" max="6" width="13.33203125" style="503" customWidth="1"/>
    <col min="7" max="9" width="9.33203125" style="503"/>
    <col min="10" max="11" width="9.33203125" style="503" customWidth="1"/>
    <col min="12" max="13" width="9.33203125" style="503"/>
    <col min="14" max="16384" width="9.33203125" style="504"/>
  </cols>
  <sheetData>
    <row r="1" spans="1:12" ht="11.25" customHeight="1">
      <c r="A1" s="934" t="s">
        <v>299</v>
      </c>
      <c r="B1" s="937" t="s">
        <v>57</v>
      </c>
      <c r="C1" s="937" t="s">
        <v>489</v>
      </c>
      <c r="D1" s="937"/>
      <c r="E1" s="937"/>
      <c r="F1" s="940"/>
      <c r="G1" s="505"/>
      <c r="H1" s="505"/>
      <c r="I1" s="505"/>
      <c r="J1" s="505"/>
      <c r="K1" s="505"/>
    </row>
    <row r="2" spans="1:12" ht="11.25" customHeight="1">
      <c r="A2" s="935"/>
      <c r="B2" s="938"/>
      <c r="C2" s="527" t="str">
        <f>+'21. ANEXOII-1'!C3</f>
        <v>FEBRERO 2018</v>
      </c>
      <c r="D2" s="528" t="str">
        <f>+'21. ANEXOII-1'!D3</f>
        <v>FEBRERO 2017</v>
      </c>
      <c r="E2" s="529">
        <v>2018</v>
      </c>
      <c r="F2" s="506" t="s">
        <v>487</v>
      </c>
      <c r="G2" s="507"/>
      <c r="H2" s="507"/>
      <c r="I2" s="507"/>
      <c r="J2" s="507"/>
      <c r="K2" s="507"/>
      <c r="L2" s="508"/>
    </row>
    <row r="3" spans="1:12" ht="11.25" customHeight="1">
      <c r="A3" s="935"/>
      <c r="B3" s="938"/>
      <c r="C3" s="530">
        <f>+'8. Max Potencia'!D8</f>
        <v>43144.8125</v>
      </c>
      <c r="D3" s="530">
        <f>+'8. Max Potencia'!E8</f>
        <v>42767.833333333336</v>
      </c>
      <c r="E3" s="530">
        <f>+'8. Max Potencia'!G8</f>
        <v>43144.8125</v>
      </c>
      <c r="F3" s="531" t="s">
        <v>473</v>
      </c>
      <c r="G3" s="509"/>
      <c r="H3" s="509"/>
      <c r="I3" s="510"/>
      <c r="J3" s="510"/>
      <c r="K3" s="510"/>
      <c r="L3" s="508"/>
    </row>
    <row r="4" spans="1:12" ht="11.25" customHeight="1">
      <c r="A4" s="936"/>
      <c r="B4" s="939"/>
      <c r="C4" s="532">
        <f>+'8. Max Potencia'!D9</f>
        <v>43144.8125</v>
      </c>
      <c r="D4" s="532">
        <f>+'8. Max Potencia'!E9</f>
        <v>42767.833333333336</v>
      </c>
      <c r="E4" s="532">
        <f>+'8. Max Potencia'!G9</f>
        <v>43144.8125</v>
      </c>
      <c r="F4" s="533" t="s">
        <v>474</v>
      </c>
      <c r="G4" s="509"/>
      <c r="H4" s="509"/>
      <c r="I4" s="509"/>
      <c r="J4" s="509"/>
      <c r="K4" s="509"/>
      <c r="L4" s="511"/>
    </row>
    <row r="5" spans="1:12" ht="11.25" customHeight="1">
      <c r="A5" s="480" t="s">
        <v>105</v>
      </c>
      <c r="B5" s="521" t="s">
        <v>396</v>
      </c>
      <c r="C5" s="522">
        <v>51.039430000000003</v>
      </c>
      <c r="D5" s="522">
        <v>0</v>
      </c>
      <c r="E5" s="522">
        <v>51.039430000000003</v>
      </c>
      <c r="F5" s="523" t="str">
        <f>+IF(D5=0,"",C5/D5-1)</f>
        <v/>
      </c>
    </row>
    <row r="6" spans="1:12" ht="11.25" customHeight="1">
      <c r="A6" s="480"/>
      <c r="B6" s="521" t="s">
        <v>397</v>
      </c>
      <c r="C6" s="522">
        <v>0</v>
      </c>
      <c r="D6" s="522">
        <v>84.227099999999993</v>
      </c>
      <c r="E6" s="522">
        <v>0</v>
      </c>
      <c r="F6" s="523">
        <f t="shared" ref="F6:F67" si="0">+IF(D6=0,"",C6/D6-1)</f>
        <v>-1</v>
      </c>
    </row>
    <row r="7" spans="1:12" ht="11.25" customHeight="1">
      <c r="A7" s="476"/>
      <c r="B7" s="521" t="s">
        <v>398</v>
      </c>
      <c r="C7" s="522">
        <v>0</v>
      </c>
      <c r="D7" s="522">
        <v>0</v>
      </c>
      <c r="E7" s="522">
        <v>0</v>
      </c>
      <c r="F7" s="523" t="str">
        <f t="shared" si="0"/>
        <v/>
      </c>
    </row>
    <row r="8" spans="1:12" ht="11.25" customHeight="1">
      <c r="A8" s="482" t="s">
        <v>399</v>
      </c>
      <c r="B8" s="483"/>
      <c r="C8" s="520">
        <v>51.039430000000003</v>
      </c>
      <c r="D8" s="520">
        <v>84.227099999999993</v>
      </c>
      <c r="E8" s="520">
        <v>51.039430000000003</v>
      </c>
      <c r="F8" s="524">
        <f t="shared" si="0"/>
        <v>-0.3940260320015766</v>
      </c>
    </row>
    <row r="9" spans="1:12" ht="11.25" customHeight="1">
      <c r="A9" s="481" t="s">
        <v>107</v>
      </c>
      <c r="B9" s="525" t="s">
        <v>691</v>
      </c>
      <c r="C9" s="526">
        <v>0</v>
      </c>
      <c r="D9" s="526"/>
      <c r="E9" s="526">
        <v>0</v>
      </c>
      <c r="F9" s="523" t="str">
        <f t="shared" si="0"/>
        <v/>
      </c>
    </row>
    <row r="10" spans="1:12" ht="11.25" customHeight="1">
      <c r="A10" s="480"/>
      <c r="B10" s="521" t="s">
        <v>697</v>
      </c>
      <c r="C10" s="522">
        <v>11.760109999999999</v>
      </c>
      <c r="D10" s="522"/>
      <c r="E10" s="522">
        <v>11.760109999999999</v>
      </c>
      <c r="F10" s="523" t="str">
        <f t="shared" si="0"/>
        <v/>
      </c>
    </row>
    <row r="11" spans="1:12" ht="11.25" customHeight="1">
      <c r="A11" s="482" t="s">
        <v>400</v>
      </c>
      <c r="B11" s="483"/>
      <c r="C11" s="520">
        <v>11.760109999999999</v>
      </c>
      <c r="D11" s="520"/>
      <c r="E11" s="520">
        <v>11.760109999999999</v>
      </c>
      <c r="F11" s="524" t="str">
        <f t="shared" si="0"/>
        <v/>
      </c>
    </row>
    <row r="12" spans="1:12" ht="11.25" customHeight="1">
      <c r="A12" s="480" t="s">
        <v>106</v>
      </c>
      <c r="B12" s="521" t="s">
        <v>82</v>
      </c>
      <c r="C12" s="522">
        <v>44.44444</v>
      </c>
      <c r="D12" s="522">
        <v>0</v>
      </c>
      <c r="E12" s="522">
        <v>44.44444</v>
      </c>
      <c r="F12" s="523" t="str">
        <f t="shared" si="0"/>
        <v/>
      </c>
    </row>
    <row r="13" spans="1:12" ht="11.25" customHeight="1">
      <c r="A13" s="480"/>
      <c r="B13" s="521" t="s">
        <v>84</v>
      </c>
      <c r="C13" s="522">
        <v>15.65616</v>
      </c>
      <c r="D13" s="522">
        <v>0</v>
      </c>
      <c r="E13" s="522">
        <v>15.65616</v>
      </c>
      <c r="F13" s="523" t="str">
        <f t="shared" si="0"/>
        <v/>
      </c>
    </row>
    <row r="14" spans="1:12" ht="11.25" customHeight="1">
      <c r="A14" s="482" t="s">
        <v>401</v>
      </c>
      <c r="B14" s="483"/>
      <c r="C14" s="520">
        <v>60.1006</v>
      </c>
      <c r="D14" s="520">
        <v>0</v>
      </c>
      <c r="E14" s="520">
        <v>60.1006</v>
      </c>
      <c r="F14" s="524" t="str">
        <f t="shared" si="0"/>
        <v/>
      </c>
    </row>
    <row r="15" spans="1:12" ht="11.25" customHeight="1">
      <c r="A15" s="480" t="s">
        <v>96</v>
      </c>
      <c r="B15" s="521" t="s">
        <v>402</v>
      </c>
      <c r="C15" s="522">
        <v>106.03411</v>
      </c>
      <c r="D15" s="522">
        <v>108.2291</v>
      </c>
      <c r="E15" s="522">
        <v>106.03411</v>
      </c>
      <c r="F15" s="523">
        <f t="shared" si="0"/>
        <v>-2.0280959557087752E-2</v>
      </c>
    </row>
    <row r="16" spans="1:12" ht="11.25" customHeight="1">
      <c r="A16" s="480"/>
      <c r="B16" s="521" t="s">
        <v>403</v>
      </c>
      <c r="C16" s="522">
        <v>132.10744</v>
      </c>
      <c r="D16" s="522">
        <v>130.89972</v>
      </c>
      <c r="E16" s="522">
        <v>132.10744</v>
      </c>
      <c r="F16" s="523">
        <f t="shared" si="0"/>
        <v>9.2262993381497793E-3</v>
      </c>
    </row>
    <row r="17" spans="1:6" ht="11.25" customHeight="1">
      <c r="A17" s="480"/>
      <c r="B17" s="521" t="s">
        <v>404</v>
      </c>
      <c r="C17" s="522">
        <v>230.32135999999997</v>
      </c>
      <c r="D17" s="522">
        <v>647.66201000000001</v>
      </c>
      <c r="E17" s="522">
        <v>230.32135999999997</v>
      </c>
      <c r="F17" s="523">
        <f t="shared" si="0"/>
        <v>-0.64438031497323744</v>
      </c>
    </row>
    <row r="18" spans="1:6" ht="11.25" customHeight="1">
      <c r="A18" s="480"/>
      <c r="B18" s="521" t="s">
        <v>405</v>
      </c>
      <c r="C18" s="522">
        <v>0</v>
      </c>
      <c r="D18" s="522">
        <v>0</v>
      </c>
      <c r="E18" s="522">
        <v>0</v>
      </c>
      <c r="F18" s="523" t="str">
        <f t="shared" si="0"/>
        <v/>
      </c>
    </row>
    <row r="19" spans="1:6" ht="11.25" customHeight="1">
      <c r="A19" s="480"/>
      <c r="B19" s="521" t="s">
        <v>480</v>
      </c>
      <c r="C19" s="522"/>
      <c r="D19" s="522">
        <v>0</v>
      </c>
      <c r="E19" s="522"/>
      <c r="F19" s="523" t="str">
        <f t="shared" si="0"/>
        <v/>
      </c>
    </row>
    <row r="20" spans="1:6" ht="11.25" customHeight="1">
      <c r="A20" s="480"/>
      <c r="B20" s="521" t="s">
        <v>406</v>
      </c>
      <c r="C20" s="522">
        <v>114.58541</v>
      </c>
      <c r="D20" s="522">
        <v>130.2525</v>
      </c>
      <c r="E20" s="522">
        <v>114.58541</v>
      </c>
      <c r="F20" s="523">
        <f t="shared" si="0"/>
        <v>-0.12028245139248772</v>
      </c>
    </row>
    <row r="21" spans="1:6" ht="11.25" customHeight="1">
      <c r="A21" s="480"/>
      <c r="B21" s="521" t="s">
        <v>407</v>
      </c>
      <c r="C21" s="522">
        <v>0</v>
      </c>
      <c r="D21" s="522">
        <v>0</v>
      </c>
      <c r="E21" s="522">
        <v>0</v>
      </c>
      <c r="F21" s="523" t="str">
        <f t="shared" si="0"/>
        <v/>
      </c>
    </row>
    <row r="22" spans="1:6" ht="11.25" customHeight="1">
      <c r="A22" s="480"/>
      <c r="B22" s="521" t="s">
        <v>408</v>
      </c>
      <c r="C22" s="522">
        <v>0</v>
      </c>
      <c r="D22" s="522">
        <v>0</v>
      </c>
      <c r="E22" s="522">
        <v>0</v>
      </c>
      <c r="F22" s="523" t="str">
        <f t="shared" si="0"/>
        <v/>
      </c>
    </row>
    <row r="23" spans="1:6" ht="11.25" customHeight="1">
      <c r="A23" s="480"/>
      <c r="B23" s="521" t="s">
        <v>693</v>
      </c>
      <c r="C23" s="522">
        <v>0</v>
      </c>
      <c r="D23" s="522"/>
      <c r="E23" s="522">
        <v>0</v>
      </c>
      <c r="F23" s="523" t="str">
        <f t="shared" si="0"/>
        <v/>
      </c>
    </row>
    <row r="24" spans="1:6" ht="11.25" customHeight="1">
      <c r="A24" s="482" t="s">
        <v>409</v>
      </c>
      <c r="B24" s="483"/>
      <c r="C24" s="520">
        <v>583.04831999999999</v>
      </c>
      <c r="D24" s="520">
        <v>1017.04333</v>
      </c>
      <c r="E24" s="520">
        <v>583.04831999999999</v>
      </c>
      <c r="F24" s="524">
        <f t="shared" si="0"/>
        <v>-0.42672224201106557</v>
      </c>
    </row>
    <row r="25" spans="1:6" ht="11.25" customHeight="1">
      <c r="A25" s="480" t="s">
        <v>284</v>
      </c>
      <c r="B25" s="521" t="s">
        <v>410</v>
      </c>
      <c r="C25" s="522">
        <v>0</v>
      </c>
      <c r="D25" s="522">
        <v>549.01656000000003</v>
      </c>
      <c r="E25" s="522">
        <v>0</v>
      </c>
      <c r="F25" s="523">
        <f t="shared" si="0"/>
        <v>-1</v>
      </c>
    </row>
    <row r="26" spans="1:6" ht="11.25" customHeight="1">
      <c r="A26" s="482" t="s">
        <v>411</v>
      </c>
      <c r="B26" s="483"/>
      <c r="C26" s="520">
        <v>0</v>
      </c>
      <c r="D26" s="520">
        <v>549.01656000000003</v>
      </c>
      <c r="E26" s="520">
        <v>0</v>
      </c>
      <c r="F26" s="524">
        <f t="shared" si="0"/>
        <v>-1</v>
      </c>
    </row>
    <row r="27" spans="1:6" ht="11.25" customHeight="1">
      <c r="A27" s="480" t="s">
        <v>118</v>
      </c>
      <c r="B27" s="521" t="s">
        <v>70</v>
      </c>
      <c r="C27" s="522">
        <v>8.9586500000000004</v>
      </c>
      <c r="D27" s="522">
        <v>0</v>
      </c>
      <c r="E27" s="522">
        <v>8.9586500000000004</v>
      </c>
      <c r="F27" s="523" t="str">
        <f t="shared" si="0"/>
        <v/>
      </c>
    </row>
    <row r="28" spans="1:6" ht="11.25" customHeight="1">
      <c r="A28" s="482" t="s">
        <v>412</v>
      </c>
      <c r="B28" s="483"/>
      <c r="C28" s="520">
        <v>8.9586500000000004</v>
      </c>
      <c r="D28" s="520">
        <v>0</v>
      </c>
      <c r="E28" s="520">
        <v>8.9586500000000004</v>
      </c>
      <c r="F28" s="524" t="str">
        <f t="shared" si="0"/>
        <v/>
      </c>
    </row>
    <row r="29" spans="1:6" ht="11.25" customHeight="1">
      <c r="A29" s="480" t="s">
        <v>121</v>
      </c>
      <c r="B29" s="521" t="s">
        <v>276</v>
      </c>
      <c r="C29" s="522">
        <v>0</v>
      </c>
      <c r="D29" s="522">
        <v>0</v>
      </c>
      <c r="E29" s="522">
        <v>0</v>
      </c>
      <c r="F29" s="523" t="str">
        <f t="shared" si="0"/>
        <v/>
      </c>
    </row>
    <row r="30" spans="1:6" ht="11.25" customHeight="1">
      <c r="A30" s="482" t="s">
        <v>413</v>
      </c>
      <c r="B30" s="483"/>
      <c r="C30" s="520">
        <v>0</v>
      </c>
      <c r="D30" s="520">
        <v>0</v>
      </c>
      <c r="E30" s="520">
        <v>0</v>
      </c>
      <c r="F30" s="524" t="str">
        <f t="shared" si="0"/>
        <v/>
      </c>
    </row>
    <row r="31" spans="1:6" ht="11.25" customHeight="1">
      <c r="A31" s="480" t="s">
        <v>122</v>
      </c>
      <c r="B31" s="521" t="s">
        <v>91</v>
      </c>
      <c r="C31" s="522">
        <v>0</v>
      </c>
      <c r="D31" s="522">
        <v>0</v>
      </c>
      <c r="E31" s="522">
        <v>0</v>
      </c>
      <c r="F31" s="523" t="str">
        <f t="shared" si="0"/>
        <v/>
      </c>
    </row>
    <row r="32" spans="1:6" ht="11.25" customHeight="1">
      <c r="A32" s="482" t="s">
        <v>414</v>
      </c>
      <c r="B32" s="483"/>
      <c r="C32" s="520">
        <v>0</v>
      </c>
      <c r="D32" s="520">
        <v>0</v>
      </c>
      <c r="E32" s="520">
        <v>0</v>
      </c>
      <c r="F32" s="524" t="str">
        <f t="shared" si="0"/>
        <v/>
      </c>
    </row>
    <row r="33" spans="1:6" ht="11.25" customHeight="1">
      <c r="A33" s="480" t="s">
        <v>126</v>
      </c>
      <c r="B33" s="521" t="s">
        <v>78</v>
      </c>
      <c r="C33" s="522">
        <v>3.2</v>
      </c>
      <c r="D33" s="522">
        <v>4</v>
      </c>
      <c r="E33" s="522">
        <v>3.2</v>
      </c>
      <c r="F33" s="523">
        <f t="shared" si="0"/>
        <v>-0.19999999999999996</v>
      </c>
    </row>
    <row r="34" spans="1:6" ht="11.25" customHeight="1">
      <c r="A34" s="482" t="s">
        <v>415</v>
      </c>
      <c r="B34" s="483"/>
      <c r="C34" s="520">
        <v>3.2</v>
      </c>
      <c r="D34" s="520">
        <v>4</v>
      </c>
      <c r="E34" s="520">
        <v>3.2</v>
      </c>
      <c r="F34" s="524">
        <f t="shared" si="0"/>
        <v>-0.19999999999999996</v>
      </c>
    </row>
    <row r="35" spans="1:6" ht="11.25" customHeight="1">
      <c r="A35" s="480" t="s">
        <v>112</v>
      </c>
      <c r="B35" s="521" t="s">
        <v>416</v>
      </c>
      <c r="C35" s="522">
        <v>19.404</v>
      </c>
      <c r="D35" s="522">
        <v>19.276</v>
      </c>
      <c r="E35" s="522">
        <v>19.404</v>
      </c>
      <c r="F35" s="523">
        <f t="shared" si="0"/>
        <v>6.6403818219546995E-3</v>
      </c>
    </row>
    <row r="36" spans="1:6" ht="11.25" customHeight="1">
      <c r="A36" s="482" t="s">
        <v>417</v>
      </c>
      <c r="B36" s="483"/>
      <c r="C36" s="520">
        <v>19.404</v>
      </c>
      <c r="D36" s="520">
        <v>19.276</v>
      </c>
      <c r="E36" s="520">
        <v>19.404</v>
      </c>
      <c r="F36" s="524">
        <f t="shared" si="0"/>
        <v>6.6403818219546995E-3</v>
      </c>
    </row>
    <row r="37" spans="1:6" ht="11.25" customHeight="1">
      <c r="A37" s="480" t="s">
        <v>113</v>
      </c>
      <c r="B37" s="521" t="s">
        <v>418</v>
      </c>
      <c r="C37" s="522">
        <v>19.47803</v>
      </c>
      <c r="D37" s="522"/>
      <c r="E37" s="522">
        <v>19.47803</v>
      </c>
      <c r="F37" s="523" t="str">
        <f t="shared" si="0"/>
        <v/>
      </c>
    </row>
    <row r="38" spans="1:6" ht="11.25" customHeight="1">
      <c r="A38" s="482" t="s">
        <v>419</v>
      </c>
      <c r="B38" s="483"/>
      <c r="C38" s="520">
        <v>19.47803</v>
      </c>
      <c r="D38" s="520"/>
      <c r="E38" s="520">
        <v>19.47803</v>
      </c>
      <c r="F38" s="524" t="str">
        <f t="shared" si="0"/>
        <v/>
      </c>
    </row>
    <row r="39" spans="1:6" ht="11.25" customHeight="1">
      <c r="A39" s="480" t="s">
        <v>285</v>
      </c>
      <c r="B39" s="521" t="s">
        <v>63</v>
      </c>
      <c r="C39" s="522">
        <v>19.009140000000002</v>
      </c>
      <c r="D39" s="522"/>
      <c r="E39" s="522">
        <v>19.009140000000002</v>
      </c>
      <c r="F39" s="523" t="str">
        <f t="shared" si="0"/>
        <v/>
      </c>
    </row>
    <row r="40" spans="1:6" ht="11.25" customHeight="1">
      <c r="A40" s="482" t="s">
        <v>420</v>
      </c>
      <c r="B40" s="483"/>
      <c r="C40" s="520">
        <v>19.009140000000002</v>
      </c>
      <c r="D40" s="520"/>
      <c r="E40" s="520">
        <v>19.009140000000002</v>
      </c>
      <c r="F40" s="524" t="str">
        <f t="shared" si="0"/>
        <v/>
      </c>
    </row>
    <row r="41" spans="1:6" ht="11.25" customHeight="1">
      <c r="A41" s="480" t="s">
        <v>129</v>
      </c>
      <c r="B41" s="521" t="s">
        <v>421</v>
      </c>
      <c r="C41" s="522">
        <v>0</v>
      </c>
      <c r="D41" s="522">
        <v>0</v>
      </c>
      <c r="E41" s="522">
        <v>0</v>
      </c>
      <c r="F41" s="523" t="str">
        <f t="shared" si="0"/>
        <v/>
      </c>
    </row>
    <row r="42" spans="1:6" ht="11.25" customHeight="1">
      <c r="A42" s="480"/>
      <c r="B42" s="521" t="s">
        <v>422</v>
      </c>
      <c r="C42" s="522">
        <v>0</v>
      </c>
      <c r="D42" s="522">
        <v>0</v>
      </c>
      <c r="E42" s="522">
        <v>0</v>
      </c>
      <c r="F42" s="523" t="str">
        <f t="shared" si="0"/>
        <v/>
      </c>
    </row>
    <row r="43" spans="1:6" ht="11.25" customHeight="1">
      <c r="A43" s="482" t="s">
        <v>423</v>
      </c>
      <c r="B43" s="483"/>
      <c r="C43" s="520">
        <v>0</v>
      </c>
      <c r="D43" s="520">
        <v>0</v>
      </c>
      <c r="E43" s="520">
        <v>0</v>
      </c>
      <c r="F43" s="524" t="str">
        <f t="shared" si="0"/>
        <v/>
      </c>
    </row>
    <row r="44" spans="1:6" ht="11.25" customHeight="1">
      <c r="A44" s="480" t="s">
        <v>286</v>
      </c>
      <c r="B44" s="521" t="s">
        <v>425</v>
      </c>
      <c r="C44" s="522">
        <v>766.56121999999993</v>
      </c>
      <c r="D44" s="522">
        <v>406.57538</v>
      </c>
      <c r="E44" s="522">
        <v>766.56121999999993</v>
      </c>
      <c r="F44" s="523">
        <f t="shared" si="0"/>
        <v>0.88540983470273082</v>
      </c>
    </row>
    <row r="45" spans="1:6" ht="11.25" customHeight="1">
      <c r="A45" s="480"/>
      <c r="B45" s="521" t="s">
        <v>426</v>
      </c>
      <c r="C45" s="522">
        <v>173.97845000000001</v>
      </c>
      <c r="D45" s="522">
        <v>0</v>
      </c>
      <c r="E45" s="522">
        <v>173.97845000000001</v>
      </c>
      <c r="F45" s="523" t="str">
        <f t="shared" si="0"/>
        <v/>
      </c>
    </row>
    <row r="46" spans="1:6" ht="11.25" customHeight="1">
      <c r="A46" s="480"/>
      <c r="B46" s="521" t="s">
        <v>424</v>
      </c>
      <c r="C46" s="522">
        <v>517.81934999999999</v>
      </c>
      <c r="D46" s="522"/>
      <c r="E46" s="522">
        <v>517.81934999999999</v>
      </c>
      <c r="F46" s="523" t="str">
        <f t="shared" si="0"/>
        <v/>
      </c>
    </row>
    <row r="47" spans="1:6" ht="11.25" customHeight="1">
      <c r="A47" s="480"/>
      <c r="B47" s="521" t="s">
        <v>427</v>
      </c>
      <c r="C47" s="522">
        <v>10.319739999999999</v>
      </c>
      <c r="D47" s="522"/>
      <c r="E47" s="522">
        <v>10.319739999999999</v>
      </c>
      <c r="F47" s="523" t="str">
        <f t="shared" si="0"/>
        <v/>
      </c>
    </row>
    <row r="48" spans="1:6" ht="11.25" customHeight="1">
      <c r="A48" s="482" t="s">
        <v>428</v>
      </c>
      <c r="B48" s="483"/>
      <c r="C48" s="520">
        <v>1468.6787599999998</v>
      </c>
      <c r="D48" s="520">
        <v>406.57538</v>
      </c>
      <c r="E48" s="520">
        <v>1468.6787599999998</v>
      </c>
      <c r="F48" s="524">
        <f t="shared" si="0"/>
        <v>2.6123160236608518</v>
      </c>
    </row>
    <row r="49" spans="1:6" ht="11.25" customHeight="1">
      <c r="A49" s="480" t="s">
        <v>704</v>
      </c>
      <c r="B49" s="521" t="s">
        <v>708</v>
      </c>
      <c r="C49" s="522">
        <v>89.974540000000005</v>
      </c>
      <c r="D49" s="522">
        <v>91.014450000000011</v>
      </c>
      <c r="E49" s="522">
        <v>89.974540000000005</v>
      </c>
      <c r="F49" s="523">
        <f t="shared" si="0"/>
        <v>-1.1425768106053558E-2</v>
      </c>
    </row>
    <row r="50" spans="1:6" ht="11.25" customHeight="1">
      <c r="A50" s="482" t="s">
        <v>707</v>
      </c>
      <c r="B50" s="483"/>
      <c r="C50" s="520">
        <v>89.974540000000005</v>
      </c>
      <c r="D50" s="520">
        <v>91.014450000000011</v>
      </c>
      <c r="E50" s="520">
        <v>89.974540000000005</v>
      </c>
      <c r="F50" s="524">
        <f t="shared" si="0"/>
        <v>-1.1425768106053558E-2</v>
      </c>
    </row>
    <row r="51" spans="1:6" ht="11.25" customHeight="1">
      <c r="A51" s="480" t="s">
        <v>127</v>
      </c>
      <c r="B51" s="521" t="s">
        <v>76</v>
      </c>
      <c r="C51" s="522">
        <v>3.7359999999999998</v>
      </c>
      <c r="D51" s="522">
        <v>3.4870000000000001</v>
      </c>
      <c r="E51" s="522">
        <v>3.7359999999999998</v>
      </c>
      <c r="F51" s="523">
        <f t="shared" si="0"/>
        <v>7.1408087180957702E-2</v>
      </c>
    </row>
    <row r="52" spans="1:6" ht="11.25" customHeight="1">
      <c r="A52" s="482" t="s">
        <v>429</v>
      </c>
      <c r="B52" s="483"/>
      <c r="C52" s="520">
        <v>3.7359999999999998</v>
      </c>
      <c r="D52" s="520">
        <v>3.4870000000000001</v>
      </c>
      <c r="E52" s="520">
        <v>3.7359999999999998</v>
      </c>
      <c r="F52" s="524">
        <f t="shared" si="0"/>
        <v>7.1408087180957702E-2</v>
      </c>
    </row>
    <row r="53" spans="1:6" ht="11.25" customHeight="1">
      <c r="A53" s="480" t="s">
        <v>120</v>
      </c>
      <c r="B53" s="521" t="s">
        <v>88</v>
      </c>
      <c r="C53" s="522">
        <v>0</v>
      </c>
      <c r="D53" s="522">
        <v>0</v>
      </c>
      <c r="E53" s="522">
        <v>0</v>
      </c>
      <c r="F53" s="523" t="str">
        <f t="shared" si="0"/>
        <v/>
      </c>
    </row>
    <row r="54" spans="1:6" ht="11.25" customHeight="1">
      <c r="A54" s="482" t="s">
        <v>430</v>
      </c>
      <c r="B54" s="483"/>
      <c r="C54" s="520">
        <v>0</v>
      </c>
      <c r="D54" s="520">
        <v>0</v>
      </c>
      <c r="E54" s="520">
        <v>0</v>
      </c>
      <c r="F54" s="524" t="str">
        <f t="shared" si="0"/>
        <v/>
      </c>
    </row>
    <row r="55" spans="1:6" ht="11.25" customHeight="1">
      <c r="A55" s="480" t="s">
        <v>287</v>
      </c>
      <c r="B55" s="521" t="s">
        <v>75</v>
      </c>
      <c r="C55" s="522">
        <v>5.0991200000000001</v>
      </c>
      <c r="D55" s="522">
        <v>5.3753099999999998</v>
      </c>
      <c r="E55" s="522">
        <v>5.0991200000000001</v>
      </c>
      <c r="F55" s="523">
        <f t="shared" si="0"/>
        <v>-5.1381222664367177E-2</v>
      </c>
    </row>
    <row r="56" spans="1:6" ht="11.25" customHeight="1">
      <c r="A56" s="480"/>
      <c r="B56" s="521" t="s">
        <v>431</v>
      </c>
      <c r="C56" s="522">
        <v>212.03365000000002</v>
      </c>
      <c r="D56" s="522">
        <v>240.65673000000001</v>
      </c>
      <c r="E56" s="522">
        <v>212.03365000000002</v>
      </c>
      <c r="F56" s="523">
        <f t="shared" si="0"/>
        <v>-0.11893737607088728</v>
      </c>
    </row>
    <row r="57" spans="1:6" ht="11.25" customHeight="1">
      <c r="A57" s="480"/>
      <c r="B57" s="521" t="s">
        <v>432</v>
      </c>
      <c r="C57" s="522">
        <v>90.990350000000007</v>
      </c>
      <c r="D57" s="522">
        <v>90.106359999999995</v>
      </c>
      <c r="E57" s="522">
        <v>90.990350000000007</v>
      </c>
      <c r="F57" s="523">
        <f t="shared" si="0"/>
        <v>9.8105172598250689E-3</v>
      </c>
    </row>
    <row r="58" spans="1:6" ht="11.25" customHeight="1">
      <c r="A58" s="480"/>
      <c r="B58" s="521" t="s">
        <v>66</v>
      </c>
      <c r="C58" s="522">
        <v>9.9579199999999997</v>
      </c>
      <c r="D58" s="522">
        <v>9.9653100000000006</v>
      </c>
      <c r="E58" s="522">
        <v>9.9579199999999997</v>
      </c>
      <c r="F58" s="523">
        <f t="shared" si="0"/>
        <v>-7.4157251505480026E-4</v>
      </c>
    </row>
    <row r="59" spans="1:6" ht="11.25" customHeight="1">
      <c r="A59" s="482" t="s">
        <v>433</v>
      </c>
      <c r="B59" s="483"/>
      <c r="C59" s="520">
        <v>318.08104000000003</v>
      </c>
      <c r="D59" s="520">
        <v>346.10371000000004</v>
      </c>
      <c r="E59" s="520">
        <v>318.08104000000003</v>
      </c>
      <c r="F59" s="524">
        <f t="shared" si="0"/>
        <v>-8.0966106951006145E-2</v>
      </c>
    </row>
    <row r="60" spans="1:6" ht="11.25" customHeight="1">
      <c r="A60" s="480" t="s">
        <v>288</v>
      </c>
      <c r="B60" s="521" t="s">
        <v>83</v>
      </c>
      <c r="C60" s="522">
        <v>23.36393</v>
      </c>
      <c r="D60" s="522">
        <v>7.2201500000000003</v>
      </c>
      <c r="E60" s="522">
        <v>23.36393</v>
      </c>
      <c r="F60" s="523">
        <f t="shared" si="0"/>
        <v>2.2359341564925934</v>
      </c>
    </row>
    <row r="61" spans="1:6" ht="11.25" customHeight="1">
      <c r="A61" s="482" t="s">
        <v>434</v>
      </c>
      <c r="B61" s="483"/>
      <c r="C61" s="520">
        <v>23.36393</v>
      </c>
      <c r="D61" s="520">
        <v>7.2201500000000003</v>
      </c>
      <c r="E61" s="520">
        <v>23.36393</v>
      </c>
      <c r="F61" s="524">
        <f t="shared" si="0"/>
        <v>2.2359341564925934</v>
      </c>
    </row>
    <row r="62" spans="1:6" ht="11.25" customHeight="1">
      <c r="A62" s="480" t="s">
        <v>108</v>
      </c>
      <c r="B62" s="521" t="s">
        <v>80</v>
      </c>
      <c r="C62" s="522">
        <v>78.918340000000001</v>
      </c>
      <c r="D62" s="522">
        <v>28.030809999999999</v>
      </c>
      <c r="E62" s="522">
        <v>78.918340000000001</v>
      </c>
      <c r="F62" s="523">
        <f t="shared" si="0"/>
        <v>1.8154141817521507</v>
      </c>
    </row>
    <row r="63" spans="1:6" ht="11.25" customHeight="1">
      <c r="A63" s="482" t="s">
        <v>435</v>
      </c>
      <c r="B63" s="483"/>
      <c r="C63" s="520">
        <v>78.918340000000001</v>
      </c>
      <c r="D63" s="520">
        <v>28.030809999999999</v>
      </c>
      <c r="E63" s="520">
        <v>78.918340000000001</v>
      </c>
      <c r="F63" s="524">
        <f t="shared" si="0"/>
        <v>1.8154141817521507</v>
      </c>
    </row>
    <row r="64" spans="1:6" ht="11.25" customHeight="1">
      <c r="A64" s="480" t="s">
        <v>117</v>
      </c>
      <c r="B64" s="521" t="s">
        <v>275</v>
      </c>
      <c r="C64" s="522">
        <v>0</v>
      </c>
      <c r="D64" s="522">
        <v>0</v>
      </c>
      <c r="E64" s="522">
        <v>0</v>
      </c>
      <c r="F64" s="523" t="str">
        <f t="shared" si="0"/>
        <v/>
      </c>
    </row>
    <row r="65" spans="1:6" ht="11.25" customHeight="1">
      <c r="A65" s="482" t="s">
        <v>436</v>
      </c>
      <c r="B65" s="483"/>
      <c r="C65" s="520">
        <v>0</v>
      </c>
      <c r="D65" s="520">
        <v>0</v>
      </c>
      <c r="E65" s="520">
        <v>0</v>
      </c>
      <c r="F65" s="524" t="str">
        <f t="shared" si="0"/>
        <v/>
      </c>
    </row>
    <row r="66" spans="1:6" ht="11.25" customHeight="1">
      <c r="A66" s="480" t="s">
        <v>289</v>
      </c>
      <c r="B66" s="521" t="s">
        <v>93</v>
      </c>
      <c r="C66" s="522">
        <v>4.3682099999999995</v>
      </c>
      <c r="D66" s="522">
        <v>2.9626999999999999</v>
      </c>
      <c r="E66" s="522">
        <v>4.3682099999999995</v>
      </c>
      <c r="F66" s="523">
        <f t="shared" si="0"/>
        <v>0.47440172815337345</v>
      </c>
    </row>
    <row r="67" spans="1:6" ht="11.25" customHeight="1">
      <c r="A67" s="482" t="s">
        <v>437</v>
      </c>
      <c r="B67" s="483"/>
      <c r="C67" s="520">
        <v>4.3682099999999995</v>
      </c>
      <c r="D67" s="520">
        <v>2.9626999999999999</v>
      </c>
      <c r="E67" s="520">
        <v>4.3682099999999995</v>
      </c>
      <c r="F67" s="524">
        <f t="shared" si="0"/>
        <v>0.47440172815337345</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M63"/>
  <sheetViews>
    <sheetView showGridLines="0" view="pageBreakPreview" zoomScale="140" zoomScaleNormal="100" zoomScaleSheetLayoutView="140" zoomScalePageLayoutView="130" workbookViewId="0">
      <selection activeCell="E25" sqref="E25"/>
    </sheetView>
  </sheetViews>
  <sheetFormatPr defaultRowHeight="9"/>
  <cols>
    <col min="1" max="1" width="27.6640625" style="503" customWidth="1"/>
    <col min="2" max="2" width="23" style="503" customWidth="1"/>
    <col min="3" max="4" width="17.6640625" style="503" customWidth="1"/>
    <col min="5" max="5" width="15.1640625" style="503" customWidth="1"/>
    <col min="6" max="6" width="13.33203125" style="503" customWidth="1"/>
    <col min="7" max="9" width="9.33203125" style="503"/>
    <col min="10" max="11" width="9.33203125" style="503" customWidth="1"/>
    <col min="12" max="13" width="9.33203125" style="503"/>
    <col min="14" max="16384" width="9.33203125" style="504"/>
  </cols>
  <sheetData>
    <row r="1" spans="1:12" ht="11.25" customHeight="1">
      <c r="A1" s="934" t="s">
        <v>299</v>
      </c>
      <c r="B1" s="937" t="s">
        <v>57</v>
      </c>
      <c r="C1" s="937" t="s">
        <v>489</v>
      </c>
      <c r="D1" s="937"/>
      <c r="E1" s="937"/>
      <c r="F1" s="940"/>
      <c r="G1" s="505"/>
      <c r="H1" s="505"/>
      <c r="I1" s="505"/>
      <c r="J1" s="505"/>
      <c r="K1" s="505"/>
    </row>
    <row r="2" spans="1:12" ht="11.25" customHeight="1">
      <c r="A2" s="935"/>
      <c r="B2" s="938"/>
      <c r="C2" s="527" t="str">
        <f>+'22. ANEXOII-2'!C2</f>
        <v>FEBRERO 2018</v>
      </c>
      <c r="D2" s="528" t="str">
        <f>+'22. ANEXOII-2'!D2</f>
        <v>FEBRERO 2017</v>
      </c>
      <c r="E2" s="529">
        <v>2018</v>
      </c>
      <c r="F2" s="506" t="s">
        <v>487</v>
      </c>
      <c r="G2" s="507"/>
      <c r="H2" s="507"/>
      <c r="I2" s="507"/>
      <c r="J2" s="507"/>
      <c r="K2" s="507"/>
      <c r="L2" s="508"/>
    </row>
    <row r="3" spans="1:12" ht="11.25" customHeight="1">
      <c r="A3" s="935"/>
      <c r="B3" s="938"/>
      <c r="C3" s="530">
        <f>+'8. Max Potencia'!D8</f>
        <v>43144.8125</v>
      </c>
      <c r="D3" s="530">
        <f>+'8. Max Potencia'!E8</f>
        <v>42767.833333333336</v>
      </c>
      <c r="E3" s="530">
        <f>+'8. Max Potencia'!G8</f>
        <v>43144.8125</v>
      </c>
      <c r="F3" s="531" t="s">
        <v>473</v>
      </c>
      <c r="G3" s="509"/>
      <c r="H3" s="509"/>
      <c r="I3" s="510"/>
      <c r="J3" s="510"/>
      <c r="K3" s="510"/>
      <c r="L3" s="508"/>
    </row>
    <row r="4" spans="1:12" ht="11.25" customHeight="1">
      <c r="A4" s="936"/>
      <c r="B4" s="939"/>
      <c r="C4" s="532">
        <f>+'8. Max Potencia'!D9</f>
        <v>43144.8125</v>
      </c>
      <c r="D4" s="532">
        <f>+'8. Max Potencia'!E9</f>
        <v>42767.833333333336</v>
      </c>
      <c r="E4" s="532">
        <f>+'8. Max Potencia'!G9</f>
        <v>43144.8125</v>
      </c>
      <c r="F4" s="533" t="s">
        <v>474</v>
      </c>
      <c r="G4" s="509"/>
      <c r="H4" s="509"/>
      <c r="I4" s="509"/>
      <c r="J4" s="509"/>
      <c r="K4" s="509"/>
      <c r="L4" s="511"/>
    </row>
    <row r="5" spans="1:12" ht="11.25" customHeight="1">
      <c r="A5" s="476" t="s">
        <v>290</v>
      </c>
      <c r="B5" s="521" t="s">
        <v>438</v>
      </c>
      <c r="C5" s="522">
        <v>0</v>
      </c>
      <c r="D5" s="522">
        <v>213.15367000000001</v>
      </c>
      <c r="E5" s="522">
        <v>0</v>
      </c>
      <c r="F5" s="523">
        <f t="shared" ref="F5:F54" si="0">+IF(D5=0,"",C5/D5-1)</f>
        <v>-1</v>
      </c>
    </row>
    <row r="6" spans="1:12" ht="11.25" customHeight="1">
      <c r="A6" s="482" t="s">
        <v>439</v>
      </c>
      <c r="B6" s="483"/>
      <c r="C6" s="520">
        <v>0</v>
      </c>
      <c r="D6" s="520">
        <v>213.15367000000001</v>
      </c>
      <c r="E6" s="520">
        <v>0</v>
      </c>
      <c r="F6" s="524">
        <f t="shared" si="0"/>
        <v>-1</v>
      </c>
    </row>
    <row r="7" spans="1:12" ht="11.25" customHeight="1">
      <c r="A7" s="476" t="s">
        <v>134</v>
      </c>
      <c r="B7" s="521" t="s">
        <v>481</v>
      </c>
      <c r="C7" s="522"/>
      <c r="D7" s="522">
        <v>20.343129999999999</v>
      </c>
      <c r="E7" s="522"/>
      <c r="F7" s="523">
        <f t="shared" si="0"/>
        <v>-1</v>
      </c>
    </row>
    <row r="8" spans="1:12" ht="11.25" customHeight="1">
      <c r="A8" s="482" t="s">
        <v>482</v>
      </c>
      <c r="B8" s="483"/>
      <c r="C8" s="520"/>
      <c r="D8" s="520">
        <v>20.343129999999999</v>
      </c>
      <c r="E8" s="520"/>
      <c r="F8" s="524">
        <f t="shared" si="0"/>
        <v>-1</v>
      </c>
    </row>
    <row r="9" spans="1:12" ht="11.25" customHeight="1">
      <c r="A9" s="476" t="s">
        <v>114</v>
      </c>
      <c r="B9" s="521" t="s">
        <v>65</v>
      </c>
      <c r="C9" s="522">
        <v>16.785440000000001</v>
      </c>
      <c r="D9" s="522">
        <v>15.29265</v>
      </c>
      <c r="E9" s="522">
        <v>16.785440000000001</v>
      </c>
      <c r="F9" s="523">
        <f t="shared" si="0"/>
        <v>9.76148672728403E-2</v>
      </c>
    </row>
    <row r="10" spans="1:12" ht="11.25" customHeight="1">
      <c r="A10" s="482" t="s">
        <v>440</v>
      </c>
      <c r="B10" s="483"/>
      <c r="C10" s="520">
        <v>16.785440000000001</v>
      </c>
      <c r="D10" s="520">
        <v>15.29265</v>
      </c>
      <c r="E10" s="520">
        <v>16.785440000000001</v>
      </c>
      <c r="F10" s="524">
        <f t="shared" si="0"/>
        <v>9.76148672728403E-2</v>
      </c>
    </row>
    <row r="11" spans="1:12" ht="11.25" customHeight="1">
      <c r="A11" s="476" t="s">
        <v>291</v>
      </c>
      <c r="B11" s="521" t="s">
        <v>441</v>
      </c>
      <c r="C11" s="522">
        <v>0</v>
      </c>
      <c r="D11" s="522">
        <v>0</v>
      </c>
      <c r="E11" s="522">
        <v>0</v>
      </c>
      <c r="F11" s="523" t="str">
        <f t="shared" si="0"/>
        <v/>
      </c>
    </row>
    <row r="12" spans="1:12" ht="11.25" customHeight="1">
      <c r="A12" s="482" t="s">
        <v>442</v>
      </c>
      <c r="B12" s="483"/>
      <c r="C12" s="520">
        <v>0</v>
      </c>
      <c r="D12" s="520">
        <v>0</v>
      </c>
      <c r="E12" s="520">
        <v>0</v>
      </c>
      <c r="F12" s="524" t="str">
        <f t="shared" si="0"/>
        <v/>
      </c>
    </row>
    <row r="13" spans="1:12" ht="11.25" customHeight="1">
      <c r="A13" s="480" t="s">
        <v>104</v>
      </c>
      <c r="B13" s="521" t="s">
        <v>443</v>
      </c>
      <c r="C13" s="522">
        <v>110.90493000000001</v>
      </c>
      <c r="D13" s="522">
        <v>110.84282999999999</v>
      </c>
      <c r="E13" s="522">
        <v>110.90493000000001</v>
      </c>
      <c r="F13" s="523">
        <f t="shared" si="0"/>
        <v>5.602527470656149E-4</v>
      </c>
    </row>
    <row r="14" spans="1:12" ht="11.25" customHeight="1">
      <c r="A14" s="476"/>
      <c r="B14" s="521" t="s">
        <v>483</v>
      </c>
      <c r="C14" s="522"/>
      <c r="D14" s="522">
        <v>0</v>
      </c>
      <c r="E14" s="522"/>
      <c r="F14" s="523" t="str">
        <f t="shared" si="0"/>
        <v/>
      </c>
    </row>
    <row r="15" spans="1:12" ht="11.25" customHeight="1">
      <c r="A15" s="482" t="s">
        <v>444</v>
      </c>
      <c r="B15" s="483"/>
      <c r="C15" s="520">
        <v>110.90493000000001</v>
      </c>
      <c r="D15" s="520">
        <v>110.84282999999999</v>
      </c>
      <c r="E15" s="520">
        <v>110.90493000000001</v>
      </c>
      <c r="F15" s="524">
        <f t="shared" si="0"/>
        <v>5.602527470656149E-4</v>
      </c>
    </row>
    <row r="16" spans="1:12" ht="11.25" customHeight="1">
      <c r="A16" s="476" t="s">
        <v>678</v>
      </c>
      <c r="B16" s="521" t="s">
        <v>698</v>
      </c>
      <c r="C16" s="522">
        <v>0</v>
      </c>
      <c r="D16" s="522"/>
      <c r="E16" s="522">
        <v>0</v>
      </c>
      <c r="F16" s="523" t="str">
        <f t="shared" si="0"/>
        <v/>
      </c>
    </row>
    <row r="17" spans="1:6" ht="11.25" customHeight="1">
      <c r="A17" s="482" t="s">
        <v>685</v>
      </c>
      <c r="B17" s="483"/>
      <c r="C17" s="520">
        <v>0</v>
      </c>
      <c r="D17" s="520"/>
      <c r="E17" s="520">
        <v>0</v>
      </c>
      <c r="F17" s="524" t="str">
        <f t="shared" si="0"/>
        <v/>
      </c>
    </row>
    <row r="18" spans="1:6" ht="11.25" customHeight="1">
      <c r="A18" s="480" t="s">
        <v>292</v>
      </c>
      <c r="B18" s="521" t="s">
        <v>69</v>
      </c>
      <c r="C18" s="522">
        <v>9.4392600000000009</v>
      </c>
      <c r="D18" s="522">
        <v>8.3000299999999996</v>
      </c>
      <c r="E18" s="522">
        <v>9.4392600000000009</v>
      </c>
      <c r="F18" s="523">
        <f t="shared" si="0"/>
        <v>0.13725613039952878</v>
      </c>
    </row>
    <row r="19" spans="1:6" ht="11.25" customHeight="1">
      <c r="A19" s="480"/>
      <c r="B19" s="521" t="s">
        <v>68</v>
      </c>
      <c r="C19" s="522">
        <v>9.8568999999999996</v>
      </c>
      <c r="D19" s="522">
        <v>8.8441799999999997</v>
      </c>
      <c r="E19" s="522">
        <v>9.8568999999999996</v>
      </c>
      <c r="F19" s="523">
        <f t="shared" si="0"/>
        <v>0.11450694128794292</v>
      </c>
    </row>
    <row r="20" spans="1:6" ht="11.25" customHeight="1">
      <c r="A20" s="480"/>
      <c r="B20" s="521" t="s">
        <v>72</v>
      </c>
      <c r="C20" s="522">
        <v>4.0369299999999999</v>
      </c>
      <c r="D20" s="522">
        <v>4.7866</v>
      </c>
      <c r="E20" s="522">
        <v>4.0369299999999999</v>
      </c>
      <c r="F20" s="523">
        <f t="shared" si="0"/>
        <v>-0.1566184765804538</v>
      </c>
    </row>
    <row r="21" spans="1:6" ht="11.25" customHeight="1">
      <c r="A21" s="476"/>
      <c r="B21" s="521" t="s">
        <v>71</v>
      </c>
      <c r="C21" s="522">
        <v>4.8181000000000003</v>
      </c>
      <c r="D21" s="522">
        <v>5.4169299999999998</v>
      </c>
      <c r="E21" s="522">
        <v>4.8181000000000003</v>
      </c>
      <c r="F21" s="523">
        <f t="shared" si="0"/>
        <v>-0.11054785644267129</v>
      </c>
    </row>
    <row r="22" spans="1:6" ht="11.25" customHeight="1">
      <c r="A22" s="482" t="s">
        <v>445</v>
      </c>
      <c r="B22" s="483"/>
      <c r="C22" s="520">
        <v>28.15119</v>
      </c>
      <c r="D22" s="520">
        <v>27.347740000000002</v>
      </c>
      <c r="E22" s="520">
        <v>28.15119</v>
      </c>
      <c r="F22" s="524">
        <f t="shared" si="0"/>
        <v>2.9379027298050975E-2</v>
      </c>
    </row>
    <row r="23" spans="1:6" ht="11.25" customHeight="1">
      <c r="A23" s="476" t="s">
        <v>137</v>
      </c>
      <c r="B23" s="521" t="s">
        <v>484</v>
      </c>
      <c r="C23" s="522"/>
      <c r="D23" s="522">
        <v>26.13278</v>
      </c>
      <c r="E23" s="522"/>
      <c r="F23" s="523">
        <f t="shared" si="0"/>
        <v>-1</v>
      </c>
    </row>
    <row r="24" spans="1:6" ht="11.25" customHeight="1">
      <c r="A24" s="482" t="s">
        <v>485</v>
      </c>
      <c r="B24" s="483"/>
      <c r="C24" s="520"/>
      <c r="D24" s="520">
        <v>26.13278</v>
      </c>
      <c r="E24" s="520"/>
      <c r="F24" s="524">
        <f t="shared" si="0"/>
        <v>-1</v>
      </c>
    </row>
    <row r="25" spans="1:6" ht="11.25" customHeight="1">
      <c r="A25" s="476" t="s">
        <v>111</v>
      </c>
      <c r="B25" s="521" t="s">
        <v>446</v>
      </c>
      <c r="C25" s="522">
        <v>26.884260000000001</v>
      </c>
      <c r="D25" s="522">
        <v>26.262339999999998</v>
      </c>
      <c r="E25" s="522">
        <v>26.884260000000001</v>
      </c>
      <c r="F25" s="523">
        <f t="shared" si="0"/>
        <v>2.3681058123533605E-2</v>
      </c>
    </row>
    <row r="26" spans="1:6" ht="11.25" customHeight="1">
      <c r="A26" s="482" t="s">
        <v>447</v>
      </c>
      <c r="B26" s="483"/>
      <c r="C26" s="520">
        <v>26.884260000000001</v>
      </c>
      <c r="D26" s="520">
        <v>26.262339999999998</v>
      </c>
      <c r="E26" s="520">
        <v>26.884260000000001</v>
      </c>
      <c r="F26" s="524">
        <f t="shared" si="0"/>
        <v>2.3681058123533605E-2</v>
      </c>
    </row>
    <row r="27" spans="1:6" ht="11.25" customHeight="1">
      <c r="A27" s="476" t="s">
        <v>131</v>
      </c>
      <c r="B27" s="521" t="s">
        <v>448</v>
      </c>
      <c r="C27" s="522">
        <v>0</v>
      </c>
      <c r="D27" s="522">
        <v>0</v>
      </c>
      <c r="E27" s="522">
        <v>0</v>
      </c>
      <c r="F27" s="523" t="str">
        <f t="shared" si="0"/>
        <v/>
      </c>
    </row>
    <row r="28" spans="1:6" ht="11.25" customHeight="1">
      <c r="A28" s="482" t="s">
        <v>449</v>
      </c>
      <c r="B28" s="483"/>
      <c r="C28" s="520">
        <v>0</v>
      </c>
      <c r="D28" s="520">
        <v>0</v>
      </c>
      <c r="E28" s="520">
        <v>0</v>
      </c>
      <c r="F28" s="524" t="str">
        <f t="shared" si="0"/>
        <v/>
      </c>
    </row>
    <row r="29" spans="1:6" ht="11.25" customHeight="1">
      <c r="A29" s="480" t="s">
        <v>123</v>
      </c>
      <c r="B29" s="521" t="s">
        <v>486</v>
      </c>
      <c r="C29" s="522"/>
      <c r="D29" s="522">
        <v>20.32124</v>
      </c>
      <c r="E29" s="522"/>
      <c r="F29" s="523">
        <f t="shared" si="0"/>
        <v>-1</v>
      </c>
    </row>
    <row r="30" spans="1:6" ht="11.25" customHeight="1">
      <c r="A30" s="476"/>
      <c r="B30" s="521" t="s">
        <v>73</v>
      </c>
      <c r="C30" s="522">
        <v>7.7695299999999996</v>
      </c>
      <c r="D30" s="522">
        <v>4.0777700000000001</v>
      </c>
      <c r="E30" s="522">
        <v>7.7695299999999996</v>
      </c>
      <c r="F30" s="523">
        <f t="shared" si="0"/>
        <v>0.90533796658467725</v>
      </c>
    </row>
    <row r="31" spans="1:6" ht="11.25" customHeight="1">
      <c r="A31" s="482" t="s">
        <v>450</v>
      </c>
      <c r="B31" s="483"/>
      <c r="C31" s="520">
        <v>7.7695299999999996</v>
      </c>
      <c r="D31" s="520">
        <v>24.399010000000001</v>
      </c>
      <c r="E31" s="520">
        <v>7.7695299999999996</v>
      </c>
      <c r="F31" s="524">
        <f t="shared" si="0"/>
        <v>-0.68156371918368819</v>
      </c>
    </row>
    <row r="32" spans="1:6" ht="11.25" customHeight="1">
      <c r="A32" s="480" t="s">
        <v>99</v>
      </c>
      <c r="B32" s="521" t="s">
        <v>451</v>
      </c>
      <c r="C32" s="522">
        <v>45.728880000000004</v>
      </c>
      <c r="D32" s="522">
        <v>41.946510000000004</v>
      </c>
      <c r="E32" s="522">
        <v>45.728880000000004</v>
      </c>
      <c r="F32" s="523">
        <f t="shared" si="0"/>
        <v>9.017126812218712E-2</v>
      </c>
    </row>
    <row r="33" spans="1:6" ht="11.25" customHeight="1">
      <c r="A33" s="480"/>
      <c r="B33" s="521" t="s">
        <v>452</v>
      </c>
      <c r="C33" s="522">
        <v>165.47215</v>
      </c>
      <c r="D33" s="522">
        <v>166.33699999999999</v>
      </c>
      <c r="E33" s="522">
        <v>165.47215</v>
      </c>
      <c r="F33" s="523">
        <f t="shared" si="0"/>
        <v>-5.1993843823081587E-3</v>
      </c>
    </row>
    <row r="34" spans="1:6" ht="11.25" customHeight="1">
      <c r="A34" s="480"/>
      <c r="B34" s="521" t="s">
        <v>453</v>
      </c>
      <c r="C34" s="522">
        <v>23.86007</v>
      </c>
      <c r="D34" s="522">
        <v>23.581400000000002</v>
      </c>
      <c r="E34" s="522">
        <v>23.86007</v>
      </c>
      <c r="F34" s="523">
        <f t="shared" si="0"/>
        <v>1.1817364533064145E-2</v>
      </c>
    </row>
    <row r="35" spans="1:6" ht="11.25" customHeight="1">
      <c r="A35" s="480"/>
      <c r="B35" s="521" t="s">
        <v>454</v>
      </c>
      <c r="C35" s="522">
        <v>0</v>
      </c>
      <c r="D35" s="522">
        <v>0</v>
      </c>
      <c r="E35" s="522">
        <v>0</v>
      </c>
      <c r="F35" s="523" t="str">
        <f t="shared" si="0"/>
        <v/>
      </c>
    </row>
    <row r="36" spans="1:6" ht="11.25" customHeight="1">
      <c r="A36" s="480"/>
      <c r="B36" s="521" t="s">
        <v>455</v>
      </c>
      <c r="C36" s="522">
        <v>1.7167699999999999</v>
      </c>
      <c r="D36" s="522">
        <v>22.039740000000002</v>
      </c>
      <c r="E36" s="522">
        <v>1.7167699999999999</v>
      </c>
      <c r="F36" s="523">
        <f t="shared" si="0"/>
        <v>-0.9221057054212074</v>
      </c>
    </row>
    <row r="37" spans="1:6" ht="11.25" customHeight="1">
      <c r="A37" s="480"/>
      <c r="B37" s="521" t="s">
        <v>456</v>
      </c>
      <c r="C37" s="522">
        <v>3.80592</v>
      </c>
      <c r="D37" s="522">
        <v>3.7555200000000002</v>
      </c>
      <c r="E37" s="522">
        <v>3.80592</v>
      </c>
      <c r="F37" s="523">
        <f t="shared" si="0"/>
        <v>1.3420245398772845E-2</v>
      </c>
    </row>
    <row r="38" spans="1:6" ht="11.25" customHeight="1">
      <c r="A38" s="480"/>
      <c r="B38" s="521" t="s">
        <v>457</v>
      </c>
      <c r="C38" s="522">
        <v>8.1907200000000007</v>
      </c>
      <c r="D38" s="522">
        <v>6.7553999999999998</v>
      </c>
      <c r="E38" s="522">
        <v>8.1907200000000007</v>
      </c>
      <c r="F38" s="523">
        <f t="shared" si="0"/>
        <v>0.21247002398081549</v>
      </c>
    </row>
    <row r="39" spans="1:6" ht="11.25" customHeight="1">
      <c r="A39" s="480"/>
      <c r="B39" s="521" t="s">
        <v>458</v>
      </c>
      <c r="C39" s="522">
        <v>1.7236</v>
      </c>
      <c r="D39" s="522">
        <v>3.0364800000000001</v>
      </c>
      <c r="E39" s="522">
        <v>1.7236</v>
      </c>
      <c r="F39" s="523">
        <f t="shared" si="0"/>
        <v>-0.43236905891031718</v>
      </c>
    </row>
    <row r="40" spans="1:6" ht="11.25" customHeight="1">
      <c r="A40" s="480"/>
      <c r="B40" s="521" t="s">
        <v>459</v>
      </c>
      <c r="C40" s="522">
        <v>2.5005200000000003</v>
      </c>
      <c r="D40" s="522">
        <v>4.2905300000000004</v>
      </c>
      <c r="E40" s="522">
        <v>2.5005200000000003</v>
      </c>
      <c r="F40" s="523">
        <f t="shared" si="0"/>
        <v>-0.41720020603515184</v>
      </c>
    </row>
    <row r="41" spans="1:6" ht="11.25" customHeight="1">
      <c r="A41" s="480"/>
      <c r="B41" s="521" t="s">
        <v>460</v>
      </c>
      <c r="C41" s="522">
        <v>0.57042000000000004</v>
      </c>
      <c r="D41" s="522">
        <v>0.4047</v>
      </c>
      <c r="E41" s="522">
        <v>0.57042000000000004</v>
      </c>
      <c r="F41" s="523">
        <f t="shared" si="0"/>
        <v>0.40948851000741304</v>
      </c>
    </row>
    <row r="42" spans="1:6" ht="11.25" customHeight="1">
      <c r="A42" s="480"/>
      <c r="B42" s="521" t="s">
        <v>461</v>
      </c>
      <c r="C42" s="522">
        <v>0.38424000000000003</v>
      </c>
      <c r="D42" s="522">
        <v>0.27948000000000001</v>
      </c>
      <c r="E42" s="522">
        <v>0.38424000000000003</v>
      </c>
      <c r="F42" s="523">
        <f t="shared" si="0"/>
        <v>0.3748389866895665</v>
      </c>
    </row>
    <row r="43" spans="1:6" ht="11.25" customHeight="1">
      <c r="A43" s="476"/>
      <c r="B43" s="521" t="s">
        <v>462</v>
      </c>
      <c r="C43" s="522">
        <v>106.45247000000001</v>
      </c>
      <c r="D43" s="522">
        <v>64.07835</v>
      </c>
      <c r="E43" s="522">
        <v>106.45247000000001</v>
      </c>
      <c r="F43" s="523">
        <f t="shared" si="0"/>
        <v>0.66128606619864594</v>
      </c>
    </row>
    <row r="44" spans="1:6" ht="11.25" customHeight="1">
      <c r="A44" s="482" t="s">
        <v>463</v>
      </c>
      <c r="B44" s="483"/>
      <c r="C44" s="520">
        <v>360.40575999999999</v>
      </c>
      <c r="D44" s="520">
        <v>336.50510999999995</v>
      </c>
      <c r="E44" s="520">
        <v>360.40575999999999</v>
      </c>
      <c r="F44" s="524">
        <f t="shared" si="0"/>
        <v>7.1026113095281174E-2</v>
      </c>
    </row>
    <row r="45" spans="1:6" ht="11.25" customHeight="1">
      <c r="A45" s="476" t="s">
        <v>119</v>
      </c>
      <c r="B45" s="521" t="s">
        <v>274</v>
      </c>
      <c r="C45" s="522">
        <v>0</v>
      </c>
      <c r="D45" s="522">
        <v>0</v>
      </c>
      <c r="E45" s="522">
        <v>0</v>
      </c>
      <c r="F45" s="523" t="str">
        <f t="shared" si="0"/>
        <v/>
      </c>
    </row>
    <row r="46" spans="1:6" ht="11.25" customHeight="1">
      <c r="A46" s="482" t="s">
        <v>464</v>
      </c>
      <c r="B46" s="483"/>
      <c r="C46" s="520">
        <v>0</v>
      </c>
      <c r="D46" s="520">
        <v>0</v>
      </c>
      <c r="E46" s="520">
        <v>0</v>
      </c>
      <c r="F46" s="524" t="str">
        <f t="shared" si="0"/>
        <v/>
      </c>
    </row>
    <row r="47" spans="1:6" ht="11.25" customHeight="1">
      <c r="A47" s="476" t="s">
        <v>109</v>
      </c>
      <c r="B47" s="521" t="s">
        <v>699</v>
      </c>
      <c r="C47" s="522">
        <v>0</v>
      </c>
      <c r="D47" s="522">
        <v>0</v>
      </c>
      <c r="E47" s="522">
        <v>0</v>
      </c>
      <c r="F47" s="523" t="str">
        <f t="shared" si="0"/>
        <v/>
      </c>
    </row>
    <row r="48" spans="1:6" ht="11.25" customHeight="1">
      <c r="A48" s="482" t="s">
        <v>465</v>
      </c>
      <c r="B48" s="483"/>
      <c r="C48" s="520">
        <v>0</v>
      </c>
      <c r="D48" s="520">
        <v>0</v>
      </c>
      <c r="E48" s="520">
        <v>0</v>
      </c>
      <c r="F48" s="524" t="str">
        <f t="shared" si="0"/>
        <v/>
      </c>
    </row>
    <row r="49" spans="1:6">
      <c r="A49" s="476" t="s">
        <v>115</v>
      </c>
      <c r="B49" s="521" t="s">
        <v>466</v>
      </c>
      <c r="C49" s="522">
        <v>84.815160000000006</v>
      </c>
      <c r="D49" s="522">
        <v>0</v>
      </c>
      <c r="E49" s="522">
        <v>84.815160000000006</v>
      </c>
      <c r="F49" s="523" t="str">
        <f t="shared" si="0"/>
        <v/>
      </c>
    </row>
    <row r="50" spans="1:6">
      <c r="A50" s="482" t="s">
        <v>467</v>
      </c>
      <c r="B50" s="483"/>
      <c r="C50" s="520">
        <v>84.815160000000006</v>
      </c>
      <c r="D50" s="520">
        <v>0</v>
      </c>
      <c r="E50" s="520">
        <v>84.815160000000006</v>
      </c>
      <c r="F50" s="524" t="str">
        <f t="shared" si="0"/>
        <v/>
      </c>
    </row>
    <row r="52" spans="1:6" ht="10.5" customHeight="1">
      <c r="A52" s="491" t="s">
        <v>696</v>
      </c>
      <c r="B52" s="733"/>
      <c r="C52" s="493">
        <v>6576.9682299999968</v>
      </c>
      <c r="D52" s="493">
        <v>6529.4868899999992</v>
      </c>
      <c r="E52" s="493">
        <v>6576.9682299999968</v>
      </c>
      <c r="F52" s="735">
        <f t="shared" si="0"/>
        <v>7.2718332695813626E-3</v>
      </c>
    </row>
    <row r="53" spans="1:6" ht="10.5" customHeight="1">
      <c r="A53" s="495" t="s">
        <v>469</v>
      </c>
      <c r="B53" s="496"/>
      <c r="C53" s="493">
        <v>0</v>
      </c>
      <c r="D53" s="493">
        <v>0</v>
      </c>
      <c r="E53" s="494">
        <v>0</v>
      </c>
      <c r="F53" s="736" t="str">
        <f t="shared" si="0"/>
        <v/>
      </c>
    </row>
    <row r="54" spans="1:6" ht="10.5" customHeight="1">
      <c r="A54" s="499" t="s">
        <v>470</v>
      </c>
      <c r="B54" s="500"/>
      <c r="C54" s="494">
        <v>0</v>
      </c>
      <c r="D54" s="494">
        <v>0</v>
      </c>
      <c r="E54" s="494">
        <v>0</v>
      </c>
      <c r="F54" s="736" t="str">
        <f t="shared" si="0"/>
        <v/>
      </c>
    </row>
    <row r="58" spans="1:6" ht="11.25" customHeight="1">
      <c r="A58" s="503" t="s">
        <v>472</v>
      </c>
    </row>
    <row r="59" spans="1:6" ht="11.25" customHeight="1">
      <c r="A59" s="503" t="s">
        <v>688</v>
      </c>
    </row>
    <row r="60" spans="1:6" ht="11.25" customHeight="1">
      <c r="A60" s="503" t="s">
        <v>689</v>
      </c>
    </row>
    <row r="61" spans="1:6" ht="11.25" customHeight="1">
      <c r="A61" s="503" t="s">
        <v>686</v>
      </c>
    </row>
    <row r="62" spans="1:6" ht="11.25" customHeight="1">
      <c r="A62" s="503" t="s">
        <v>687</v>
      </c>
    </row>
    <row r="63" spans="1:6">
      <c r="A63" s="503" t="s">
        <v>709</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69"/>
  <sheetViews>
    <sheetView showGridLines="0" view="pageBreakPreview" zoomScale="130" zoomScaleNormal="100" zoomScaleSheetLayoutView="130" zoomScalePageLayoutView="145" workbookViewId="0">
      <selection activeCell="K12" sqref="K12"/>
    </sheetView>
  </sheetViews>
  <sheetFormatPr defaultRowHeight="11.25"/>
  <cols>
    <col min="1" max="1" width="9.83203125" style="50" customWidth="1"/>
    <col min="2" max="2" width="6.6640625" style="50" customWidth="1"/>
    <col min="3" max="3" width="10.1640625" style="50" bestFit="1" customWidth="1"/>
    <col min="4" max="5" width="12.1640625" style="50" customWidth="1"/>
    <col min="6" max="6" width="10" style="50" customWidth="1"/>
    <col min="7" max="7" width="6.5" style="50" customWidth="1"/>
    <col min="8" max="8" width="10.33203125" style="50" customWidth="1"/>
    <col min="9" max="10" width="12.1640625" style="50" customWidth="1"/>
    <col min="11" max="11" width="12" style="50" customWidth="1"/>
    <col min="12" max="13" width="9.33203125" style="50"/>
    <col min="14" max="16384" width="9.33203125" style="3"/>
  </cols>
  <sheetData>
    <row r="1" spans="1:13" s="50" customFormat="1" ht="11.25" customHeight="1"/>
    <row r="2" spans="1:13" s="50" customFormat="1" ht="11.25" customHeight="1"/>
    <row r="3" spans="1:13" s="50" customFormat="1" ht="16.5" customHeight="1">
      <c r="A3" s="541" t="s">
        <v>497</v>
      </c>
      <c r="B3" s="539"/>
    </row>
    <row r="4" spans="1:13" s="50" customFormat="1" ht="11.25" customHeight="1">
      <c r="A4" s="445"/>
      <c r="B4" s="539"/>
    </row>
    <row r="5" spans="1:13" s="50" customFormat="1" ht="11.25" customHeight="1">
      <c r="A5" s="540" t="s">
        <v>500</v>
      </c>
      <c r="C5" s="539">
        <v>6576.9679999999998</v>
      </c>
    </row>
    <row r="6" spans="1:13" s="50" customFormat="1" ht="11.25" customHeight="1">
      <c r="A6" s="540" t="s">
        <v>498</v>
      </c>
      <c r="C6" s="683">
        <v>43144</v>
      </c>
    </row>
    <row r="7" spans="1:13" s="50" customFormat="1" ht="11.25" customHeight="1">
      <c r="A7" s="540" t="s">
        <v>499</v>
      </c>
      <c r="C7" s="684">
        <v>0.8125</v>
      </c>
    </row>
    <row r="8" spans="1:13" s="50" customFormat="1" ht="11.25" customHeight="1"/>
    <row r="9" spans="1:13" s="50" customFormat="1" ht="14.25" customHeight="1">
      <c r="A9" s="941" t="s">
        <v>490</v>
      </c>
      <c r="B9" s="942" t="s">
        <v>491</v>
      </c>
      <c r="C9" s="942"/>
      <c r="D9" s="942"/>
      <c r="E9" s="942"/>
      <c r="F9" s="942"/>
      <c r="G9" s="942" t="s">
        <v>492</v>
      </c>
      <c r="H9" s="942"/>
      <c r="I9" s="942"/>
      <c r="J9" s="942"/>
      <c r="K9" s="942"/>
    </row>
    <row r="10" spans="1:13" s="50" customFormat="1" ht="26.25" customHeight="1">
      <c r="A10" s="941"/>
      <c r="B10" s="534" t="s">
        <v>493</v>
      </c>
      <c r="C10" s="534" t="s">
        <v>223</v>
      </c>
      <c r="D10" s="534" t="s">
        <v>469</v>
      </c>
      <c r="E10" s="534" t="s">
        <v>470</v>
      </c>
      <c r="F10" s="535" t="s">
        <v>496</v>
      </c>
      <c r="G10" s="534" t="s">
        <v>493</v>
      </c>
      <c r="H10" s="534" t="s">
        <v>223</v>
      </c>
      <c r="I10" s="534" t="s">
        <v>469</v>
      </c>
      <c r="J10" s="534" t="s">
        <v>470</v>
      </c>
      <c r="K10" s="535" t="s">
        <v>496</v>
      </c>
      <c r="L10" s="274"/>
      <c r="M10" s="61"/>
    </row>
    <row r="11" spans="1:13" s="50" customFormat="1" ht="11.25" customHeight="1">
      <c r="A11" s="941"/>
      <c r="B11" s="534" t="s">
        <v>494</v>
      </c>
      <c r="C11" s="534" t="s">
        <v>495</v>
      </c>
      <c r="D11" s="534" t="s">
        <v>495</v>
      </c>
      <c r="E11" s="534" t="s">
        <v>495</v>
      </c>
      <c r="F11" s="534" t="s">
        <v>495</v>
      </c>
      <c r="G11" s="534" t="s">
        <v>494</v>
      </c>
      <c r="H11" s="534" t="s">
        <v>495</v>
      </c>
      <c r="I11" s="534" t="s">
        <v>495</v>
      </c>
      <c r="J11" s="534" t="s">
        <v>495</v>
      </c>
      <c r="K11" s="534" t="s">
        <v>495</v>
      </c>
      <c r="L11" s="274"/>
      <c r="M11" s="61"/>
    </row>
    <row r="12" spans="1:13" s="50" customFormat="1" ht="11.25" customHeight="1">
      <c r="A12" s="680">
        <v>43132</v>
      </c>
      <c r="B12" s="681">
        <v>0.48958333333333331</v>
      </c>
      <c r="C12" s="536">
        <v>6260.0020000000004</v>
      </c>
      <c r="D12" s="536">
        <v>0</v>
      </c>
      <c r="E12" s="536">
        <v>0</v>
      </c>
      <c r="F12" s="536">
        <v>6260.0020000000004</v>
      </c>
      <c r="G12" s="681">
        <v>0.82291666666666663</v>
      </c>
      <c r="H12" s="536">
        <v>6208.7950000000001</v>
      </c>
      <c r="I12" s="536">
        <v>0</v>
      </c>
      <c r="J12" s="536">
        <v>0</v>
      </c>
      <c r="K12" s="536">
        <v>6208.7950000000001</v>
      </c>
      <c r="L12" s="286"/>
      <c r="M12" s="61"/>
    </row>
    <row r="13" spans="1:13" s="50" customFormat="1" ht="11.25" customHeight="1">
      <c r="A13" s="680">
        <v>43133</v>
      </c>
      <c r="B13" s="682">
        <v>0.48958333333333331</v>
      </c>
      <c r="C13" s="537">
        <v>6343.027</v>
      </c>
      <c r="D13" s="537">
        <v>0</v>
      </c>
      <c r="E13" s="537">
        <v>0</v>
      </c>
      <c r="F13" s="537">
        <v>6343.027</v>
      </c>
      <c r="G13" s="682">
        <v>0.82291666666666663</v>
      </c>
      <c r="H13" s="537">
        <v>6214.1859999999997</v>
      </c>
      <c r="I13" s="537">
        <v>0</v>
      </c>
      <c r="J13" s="537">
        <v>0</v>
      </c>
      <c r="K13" s="537">
        <v>6214.1859999999997</v>
      </c>
      <c r="L13" s="7"/>
    </row>
    <row r="14" spans="1:13" s="50" customFormat="1" ht="11.25" customHeight="1">
      <c r="A14" s="680">
        <v>43134</v>
      </c>
      <c r="B14" s="682">
        <v>0.48958333333333331</v>
      </c>
      <c r="C14" s="537">
        <v>5964.1149999999998</v>
      </c>
      <c r="D14" s="537">
        <v>33.823999999999998</v>
      </c>
      <c r="E14" s="537">
        <v>0</v>
      </c>
      <c r="F14" s="537">
        <v>5997.9390000000003</v>
      </c>
      <c r="G14" s="682">
        <v>0.85416666666666663</v>
      </c>
      <c r="H14" s="537">
        <v>6259.5559999999996</v>
      </c>
      <c r="I14" s="537">
        <v>0</v>
      </c>
      <c r="J14" s="537">
        <v>0</v>
      </c>
      <c r="K14" s="537">
        <v>6259.5559999999996</v>
      </c>
      <c r="L14" s="20"/>
    </row>
    <row r="15" spans="1:13" s="50" customFormat="1" ht="11.25" customHeight="1">
      <c r="A15" s="680">
        <v>43135</v>
      </c>
      <c r="B15" s="682">
        <v>0.95833333333333337</v>
      </c>
      <c r="C15" s="537">
        <v>5559.1009999999997</v>
      </c>
      <c r="D15" s="537">
        <v>0</v>
      </c>
      <c r="E15" s="537">
        <v>0</v>
      </c>
      <c r="F15" s="537">
        <v>5559.1009999999997</v>
      </c>
      <c r="G15" s="682">
        <v>0.84375</v>
      </c>
      <c r="H15" s="537">
        <v>6113.4849999999997</v>
      </c>
      <c r="I15" s="537">
        <v>0</v>
      </c>
      <c r="J15" s="537">
        <v>0</v>
      </c>
      <c r="K15" s="537">
        <v>6113.4849999999997</v>
      </c>
      <c r="L15" s="16"/>
    </row>
    <row r="16" spans="1:13" s="50" customFormat="1" ht="11.25" customHeight="1">
      <c r="A16" s="680">
        <v>43136</v>
      </c>
      <c r="B16" s="682">
        <v>0.625</v>
      </c>
      <c r="C16" s="537">
        <v>6449.68</v>
      </c>
      <c r="D16" s="537">
        <v>0</v>
      </c>
      <c r="E16" s="537">
        <v>0</v>
      </c>
      <c r="F16" s="537">
        <v>6449.68</v>
      </c>
      <c r="G16" s="682">
        <v>0.85416666666666663</v>
      </c>
      <c r="H16" s="537">
        <v>6537.7110000000002</v>
      </c>
      <c r="I16" s="537">
        <v>0</v>
      </c>
      <c r="J16" s="537">
        <v>0</v>
      </c>
      <c r="K16" s="537">
        <v>6537.7110000000002</v>
      </c>
      <c r="L16" s="29"/>
    </row>
    <row r="17" spans="1:12" s="50" customFormat="1" ht="11.25" customHeight="1">
      <c r="A17" s="680">
        <v>43137</v>
      </c>
      <c r="B17" s="682">
        <v>0.64583333333333337</v>
      </c>
      <c r="C17" s="537">
        <v>6607.8789999999999</v>
      </c>
      <c r="D17" s="537">
        <v>0</v>
      </c>
      <c r="E17" s="537">
        <v>0</v>
      </c>
      <c r="F17" s="537">
        <v>6607.8789999999999</v>
      </c>
      <c r="G17" s="682">
        <v>0.83333333333333337</v>
      </c>
      <c r="H17" s="537">
        <v>6571.23</v>
      </c>
      <c r="I17" s="537">
        <v>0</v>
      </c>
      <c r="J17" s="537">
        <v>0</v>
      </c>
      <c r="K17" s="537">
        <v>6571.23</v>
      </c>
      <c r="L17" s="29"/>
    </row>
    <row r="18" spans="1:12" s="50" customFormat="1" ht="11.25" customHeight="1">
      <c r="A18" s="680">
        <v>43138</v>
      </c>
      <c r="B18" s="682">
        <v>0.48958333333333331</v>
      </c>
      <c r="C18" s="537">
        <v>6653.2550000000001</v>
      </c>
      <c r="D18" s="537">
        <v>0</v>
      </c>
      <c r="E18" s="537">
        <v>0</v>
      </c>
      <c r="F18" s="537">
        <v>6653.2550000000001</v>
      </c>
      <c r="G18" s="682">
        <v>0.875</v>
      </c>
      <c r="H18" s="537">
        <v>6571.7920000000004</v>
      </c>
      <c r="I18" s="537">
        <v>0</v>
      </c>
      <c r="J18" s="537">
        <v>0</v>
      </c>
      <c r="K18" s="537">
        <v>6571.7920000000004</v>
      </c>
      <c r="L18" s="29"/>
    </row>
    <row r="19" spans="1:12" s="50" customFormat="1" ht="11.25" customHeight="1">
      <c r="A19" s="680">
        <v>43139</v>
      </c>
      <c r="B19" s="682">
        <v>0.5</v>
      </c>
      <c r="C19" s="537">
        <v>6612.1239999999998</v>
      </c>
      <c r="D19" s="537">
        <v>0</v>
      </c>
      <c r="E19" s="537">
        <v>0</v>
      </c>
      <c r="F19" s="537">
        <v>6612.1239999999998</v>
      </c>
      <c r="G19" s="682">
        <v>0.8125</v>
      </c>
      <c r="H19" s="537">
        <v>6528.3630000000003</v>
      </c>
      <c r="I19" s="537">
        <v>0</v>
      </c>
      <c r="J19" s="537">
        <v>0</v>
      </c>
      <c r="K19" s="537">
        <v>6528.3630000000003</v>
      </c>
      <c r="L19" s="29"/>
    </row>
    <row r="20" spans="1:12" s="50" customFormat="1" ht="11.25" customHeight="1">
      <c r="A20" s="680">
        <v>43140</v>
      </c>
      <c r="B20" s="682">
        <v>0.48958333333333331</v>
      </c>
      <c r="C20" s="538">
        <v>6719.05</v>
      </c>
      <c r="D20" s="538">
        <v>0</v>
      </c>
      <c r="E20" s="538">
        <v>0</v>
      </c>
      <c r="F20" s="538">
        <v>6719.05</v>
      </c>
      <c r="G20" s="682">
        <v>0.82291666666666663</v>
      </c>
      <c r="H20" s="537">
        <v>6526.5460000000003</v>
      </c>
      <c r="I20" s="537">
        <v>0</v>
      </c>
      <c r="J20" s="537">
        <v>0</v>
      </c>
      <c r="K20" s="537">
        <v>6526.5460000000003</v>
      </c>
      <c r="L20" s="31"/>
    </row>
    <row r="21" spans="1:12" s="50" customFormat="1" ht="11.25" customHeight="1">
      <c r="A21" s="680">
        <v>43141</v>
      </c>
      <c r="B21" s="682">
        <v>0.47916666666666669</v>
      </c>
      <c r="C21" s="537">
        <v>6260.9030000000002</v>
      </c>
      <c r="D21" s="537">
        <v>38.316000000000003</v>
      </c>
      <c r="E21" s="537">
        <v>0</v>
      </c>
      <c r="F21" s="537">
        <v>6299.2190000000001</v>
      </c>
      <c r="G21" s="682">
        <v>0.85416666666666663</v>
      </c>
      <c r="H21" s="537">
        <v>6396.4709999999995</v>
      </c>
      <c r="I21" s="537">
        <v>40.555999999999997</v>
      </c>
      <c r="J21" s="537">
        <v>0</v>
      </c>
      <c r="K21" s="537">
        <v>6437.027</v>
      </c>
      <c r="L21" s="29"/>
    </row>
    <row r="22" spans="1:12" s="50" customFormat="1" ht="11.25" customHeight="1">
      <c r="A22" s="680">
        <v>43142</v>
      </c>
      <c r="B22" s="682">
        <v>0.95833333333333337</v>
      </c>
      <c r="C22" s="537">
        <v>5613.3580000000002</v>
      </c>
      <c r="D22" s="537">
        <v>0</v>
      </c>
      <c r="E22" s="537">
        <v>0</v>
      </c>
      <c r="F22" s="537">
        <v>5613.3580000000002</v>
      </c>
      <c r="G22" s="682">
        <v>0.875</v>
      </c>
      <c r="H22" s="537">
        <v>6139.2790000000005</v>
      </c>
      <c r="I22" s="537">
        <v>0</v>
      </c>
      <c r="J22" s="537">
        <v>0</v>
      </c>
      <c r="K22" s="537">
        <v>6139.2790000000005</v>
      </c>
      <c r="L22" s="29"/>
    </row>
    <row r="23" spans="1:12" s="50" customFormat="1" ht="11.25" customHeight="1">
      <c r="A23" s="680">
        <v>43143</v>
      </c>
      <c r="B23" s="682">
        <v>0.60416666666666663</v>
      </c>
      <c r="C23" s="537">
        <v>6442.8329999999996</v>
      </c>
      <c r="D23" s="537">
        <v>41.48</v>
      </c>
      <c r="E23" s="537">
        <v>0</v>
      </c>
      <c r="F23" s="537">
        <v>6484.3130000000001</v>
      </c>
      <c r="G23" s="682">
        <v>0.79166666666666663</v>
      </c>
      <c r="H23" s="537">
        <v>6330.7120000000004</v>
      </c>
      <c r="I23" s="537">
        <v>40.363999999999997</v>
      </c>
      <c r="J23" s="537">
        <v>0</v>
      </c>
      <c r="K23" s="537">
        <v>6371.076</v>
      </c>
      <c r="L23" s="29"/>
    </row>
    <row r="24" spans="1:12" s="50" customFormat="1" ht="11.25" customHeight="1">
      <c r="A24" s="680">
        <v>43144</v>
      </c>
      <c r="B24" s="682">
        <v>0.65625</v>
      </c>
      <c r="C24" s="537">
        <v>6617.3149999999996</v>
      </c>
      <c r="D24" s="537">
        <v>0</v>
      </c>
      <c r="E24" s="537">
        <v>0</v>
      </c>
      <c r="F24" s="537">
        <v>6617.3149999999996</v>
      </c>
      <c r="G24" s="682">
        <v>0.8125</v>
      </c>
      <c r="H24" s="538">
        <v>6576.9679999999998</v>
      </c>
      <c r="I24" s="538">
        <v>0</v>
      </c>
      <c r="J24" s="538">
        <v>0</v>
      </c>
      <c r="K24" s="538">
        <v>6576.9679999999998</v>
      </c>
      <c r="L24" s="29"/>
    </row>
    <row r="25" spans="1:12" s="50" customFormat="1" ht="11.25" customHeight="1">
      <c r="A25" s="680">
        <v>43145</v>
      </c>
      <c r="B25" s="682">
        <v>0.64583333333333337</v>
      </c>
      <c r="C25" s="537">
        <v>6553.6379999999999</v>
      </c>
      <c r="D25" s="537">
        <v>0</v>
      </c>
      <c r="E25" s="537">
        <v>0</v>
      </c>
      <c r="F25" s="537">
        <v>6553.6379999999999</v>
      </c>
      <c r="G25" s="682">
        <v>0.82291666666666663</v>
      </c>
      <c r="H25" s="537">
        <v>6408.2370000000001</v>
      </c>
      <c r="I25" s="537">
        <v>0</v>
      </c>
      <c r="J25" s="537">
        <v>0</v>
      </c>
      <c r="K25" s="537">
        <v>6408.2370000000001</v>
      </c>
      <c r="L25" s="29"/>
    </row>
    <row r="26" spans="1:12" s="50" customFormat="1" ht="11.25" customHeight="1">
      <c r="A26" s="680">
        <v>43146</v>
      </c>
      <c r="B26" s="682">
        <v>0.5</v>
      </c>
      <c r="C26" s="537">
        <v>6611.9560000000001</v>
      </c>
      <c r="D26" s="537">
        <v>0</v>
      </c>
      <c r="E26" s="537">
        <v>0</v>
      </c>
      <c r="F26" s="537">
        <v>6611.9560000000001</v>
      </c>
      <c r="G26" s="682">
        <v>0.8125</v>
      </c>
      <c r="H26" s="537">
        <v>6457.759</v>
      </c>
      <c r="I26" s="537">
        <v>0</v>
      </c>
      <c r="J26" s="537">
        <v>0</v>
      </c>
      <c r="K26" s="537">
        <v>6457.759</v>
      </c>
      <c r="L26" s="29"/>
    </row>
    <row r="27" spans="1:12" s="50" customFormat="1" ht="11.25" customHeight="1">
      <c r="A27" s="680">
        <v>43147</v>
      </c>
      <c r="B27" s="682">
        <v>0.67708333333333337</v>
      </c>
      <c r="C27" s="537">
        <v>6634.3509999999997</v>
      </c>
      <c r="D27" s="537">
        <v>0</v>
      </c>
      <c r="E27" s="537">
        <v>0</v>
      </c>
      <c r="F27" s="537">
        <v>6634.3509999999997</v>
      </c>
      <c r="G27" s="682">
        <v>0.8125</v>
      </c>
      <c r="H27" s="537">
        <v>6536.8320000000003</v>
      </c>
      <c r="I27" s="537">
        <v>0</v>
      </c>
      <c r="J27" s="537">
        <v>0</v>
      </c>
      <c r="K27" s="537">
        <v>6536.8320000000003</v>
      </c>
      <c r="L27" s="29"/>
    </row>
    <row r="28" spans="1:12" s="50" customFormat="1" ht="11.25" customHeight="1">
      <c r="A28" s="680">
        <v>43148</v>
      </c>
      <c r="B28" s="682">
        <v>0.48958333333333331</v>
      </c>
      <c r="C28" s="537">
        <v>6407.27</v>
      </c>
      <c r="D28" s="537">
        <v>0</v>
      </c>
      <c r="E28" s="537">
        <v>0</v>
      </c>
      <c r="F28" s="537">
        <v>6407.27</v>
      </c>
      <c r="G28" s="682">
        <v>0.85416666666666663</v>
      </c>
      <c r="H28" s="537">
        <v>6517.4080000000004</v>
      </c>
      <c r="I28" s="537">
        <v>0</v>
      </c>
      <c r="J28" s="537">
        <v>0</v>
      </c>
      <c r="K28" s="537">
        <v>6517.4080000000004</v>
      </c>
      <c r="L28" s="39"/>
    </row>
    <row r="29" spans="1:12" s="50" customFormat="1" ht="11.25" customHeight="1">
      <c r="A29" s="680">
        <v>43149</v>
      </c>
      <c r="B29" s="682">
        <v>1.0416666666666666E-2</v>
      </c>
      <c r="C29" s="537">
        <v>5723.06</v>
      </c>
      <c r="D29" s="537">
        <v>0</v>
      </c>
      <c r="E29" s="537">
        <v>0</v>
      </c>
      <c r="F29" s="537">
        <v>5723.06</v>
      </c>
      <c r="G29" s="682">
        <v>0.85416666666666663</v>
      </c>
      <c r="H29" s="537">
        <v>6294.4219999999996</v>
      </c>
      <c r="I29" s="537">
        <v>0</v>
      </c>
      <c r="J29" s="537">
        <v>0</v>
      </c>
      <c r="K29" s="537">
        <v>6294.4219999999996</v>
      </c>
      <c r="L29" s="29"/>
    </row>
    <row r="30" spans="1:12" s="50" customFormat="1" ht="11.25" customHeight="1">
      <c r="A30" s="680">
        <v>43150</v>
      </c>
      <c r="B30" s="682">
        <v>0.625</v>
      </c>
      <c r="C30" s="537">
        <v>6615.5680000000002</v>
      </c>
      <c r="D30" s="537">
        <v>0</v>
      </c>
      <c r="E30" s="537">
        <v>0</v>
      </c>
      <c r="F30" s="537">
        <v>6615.5680000000002</v>
      </c>
      <c r="G30" s="682">
        <v>0.8125</v>
      </c>
      <c r="H30" s="537">
        <v>6539.7939999999999</v>
      </c>
      <c r="I30" s="537">
        <v>0</v>
      </c>
      <c r="J30" s="537">
        <v>0</v>
      </c>
      <c r="K30" s="537">
        <v>6539.7939999999999</v>
      </c>
      <c r="L30" s="29"/>
    </row>
    <row r="31" spans="1:12" s="50" customFormat="1" ht="11.25" customHeight="1">
      <c r="A31" s="680">
        <v>43151</v>
      </c>
      <c r="B31" s="682">
        <v>0.5</v>
      </c>
      <c r="C31" s="537">
        <v>6691.6540000000005</v>
      </c>
      <c r="D31" s="537">
        <v>0</v>
      </c>
      <c r="E31" s="537">
        <v>0</v>
      </c>
      <c r="F31" s="537">
        <v>6691.6540000000005</v>
      </c>
      <c r="G31" s="682">
        <v>0.8125</v>
      </c>
      <c r="H31" s="537">
        <v>6535.9059999999999</v>
      </c>
      <c r="I31" s="537">
        <v>0</v>
      </c>
      <c r="J31" s="537">
        <v>0</v>
      </c>
      <c r="K31" s="537">
        <v>6535.9059999999999</v>
      </c>
      <c r="L31" s="20"/>
    </row>
    <row r="32" spans="1:12" s="50" customFormat="1" ht="11.25" customHeight="1">
      <c r="A32" s="680">
        <v>43152</v>
      </c>
      <c r="B32" s="682">
        <v>0.48958333333333331</v>
      </c>
      <c r="C32" s="537">
        <v>6578.6509999999998</v>
      </c>
      <c r="D32" s="537">
        <v>0</v>
      </c>
      <c r="E32" s="537">
        <v>0</v>
      </c>
      <c r="F32" s="537">
        <v>6578.6509999999998</v>
      </c>
      <c r="G32" s="682">
        <v>0.8125</v>
      </c>
      <c r="H32" s="537">
        <v>6462.2749999999996</v>
      </c>
      <c r="I32" s="537">
        <v>0</v>
      </c>
      <c r="J32" s="537">
        <v>0</v>
      </c>
      <c r="K32" s="537">
        <v>6462.2749999999996</v>
      </c>
      <c r="L32" s="22"/>
    </row>
    <row r="33" spans="1:12" s="50" customFormat="1" ht="11.25" customHeight="1">
      <c r="A33" s="680">
        <v>43153</v>
      </c>
      <c r="B33" s="682">
        <v>0.65625</v>
      </c>
      <c r="C33" s="537">
        <v>6547.3</v>
      </c>
      <c r="D33" s="537">
        <v>0</v>
      </c>
      <c r="E33" s="537">
        <v>0</v>
      </c>
      <c r="F33" s="537">
        <v>6547.3</v>
      </c>
      <c r="G33" s="682">
        <v>0.83333333333333337</v>
      </c>
      <c r="H33" s="537">
        <v>6520.2920000000004</v>
      </c>
      <c r="I33" s="537">
        <v>0</v>
      </c>
      <c r="J33" s="537">
        <v>0</v>
      </c>
      <c r="K33" s="537">
        <v>6520.2920000000004</v>
      </c>
      <c r="L33" s="20"/>
    </row>
    <row r="34" spans="1:12" s="50" customFormat="1" ht="11.25" customHeight="1">
      <c r="A34" s="680">
        <v>43154</v>
      </c>
      <c r="B34" s="682">
        <v>0.5</v>
      </c>
      <c r="C34" s="537">
        <v>6605.4489999999996</v>
      </c>
      <c r="D34" s="537">
        <v>0</v>
      </c>
      <c r="E34" s="537">
        <v>0</v>
      </c>
      <c r="F34" s="537">
        <v>6605.4489999999996</v>
      </c>
      <c r="G34" s="682">
        <v>0.82291666666666663</v>
      </c>
      <c r="H34" s="537">
        <v>6511.9759999999997</v>
      </c>
      <c r="I34" s="537">
        <v>0</v>
      </c>
      <c r="J34" s="537">
        <v>0</v>
      </c>
      <c r="K34" s="537">
        <v>6511.9759999999997</v>
      </c>
      <c r="L34" s="20"/>
    </row>
    <row r="35" spans="1:12" s="50" customFormat="1" ht="11.25" customHeight="1">
      <c r="A35" s="680">
        <v>43155</v>
      </c>
      <c r="B35" s="682">
        <v>0.47916666666666669</v>
      </c>
      <c r="C35" s="537">
        <v>6365.96</v>
      </c>
      <c r="D35" s="537">
        <v>0</v>
      </c>
      <c r="E35" s="537">
        <v>0</v>
      </c>
      <c r="F35" s="537">
        <v>6365.96</v>
      </c>
      <c r="G35" s="682">
        <v>0.88541666666666663</v>
      </c>
      <c r="H35" s="537">
        <v>6454.1850000000004</v>
      </c>
      <c r="I35" s="537">
        <v>0</v>
      </c>
      <c r="J35" s="537">
        <v>0</v>
      </c>
      <c r="K35" s="537">
        <v>6454.1850000000004</v>
      </c>
      <c r="L35" s="29"/>
    </row>
    <row r="36" spans="1:12" s="50" customFormat="1" ht="11.25" customHeight="1">
      <c r="A36" s="680">
        <v>43156</v>
      </c>
      <c r="B36" s="682">
        <v>0.95833333333333337</v>
      </c>
      <c r="C36" s="537">
        <v>5664.9120000000003</v>
      </c>
      <c r="D36" s="537">
        <v>0</v>
      </c>
      <c r="E36" s="537">
        <v>0</v>
      </c>
      <c r="F36" s="537">
        <v>5664.9120000000003</v>
      </c>
      <c r="G36" s="682">
        <v>0.82291666666666663</v>
      </c>
      <c r="H36" s="537">
        <v>6223.2039999999997</v>
      </c>
      <c r="I36" s="537">
        <v>0</v>
      </c>
      <c r="J36" s="537">
        <v>0</v>
      </c>
      <c r="K36" s="537">
        <v>6223.2039999999997</v>
      </c>
      <c r="L36" s="29"/>
    </row>
    <row r="37" spans="1:12" s="50" customFormat="1" ht="11.25" customHeight="1">
      <c r="A37" s="680">
        <v>43157</v>
      </c>
      <c r="B37" s="682">
        <v>0.5</v>
      </c>
      <c r="C37" s="537">
        <v>6549.6189999999997</v>
      </c>
      <c r="D37" s="537">
        <v>0</v>
      </c>
      <c r="E37" s="537">
        <v>0</v>
      </c>
      <c r="F37" s="537">
        <v>6549.6189999999997</v>
      </c>
      <c r="G37" s="682">
        <v>0.8125</v>
      </c>
      <c r="H37" s="537">
        <v>6499.14</v>
      </c>
      <c r="I37" s="537">
        <v>0</v>
      </c>
      <c r="J37" s="537">
        <v>0</v>
      </c>
      <c r="K37" s="537">
        <v>6499.14</v>
      </c>
      <c r="L37" s="29"/>
    </row>
    <row r="38" spans="1:12" s="50" customFormat="1" ht="11.25" customHeight="1">
      <c r="A38" s="680">
        <v>43158</v>
      </c>
      <c r="B38" s="682">
        <v>0.5</v>
      </c>
      <c r="C38" s="537">
        <v>6580.9970000000003</v>
      </c>
      <c r="D38" s="537">
        <v>0</v>
      </c>
      <c r="E38" s="537">
        <v>0</v>
      </c>
      <c r="F38" s="537">
        <v>6580.9970000000003</v>
      </c>
      <c r="G38" s="682">
        <v>0.84375</v>
      </c>
      <c r="H38" s="537">
        <v>6533.1610000000001</v>
      </c>
      <c r="I38" s="537">
        <v>0</v>
      </c>
      <c r="J38" s="537">
        <v>0</v>
      </c>
      <c r="K38" s="537">
        <v>6533.1610000000001</v>
      </c>
      <c r="L38" s="29"/>
    </row>
    <row r="39" spans="1:12" s="50" customFormat="1" ht="11.25" customHeight="1">
      <c r="A39" s="680">
        <v>43159</v>
      </c>
      <c r="B39" s="682">
        <v>0.48958333333333331</v>
      </c>
      <c r="C39" s="537">
        <v>6614.4629999999997</v>
      </c>
      <c r="D39" s="537">
        <v>0</v>
      </c>
      <c r="E39" s="537">
        <v>0</v>
      </c>
      <c r="F39" s="537">
        <v>6614.4629999999997</v>
      </c>
      <c r="G39" s="682">
        <v>0.80208333333333337</v>
      </c>
      <c r="H39" s="537">
        <v>6503.38</v>
      </c>
      <c r="I39" s="537">
        <v>0</v>
      </c>
      <c r="J39" s="537">
        <v>0</v>
      </c>
      <c r="K39" s="537">
        <v>6503.38</v>
      </c>
      <c r="L39" s="29"/>
    </row>
    <row r="40" spans="1:12" s="50" customFormat="1" ht="11.25" customHeight="1">
      <c r="A40" s="276"/>
      <c r="B40" s="276"/>
      <c r="C40" s="276"/>
      <c r="D40" s="276"/>
      <c r="E40" s="276"/>
      <c r="F40" s="276"/>
      <c r="G40" s="276"/>
      <c r="H40" s="276"/>
      <c r="I40" s="276"/>
      <c r="J40" s="276"/>
      <c r="K40" s="278"/>
      <c r="L40" s="29"/>
    </row>
    <row r="41" spans="1:12" s="50" customFormat="1" ht="11.25" customHeight="1">
      <c r="A41" s="276"/>
      <c r="B41" s="276"/>
      <c r="C41" s="276"/>
      <c r="D41" s="276"/>
      <c r="E41" s="276"/>
      <c r="F41" s="276"/>
      <c r="G41" s="276"/>
      <c r="H41" s="276"/>
      <c r="I41" s="276"/>
      <c r="J41" s="276"/>
      <c r="K41" s="278"/>
      <c r="L41" s="29"/>
    </row>
    <row r="42" spans="1:12" s="50" customFormat="1" ht="11.25" customHeight="1">
      <c r="A42" s="276"/>
      <c r="B42" s="276"/>
      <c r="C42" s="276"/>
      <c r="D42" s="276"/>
      <c r="E42" s="276"/>
      <c r="F42" s="276"/>
      <c r="G42" s="276"/>
      <c r="H42" s="276"/>
      <c r="I42" s="276"/>
      <c r="J42" s="276"/>
      <c r="K42" s="278"/>
      <c r="L42" s="279"/>
    </row>
    <row r="43" spans="1:12" s="50" customFormat="1" ht="11.25" customHeight="1">
      <c r="A43" s="276"/>
      <c r="B43" s="276"/>
      <c r="C43" s="276"/>
      <c r="D43" s="276"/>
      <c r="E43" s="276"/>
      <c r="F43" s="276"/>
      <c r="G43" s="276"/>
      <c r="H43" s="276"/>
      <c r="I43" s="276"/>
      <c r="J43" s="276"/>
      <c r="K43" s="278"/>
      <c r="L43" s="29"/>
    </row>
    <row r="44" spans="1:12" s="50" customFormat="1" ht="11.25" customHeight="1">
      <c r="A44" s="276"/>
      <c r="B44" s="276"/>
      <c r="C44" s="276"/>
      <c r="D44" s="276"/>
      <c r="E44" s="276"/>
      <c r="F44" s="276"/>
      <c r="G44" s="276"/>
      <c r="H44" s="276"/>
      <c r="I44" s="276"/>
      <c r="J44" s="276"/>
      <c r="K44" s="278"/>
      <c r="L44" s="29"/>
    </row>
    <row r="45" spans="1:12" s="50" customFormat="1" ht="11.25" customHeight="1">
      <c r="A45" s="276"/>
      <c r="B45" s="276"/>
      <c r="C45" s="276"/>
      <c r="D45" s="276"/>
      <c r="E45" s="276"/>
      <c r="F45" s="276"/>
      <c r="G45" s="276"/>
      <c r="H45" s="276"/>
      <c r="I45" s="276"/>
      <c r="J45" s="276"/>
      <c r="K45" s="278"/>
      <c r="L45" s="29"/>
    </row>
    <row r="46" spans="1:12" s="50" customFormat="1" ht="11.25" customHeight="1">
      <c r="A46" s="276"/>
      <c r="B46" s="276"/>
      <c r="C46" s="276"/>
      <c r="D46" s="276"/>
      <c r="E46" s="276"/>
      <c r="F46" s="276"/>
      <c r="G46" s="276"/>
      <c r="H46" s="276"/>
      <c r="I46" s="276"/>
      <c r="J46" s="276"/>
      <c r="K46" s="278"/>
      <c r="L46" s="29"/>
    </row>
    <row r="47" spans="1:12" s="50" customFormat="1" ht="11.25" customHeight="1">
      <c r="A47" s="276"/>
      <c r="B47" s="276"/>
      <c r="C47" s="276"/>
      <c r="D47" s="276"/>
      <c r="E47" s="276"/>
      <c r="F47" s="276"/>
      <c r="G47" s="276"/>
      <c r="H47" s="276"/>
      <c r="I47" s="276"/>
      <c r="J47" s="276"/>
      <c r="K47" s="278"/>
      <c r="L47" s="29"/>
    </row>
    <row r="48" spans="1:12" s="50" customFormat="1" ht="11.25" customHeight="1">
      <c r="A48" s="276"/>
      <c r="B48" s="276"/>
      <c r="C48" s="276"/>
      <c r="D48" s="276"/>
      <c r="E48" s="276"/>
      <c r="F48" s="276"/>
      <c r="G48" s="276"/>
      <c r="H48" s="276"/>
      <c r="I48" s="276"/>
      <c r="J48" s="276"/>
      <c r="K48" s="278"/>
      <c r="L48" s="29"/>
    </row>
    <row r="49" spans="1:12" s="50" customFormat="1" ht="11.25" customHeight="1">
      <c r="A49" s="276"/>
      <c r="B49" s="276"/>
      <c r="C49" s="276"/>
      <c r="D49" s="276"/>
      <c r="E49" s="276"/>
      <c r="F49" s="276"/>
      <c r="G49" s="276"/>
      <c r="H49" s="276"/>
      <c r="I49" s="276"/>
      <c r="J49" s="276"/>
      <c r="K49" s="280"/>
      <c r="L49" s="58"/>
    </row>
    <row r="50" spans="1:12" s="50" customFormat="1" ht="11.25" customHeight="1">
      <c r="A50" s="276"/>
      <c r="B50" s="276"/>
      <c r="C50" s="276"/>
      <c r="D50" s="276"/>
      <c r="E50" s="276"/>
      <c r="F50" s="276"/>
      <c r="G50" s="276"/>
      <c r="H50" s="276"/>
      <c r="I50" s="276"/>
      <c r="J50" s="276"/>
      <c r="K50" s="280"/>
      <c r="L50" s="59"/>
    </row>
    <row r="51" spans="1:12" s="50" customFormat="1" ht="11.25" customHeight="1">
      <c r="A51" s="276"/>
      <c r="B51" s="276"/>
      <c r="C51" s="276"/>
      <c r="D51" s="276"/>
      <c r="E51" s="276"/>
      <c r="F51" s="276"/>
      <c r="G51" s="276"/>
      <c r="H51" s="276"/>
      <c r="I51" s="276"/>
      <c r="J51" s="276"/>
      <c r="K51" s="280"/>
      <c r="L51" s="59"/>
    </row>
    <row r="52" spans="1:12" s="50" customFormat="1" ht="11.25" customHeight="1">
      <c r="A52" s="276"/>
      <c r="B52" s="276"/>
      <c r="C52" s="276"/>
      <c r="D52" s="276"/>
      <c r="E52" s="276"/>
      <c r="F52" s="276"/>
      <c r="G52" s="276"/>
      <c r="H52" s="276"/>
      <c r="I52" s="276"/>
      <c r="J52" s="276"/>
      <c r="K52" s="278"/>
    </row>
    <row r="53" spans="1:12" s="50" customFormat="1" ht="11.25" customHeight="1">
      <c r="A53" s="276"/>
      <c r="B53" s="276"/>
      <c r="C53" s="276"/>
      <c r="D53" s="276"/>
      <c r="E53" s="276"/>
      <c r="F53" s="276"/>
      <c r="G53" s="276"/>
      <c r="H53" s="276"/>
      <c r="I53" s="276"/>
      <c r="J53" s="276"/>
      <c r="K53" s="278"/>
    </row>
    <row r="54" spans="1:12" s="50" customFormat="1" ht="12.75">
      <c r="A54" s="276"/>
      <c r="B54" s="276"/>
      <c r="C54" s="276"/>
      <c r="D54" s="276"/>
      <c r="E54" s="276"/>
      <c r="F54" s="276"/>
      <c r="G54" s="276"/>
      <c r="H54" s="276"/>
      <c r="I54" s="276"/>
      <c r="J54" s="276"/>
      <c r="K54" s="278"/>
    </row>
    <row r="55" spans="1:12" s="50" customFormat="1" ht="12.75">
      <c r="A55" s="276"/>
      <c r="B55" s="276"/>
      <c r="C55" s="276"/>
      <c r="D55" s="276"/>
      <c r="E55" s="276"/>
      <c r="F55" s="276"/>
      <c r="G55" s="276"/>
      <c r="H55" s="276"/>
      <c r="I55" s="276"/>
      <c r="J55" s="276"/>
      <c r="K55" s="278"/>
    </row>
    <row r="56" spans="1:12" s="50" customFormat="1" ht="12.75">
      <c r="A56" s="276"/>
      <c r="B56" s="276"/>
      <c r="C56" s="276"/>
      <c r="D56" s="276"/>
      <c r="E56" s="276"/>
      <c r="F56" s="276"/>
      <c r="G56" s="276"/>
      <c r="H56" s="276"/>
      <c r="I56" s="276"/>
      <c r="J56" s="276"/>
      <c r="K56" s="278"/>
    </row>
    <row r="57" spans="1:12" s="50" customFormat="1" ht="12.75">
      <c r="A57" s="276"/>
      <c r="B57" s="276"/>
      <c r="C57" s="276"/>
      <c r="D57" s="276"/>
      <c r="E57" s="276"/>
      <c r="F57" s="276"/>
      <c r="G57" s="276"/>
      <c r="H57" s="276"/>
      <c r="I57" s="276"/>
      <c r="J57" s="276"/>
      <c r="K57" s="278"/>
    </row>
    <row r="58" spans="1:12" s="50" customFormat="1" ht="12.75">
      <c r="A58" s="276"/>
      <c r="B58" s="276"/>
      <c r="C58" s="276"/>
      <c r="D58" s="276"/>
      <c r="E58" s="276"/>
      <c r="F58" s="276"/>
      <c r="G58" s="276"/>
      <c r="H58" s="276"/>
      <c r="I58" s="276"/>
      <c r="J58" s="276"/>
      <c r="K58" s="278"/>
    </row>
    <row r="59" spans="1:12" s="50" customFormat="1" ht="12.75">
      <c r="A59" s="276"/>
      <c r="B59" s="132"/>
      <c r="C59" s="132"/>
      <c r="D59" s="132"/>
      <c r="E59" s="132"/>
      <c r="F59" s="132"/>
      <c r="G59" s="132"/>
      <c r="H59" s="132"/>
      <c r="I59" s="132"/>
      <c r="J59" s="132"/>
      <c r="K59" s="278"/>
    </row>
    <row r="60" spans="1:12" s="50" customFormat="1" ht="12.75">
      <c r="A60" s="276"/>
      <c r="B60" s="132"/>
      <c r="C60" s="132"/>
      <c r="D60" s="132"/>
      <c r="E60" s="132"/>
      <c r="F60" s="132"/>
      <c r="G60" s="132"/>
      <c r="H60" s="132"/>
      <c r="I60" s="132"/>
      <c r="J60" s="132"/>
      <c r="K60" s="278"/>
    </row>
    <row r="61" spans="1:12" s="50" customFormat="1" ht="12.75">
      <c r="A61" s="276"/>
      <c r="B61" s="132"/>
      <c r="C61" s="132"/>
      <c r="D61" s="132"/>
      <c r="E61" s="132"/>
      <c r="F61" s="132"/>
      <c r="G61" s="132"/>
      <c r="H61" s="132"/>
      <c r="I61" s="132"/>
      <c r="J61" s="132"/>
      <c r="K61" s="278"/>
    </row>
    <row r="62" spans="1:12" s="50" customFormat="1" ht="12.75">
      <c r="A62" s="276"/>
      <c r="B62" s="132"/>
      <c r="C62" s="132"/>
      <c r="D62" s="132"/>
      <c r="E62" s="132"/>
      <c r="F62" s="132"/>
      <c r="G62" s="132"/>
      <c r="H62" s="132"/>
      <c r="I62" s="132"/>
      <c r="J62" s="132"/>
      <c r="K62" s="278"/>
    </row>
    <row r="63" spans="1:12" s="50" customFormat="1" ht="12.75">
      <c r="A63" s="276"/>
      <c r="B63" s="132"/>
      <c r="C63" s="132"/>
      <c r="D63" s="132"/>
      <c r="E63" s="132"/>
      <c r="F63" s="132"/>
      <c r="G63" s="132"/>
      <c r="H63" s="132"/>
      <c r="I63" s="132"/>
      <c r="J63" s="132"/>
      <c r="K63" s="278"/>
    </row>
    <row r="64" spans="1:12" s="50" customFormat="1" ht="12.75">
      <c r="A64" s="276"/>
      <c r="B64" s="277"/>
      <c r="C64" s="277"/>
      <c r="D64" s="277"/>
      <c r="E64" s="277"/>
      <c r="F64" s="277"/>
      <c r="G64" s="277"/>
      <c r="H64" s="277"/>
      <c r="I64" s="277"/>
      <c r="J64" s="277"/>
      <c r="K64" s="278"/>
    </row>
    <row r="65" spans="1:11" s="50" customFormat="1" ht="12.75">
      <c r="A65" s="276"/>
      <c r="B65" s="277"/>
      <c r="C65" s="277"/>
      <c r="D65" s="277"/>
      <c r="E65" s="277"/>
      <c r="F65" s="277"/>
      <c r="G65" s="277"/>
      <c r="H65" s="277"/>
      <c r="I65" s="277"/>
      <c r="J65" s="277"/>
      <c r="K65" s="278"/>
    </row>
    <row r="66" spans="1:11" s="50" customFormat="1" ht="12.75">
      <c r="A66" s="276"/>
      <c r="B66" s="281"/>
      <c r="C66" s="278"/>
      <c r="D66" s="278"/>
      <c r="E66" s="278"/>
      <c r="F66" s="278"/>
      <c r="G66" s="277"/>
      <c r="H66" s="277"/>
      <c r="I66" s="277"/>
      <c r="J66" s="277"/>
      <c r="K66" s="278"/>
    </row>
    <row r="67" spans="1:11" s="50" customFormat="1" ht="12.75">
      <c r="A67" s="282"/>
      <c r="B67" s="283"/>
      <c r="C67" s="283"/>
      <c r="D67" s="283"/>
      <c r="E67" s="283"/>
      <c r="F67" s="283"/>
      <c r="G67" s="283"/>
      <c r="H67" s="277"/>
      <c r="I67" s="277"/>
      <c r="J67" s="277"/>
      <c r="K67" s="278"/>
    </row>
    <row r="68" spans="1:11" s="50" customFormat="1" ht="12.75">
      <c r="A68" s="282"/>
      <c r="B68" s="283"/>
      <c r="C68" s="283"/>
      <c r="D68" s="283"/>
      <c r="E68" s="283"/>
      <c r="F68" s="283"/>
      <c r="G68" s="283"/>
      <c r="H68" s="277"/>
      <c r="I68" s="277"/>
      <c r="J68" s="277"/>
      <c r="K68" s="277"/>
    </row>
    <row r="69" spans="1:11" s="50" customFormat="1" ht="12.75">
      <c r="A69" s="282"/>
      <c r="B69" s="283"/>
      <c r="C69" s="283"/>
      <c r="D69" s="283"/>
      <c r="E69" s="283"/>
      <c r="F69" s="283"/>
      <c r="G69" s="283"/>
      <c r="H69" s="277"/>
      <c r="I69" s="277"/>
      <c r="J69" s="277"/>
      <c r="K69" s="277"/>
    </row>
  </sheetData>
  <mergeCells count="3">
    <mergeCell ref="A9:A11"/>
    <mergeCell ref="B9:F9"/>
    <mergeCell ref="G9:K9"/>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J163"/>
  <sheetViews>
    <sheetView showGridLines="0" view="pageBreakPreview" zoomScale="130" zoomScaleNormal="100" zoomScaleSheetLayoutView="130" zoomScalePageLayoutView="130" workbookViewId="0">
      <selection activeCell="K12" sqref="K12"/>
    </sheetView>
  </sheetViews>
  <sheetFormatPr defaultRowHeight="9"/>
  <cols>
    <col min="1" max="1" width="16.1640625" style="544" customWidth="1"/>
    <col min="2" max="2" width="19.6640625" style="544" customWidth="1"/>
    <col min="3" max="3" width="12.1640625" style="544" bestFit="1" customWidth="1"/>
    <col min="4" max="4" width="47.1640625" style="544" customWidth="1"/>
    <col min="5" max="5" width="11.5" style="544" customWidth="1"/>
    <col min="6" max="6" width="10.5" style="544" customWidth="1"/>
    <col min="7" max="8" width="9.33203125" style="544" customWidth="1"/>
    <col min="9" max="10" width="9.33203125" style="544"/>
    <col min="11" max="16384" width="9.33203125" style="553"/>
  </cols>
  <sheetData>
    <row r="1" spans="1:9" s="544" customFormat="1" ht="11.25" customHeight="1">
      <c r="A1" s="542" t="s">
        <v>501</v>
      </c>
      <c r="B1" s="543"/>
      <c r="C1" s="543"/>
      <c r="D1" s="543"/>
      <c r="E1" s="543"/>
      <c r="F1" s="543"/>
    </row>
    <row r="2" spans="1:9" s="544" customFormat="1" ht="30" customHeight="1">
      <c r="A2" s="555" t="s">
        <v>299</v>
      </c>
      <c r="B2" s="556" t="s">
        <v>502</v>
      </c>
      <c r="C2" s="555" t="s">
        <v>490</v>
      </c>
      <c r="D2" s="557" t="s">
        <v>503</v>
      </c>
      <c r="E2" s="558" t="s">
        <v>504</v>
      </c>
      <c r="F2" s="558" t="s">
        <v>505</v>
      </c>
      <c r="G2" s="510"/>
      <c r="H2" s="545"/>
      <c r="I2" s="508"/>
    </row>
    <row r="3" spans="1:9" s="544" customFormat="1" ht="87.75" customHeight="1">
      <c r="A3" s="754" t="s">
        <v>509</v>
      </c>
      <c r="B3" s="754" t="s">
        <v>528</v>
      </c>
      <c r="C3" s="755">
        <v>43132.063194444447</v>
      </c>
      <c r="D3" s="756" t="s">
        <v>572</v>
      </c>
      <c r="E3" s="757">
        <v>8.91</v>
      </c>
      <c r="F3" s="757"/>
      <c r="H3" s="510"/>
      <c r="I3" s="508"/>
    </row>
    <row r="4" spans="1:9" s="544" customFormat="1" ht="69.75" customHeight="1">
      <c r="A4" s="758" t="s">
        <v>516</v>
      </c>
      <c r="B4" s="758" t="s">
        <v>573</v>
      </c>
      <c r="C4" s="759">
        <v>43132.621527777781</v>
      </c>
      <c r="D4" s="760" t="s">
        <v>574</v>
      </c>
      <c r="E4" s="761">
        <v>8.01</v>
      </c>
      <c r="F4" s="761">
        <v>1.56</v>
      </c>
      <c r="G4" s="509"/>
      <c r="H4" s="509"/>
      <c r="I4" s="546"/>
    </row>
    <row r="5" spans="1:9" s="544" customFormat="1" ht="59.25" customHeight="1">
      <c r="A5" s="758" t="s">
        <v>575</v>
      </c>
      <c r="B5" s="758" t="s">
        <v>576</v>
      </c>
      <c r="C5" s="759">
        <v>43132.652777777781</v>
      </c>
      <c r="D5" s="760" t="s">
        <v>577</v>
      </c>
      <c r="E5" s="761"/>
      <c r="F5" s="761">
        <v>5.59</v>
      </c>
      <c r="G5" s="509"/>
      <c r="H5" s="509"/>
      <c r="I5" s="547"/>
    </row>
    <row r="6" spans="1:9" s="544" customFormat="1" ht="78" customHeight="1">
      <c r="A6" s="758" t="s">
        <v>516</v>
      </c>
      <c r="B6" s="758" t="s">
        <v>517</v>
      </c>
      <c r="C6" s="759">
        <v>43132.670138888891</v>
      </c>
      <c r="D6" s="760" t="s">
        <v>578</v>
      </c>
      <c r="E6" s="761">
        <v>3.89</v>
      </c>
      <c r="F6" s="761"/>
      <c r="G6" s="509"/>
      <c r="H6" s="509"/>
      <c r="I6" s="548"/>
    </row>
    <row r="7" spans="1:9" s="544" customFormat="1" ht="99" customHeight="1">
      <c r="A7" s="758" t="s">
        <v>529</v>
      </c>
      <c r="B7" s="758" t="s">
        <v>579</v>
      </c>
      <c r="C7" s="759">
        <v>43134.739583333336</v>
      </c>
      <c r="D7" s="760" t="s">
        <v>580</v>
      </c>
      <c r="E7" s="761">
        <v>40.369999999999997</v>
      </c>
      <c r="F7" s="761"/>
      <c r="G7" s="509"/>
      <c r="H7" s="509"/>
      <c r="I7" s="549"/>
    </row>
    <row r="8" spans="1:9" s="544" customFormat="1" ht="71.25" customHeight="1">
      <c r="A8" s="758" t="s">
        <v>507</v>
      </c>
      <c r="B8" s="758" t="s">
        <v>508</v>
      </c>
      <c r="C8" s="759">
        <v>43134.406944444447</v>
      </c>
      <c r="D8" s="760" t="s">
        <v>581</v>
      </c>
      <c r="E8" s="761">
        <v>9.5</v>
      </c>
      <c r="F8" s="761"/>
      <c r="G8" s="509"/>
      <c r="H8" s="509"/>
      <c r="I8" s="548"/>
    </row>
    <row r="9" spans="1:9" s="544" customFormat="1" ht="67.5" customHeight="1">
      <c r="A9" s="758" t="s">
        <v>507</v>
      </c>
      <c r="B9" s="758" t="s">
        <v>519</v>
      </c>
      <c r="C9" s="759">
        <v>43134.572916666664</v>
      </c>
      <c r="D9" s="760" t="s">
        <v>582</v>
      </c>
      <c r="E9" s="761">
        <v>0.84</v>
      </c>
      <c r="F9" s="761"/>
      <c r="G9" s="509"/>
      <c r="H9" s="509"/>
      <c r="I9" s="548"/>
    </row>
    <row r="10" spans="1:9" s="544" customFormat="1" ht="168.75" customHeight="1">
      <c r="A10" s="758" t="s">
        <v>523</v>
      </c>
      <c r="B10" s="758" t="s">
        <v>530</v>
      </c>
      <c r="C10" s="759">
        <v>43134.616666666669</v>
      </c>
      <c r="D10" s="760" t="s">
        <v>583</v>
      </c>
      <c r="E10" s="761">
        <v>57.5</v>
      </c>
      <c r="F10" s="761">
        <v>31.26</v>
      </c>
      <c r="G10" s="509"/>
      <c r="H10" s="509"/>
      <c r="I10" s="548"/>
    </row>
    <row r="11" spans="1:9">
      <c r="E11" s="554"/>
      <c r="F11" s="554"/>
    </row>
    <row r="12" spans="1:9">
      <c r="E12" s="554"/>
      <c r="F12" s="554"/>
    </row>
    <row r="13" spans="1:9">
      <c r="E13" s="554"/>
      <c r="F13" s="554"/>
    </row>
    <row r="14" spans="1:9">
      <c r="E14" s="554"/>
      <c r="F14" s="554"/>
    </row>
    <row r="15" spans="1:9">
      <c r="E15" s="554"/>
      <c r="F15" s="554"/>
    </row>
    <row r="16" spans="1:9">
      <c r="E16" s="554"/>
      <c r="F16" s="554"/>
    </row>
    <row r="17" spans="5:6">
      <c r="E17" s="554"/>
      <c r="F17" s="554"/>
    </row>
    <row r="18" spans="5:6">
      <c r="E18" s="554"/>
      <c r="F18" s="554"/>
    </row>
    <row r="19" spans="5:6">
      <c r="E19" s="554"/>
      <c r="F19" s="554"/>
    </row>
    <row r="20" spans="5:6">
      <c r="E20" s="554"/>
      <c r="F20" s="554"/>
    </row>
    <row r="21" spans="5:6">
      <c r="E21" s="554"/>
      <c r="F21" s="554"/>
    </row>
    <row r="22" spans="5:6">
      <c r="E22" s="554"/>
      <c r="F22" s="554"/>
    </row>
    <row r="23" spans="5:6">
      <c r="E23" s="554"/>
      <c r="F23" s="554"/>
    </row>
    <row r="24" spans="5:6">
      <c r="E24" s="554"/>
      <c r="F24" s="554"/>
    </row>
    <row r="25" spans="5:6">
      <c r="E25" s="554"/>
      <c r="F25" s="554"/>
    </row>
    <row r="26" spans="5:6">
      <c r="E26" s="554"/>
      <c r="F26" s="554"/>
    </row>
    <row r="27" spans="5:6">
      <c r="E27" s="554"/>
      <c r="F27" s="554"/>
    </row>
    <row r="28" spans="5:6">
      <c r="E28" s="554"/>
      <c r="F28" s="554"/>
    </row>
    <row r="29" spans="5:6">
      <c r="E29" s="554"/>
      <c r="F29" s="554"/>
    </row>
    <row r="30" spans="5:6">
      <c r="E30" s="554"/>
      <c r="F30" s="554"/>
    </row>
    <row r="31" spans="5:6">
      <c r="E31" s="554"/>
      <c r="F31" s="554"/>
    </row>
    <row r="32" spans="5:6">
      <c r="E32" s="554"/>
      <c r="F32" s="554"/>
    </row>
    <row r="33" spans="5:6">
      <c r="E33" s="554"/>
      <c r="F33" s="554"/>
    </row>
    <row r="34" spans="5:6">
      <c r="E34" s="554"/>
      <c r="F34" s="554"/>
    </row>
    <row r="35" spans="5:6">
      <c r="E35" s="554"/>
      <c r="F35" s="554"/>
    </row>
    <row r="36" spans="5:6">
      <c r="E36" s="554"/>
      <c r="F36" s="554"/>
    </row>
    <row r="37" spans="5:6">
      <c r="E37" s="554"/>
      <c r="F37" s="554"/>
    </row>
    <row r="38" spans="5:6">
      <c r="E38" s="554"/>
      <c r="F38" s="554"/>
    </row>
    <row r="39" spans="5:6">
      <c r="E39" s="554"/>
      <c r="F39" s="554"/>
    </row>
    <row r="40" spans="5:6">
      <c r="E40" s="554"/>
      <c r="F40" s="554"/>
    </row>
    <row r="41" spans="5:6">
      <c r="E41" s="554"/>
      <c r="F41" s="554"/>
    </row>
    <row r="42" spans="5:6">
      <c r="E42" s="554"/>
      <c r="F42" s="554"/>
    </row>
    <row r="43" spans="5:6">
      <c r="E43" s="554"/>
      <c r="F43" s="554"/>
    </row>
    <row r="44" spans="5:6">
      <c r="E44" s="554"/>
      <c r="F44" s="554"/>
    </row>
    <row r="45" spans="5:6">
      <c r="E45" s="554"/>
      <c r="F45" s="554"/>
    </row>
    <row r="46" spans="5:6">
      <c r="E46" s="554"/>
      <c r="F46" s="554"/>
    </row>
    <row r="47" spans="5:6">
      <c r="E47" s="554"/>
      <c r="F47" s="554"/>
    </row>
    <row r="48" spans="5:6">
      <c r="E48" s="554"/>
      <c r="F48" s="554"/>
    </row>
    <row r="49" spans="5:6">
      <c r="E49" s="554"/>
      <c r="F49" s="554"/>
    </row>
    <row r="50" spans="5:6">
      <c r="E50" s="554"/>
      <c r="F50" s="554"/>
    </row>
    <row r="51" spans="5:6">
      <c r="E51" s="554"/>
      <c r="F51" s="554"/>
    </row>
    <row r="52" spans="5:6">
      <c r="E52" s="554"/>
      <c r="F52" s="554"/>
    </row>
    <row r="53" spans="5:6">
      <c r="E53" s="554"/>
      <c r="F53" s="554"/>
    </row>
    <row r="54" spans="5:6">
      <c r="E54" s="554"/>
      <c r="F54" s="554"/>
    </row>
    <row r="55" spans="5:6">
      <c r="E55" s="554"/>
      <c r="F55" s="554"/>
    </row>
    <row r="56" spans="5:6">
      <c r="E56" s="554"/>
      <c r="F56" s="554"/>
    </row>
    <row r="57" spans="5:6">
      <c r="E57" s="554"/>
      <c r="F57" s="554"/>
    </row>
    <row r="58" spans="5:6">
      <c r="E58" s="554"/>
      <c r="F58" s="554"/>
    </row>
    <row r="59" spans="5:6">
      <c r="E59" s="554"/>
      <c r="F59" s="554"/>
    </row>
    <row r="60" spans="5:6">
      <c r="E60" s="554"/>
      <c r="F60" s="554"/>
    </row>
    <row r="61" spans="5:6">
      <c r="E61" s="554"/>
      <c r="F61" s="554"/>
    </row>
    <row r="62" spans="5:6">
      <c r="E62" s="554"/>
      <c r="F62" s="554"/>
    </row>
    <row r="63" spans="5:6">
      <c r="E63" s="554"/>
      <c r="F63" s="554"/>
    </row>
    <row r="64" spans="5:6">
      <c r="E64" s="554"/>
      <c r="F64" s="554"/>
    </row>
    <row r="65" spans="5:6">
      <c r="E65" s="554"/>
      <c r="F65" s="554"/>
    </row>
    <row r="66" spans="5:6">
      <c r="E66" s="554"/>
      <c r="F66" s="554"/>
    </row>
    <row r="67" spans="5:6">
      <c r="E67" s="554"/>
      <c r="F67" s="554"/>
    </row>
    <row r="68" spans="5:6">
      <c r="E68" s="554"/>
      <c r="F68" s="554"/>
    </row>
    <row r="69" spans="5:6">
      <c r="E69" s="554"/>
      <c r="F69" s="554"/>
    </row>
    <row r="70" spans="5:6">
      <c r="E70" s="554"/>
      <c r="F70" s="554"/>
    </row>
    <row r="71" spans="5:6">
      <c r="E71" s="554"/>
      <c r="F71" s="554"/>
    </row>
    <row r="72" spans="5:6">
      <c r="E72" s="554"/>
      <c r="F72" s="554"/>
    </row>
    <row r="73" spans="5:6">
      <c r="E73" s="554"/>
      <c r="F73" s="554"/>
    </row>
    <row r="74" spans="5:6">
      <c r="E74" s="554"/>
      <c r="F74" s="554"/>
    </row>
    <row r="75" spans="5:6">
      <c r="E75" s="554"/>
      <c r="F75" s="554"/>
    </row>
    <row r="76" spans="5:6">
      <c r="E76" s="554"/>
      <c r="F76" s="554"/>
    </row>
    <row r="77" spans="5:6">
      <c r="E77" s="554"/>
      <c r="F77" s="554"/>
    </row>
    <row r="78" spans="5:6">
      <c r="E78" s="554"/>
      <c r="F78" s="554"/>
    </row>
    <row r="79" spans="5:6">
      <c r="E79" s="554"/>
      <c r="F79" s="554"/>
    </row>
    <row r="80" spans="5:6">
      <c r="E80" s="554"/>
      <c r="F80" s="554"/>
    </row>
    <row r="81" spans="5:6">
      <c r="E81" s="554"/>
      <c r="F81" s="554"/>
    </row>
    <row r="82" spans="5:6">
      <c r="E82" s="554"/>
      <c r="F82" s="554"/>
    </row>
    <row r="83" spans="5:6">
      <c r="E83" s="554"/>
      <c r="F83" s="554"/>
    </row>
    <row r="84" spans="5:6">
      <c r="E84" s="554"/>
      <c r="F84" s="554"/>
    </row>
    <row r="85" spans="5:6">
      <c r="E85" s="554"/>
      <c r="F85" s="554"/>
    </row>
    <row r="86" spans="5:6">
      <c r="E86" s="554"/>
      <c r="F86" s="554"/>
    </row>
    <row r="87" spans="5:6">
      <c r="E87" s="554"/>
      <c r="F87" s="554"/>
    </row>
    <row r="88" spans="5:6">
      <c r="E88" s="554"/>
      <c r="F88" s="554"/>
    </row>
    <row r="89" spans="5:6">
      <c r="E89" s="554"/>
      <c r="F89" s="554"/>
    </row>
    <row r="90" spans="5:6">
      <c r="E90" s="554"/>
      <c r="F90" s="554"/>
    </row>
    <row r="91" spans="5:6">
      <c r="E91" s="554"/>
      <c r="F91" s="554"/>
    </row>
    <row r="92" spans="5:6">
      <c r="E92" s="554"/>
      <c r="F92" s="554"/>
    </row>
    <row r="93" spans="5:6">
      <c r="E93" s="554"/>
      <c r="F93" s="554"/>
    </row>
    <row r="94" spans="5:6">
      <c r="E94" s="554"/>
      <c r="F94" s="554"/>
    </row>
    <row r="95" spans="5:6">
      <c r="E95" s="554"/>
      <c r="F95" s="554"/>
    </row>
    <row r="96" spans="5:6">
      <c r="E96" s="554"/>
      <c r="F96" s="554"/>
    </row>
    <row r="97" spans="5:6">
      <c r="E97" s="554"/>
      <c r="F97" s="554"/>
    </row>
    <row r="98" spans="5:6">
      <c r="E98" s="554"/>
      <c r="F98" s="554"/>
    </row>
    <row r="99" spans="5:6">
      <c r="E99" s="554"/>
      <c r="F99" s="554"/>
    </row>
    <row r="100" spans="5:6">
      <c r="E100" s="554"/>
      <c r="F100" s="554"/>
    </row>
    <row r="101" spans="5:6">
      <c r="E101" s="554"/>
      <c r="F101" s="554"/>
    </row>
    <row r="102" spans="5:6">
      <c r="E102" s="554"/>
      <c r="F102" s="554"/>
    </row>
    <row r="103" spans="5:6">
      <c r="E103" s="554"/>
      <c r="F103" s="554"/>
    </row>
    <row r="104" spans="5:6">
      <c r="E104" s="554"/>
      <c r="F104" s="554"/>
    </row>
    <row r="105" spans="5:6">
      <c r="E105" s="554"/>
      <c r="F105" s="554"/>
    </row>
    <row r="106" spans="5:6">
      <c r="E106" s="554"/>
      <c r="F106" s="554"/>
    </row>
    <row r="107" spans="5:6">
      <c r="E107" s="554"/>
      <c r="F107" s="554"/>
    </row>
    <row r="108" spans="5:6">
      <c r="E108" s="554"/>
      <c r="F108" s="554"/>
    </row>
    <row r="109" spans="5:6">
      <c r="E109" s="554"/>
      <c r="F109" s="554"/>
    </row>
    <row r="110" spans="5:6">
      <c r="E110" s="554"/>
      <c r="F110" s="554"/>
    </row>
    <row r="111" spans="5:6">
      <c r="E111" s="554"/>
      <c r="F111" s="554"/>
    </row>
    <row r="112" spans="5:6">
      <c r="E112" s="554"/>
      <c r="F112" s="554"/>
    </row>
    <row r="113" spans="5:6">
      <c r="E113" s="554"/>
      <c r="F113" s="554"/>
    </row>
    <row r="114" spans="5:6">
      <c r="E114" s="554"/>
      <c r="F114" s="554"/>
    </row>
    <row r="115" spans="5:6">
      <c r="E115" s="554"/>
      <c r="F115" s="554"/>
    </row>
    <row r="116" spans="5:6">
      <c r="E116" s="554"/>
      <c r="F116" s="554"/>
    </row>
    <row r="117" spans="5:6">
      <c r="E117" s="554"/>
      <c r="F117" s="554"/>
    </row>
    <row r="118" spans="5:6">
      <c r="E118" s="554"/>
      <c r="F118" s="554"/>
    </row>
    <row r="119" spans="5:6">
      <c r="E119" s="554"/>
      <c r="F119" s="554"/>
    </row>
    <row r="120" spans="5:6">
      <c r="E120" s="554"/>
      <c r="F120" s="554"/>
    </row>
    <row r="121" spans="5:6">
      <c r="E121" s="554"/>
      <c r="F121" s="554"/>
    </row>
    <row r="122" spans="5:6">
      <c r="E122" s="554"/>
      <c r="F122" s="554"/>
    </row>
    <row r="123" spans="5:6">
      <c r="E123" s="554"/>
      <c r="F123" s="554"/>
    </row>
    <row r="124" spans="5:6">
      <c r="E124" s="554"/>
      <c r="F124" s="554"/>
    </row>
    <row r="125" spans="5:6">
      <c r="E125" s="554"/>
      <c r="F125" s="554"/>
    </row>
    <row r="126" spans="5:6">
      <c r="E126" s="554"/>
      <c r="F126" s="554"/>
    </row>
    <row r="127" spans="5:6">
      <c r="E127" s="554"/>
      <c r="F127" s="554"/>
    </row>
    <row r="128" spans="5:6">
      <c r="E128" s="554"/>
      <c r="F128" s="554"/>
    </row>
    <row r="129" spans="5:6">
      <c r="E129" s="554"/>
      <c r="F129" s="554"/>
    </row>
    <row r="130" spans="5:6">
      <c r="E130" s="554"/>
      <c r="F130" s="554"/>
    </row>
    <row r="131" spans="5:6">
      <c r="E131" s="554"/>
      <c r="F131" s="554"/>
    </row>
    <row r="132" spans="5:6">
      <c r="E132" s="554"/>
      <c r="F132" s="554"/>
    </row>
    <row r="133" spans="5:6">
      <c r="E133" s="554"/>
      <c r="F133" s="554"/>
    </row>
    <row r="134" spans="5:6">
      <c r="E134" s="554"/>
      <c r="F134" s="554"/>
    </row>
    <row r="135" spans="5:6">
      <c r="E135" s="554"/>
      <c r="F135" s="554"/>
    </row>
    <row r="136" spans="5:6">
      <c r="E136" s="554"/>
      <c r="F136" s="554"/>
    </row>
    <row r="137" spans="5:6">
      <c r="E137" s="554"/>
      <c r="F137" s="554"/>
    </row>
    <row r="138" spans="5:6">
      <c r="E138" s="554"/>
      <c r="F138" s="554"/>
    </row>
    <row r="139" spans="5:6">
      <c r="E139" s="554"/>
      <c r="F139" s="554"/>
    </row>
    <row r="140" spans="5:6">
      <c r="E140" s="554"/>
      <c r="F140" s="554"/>
    </row>
    <row r="141" spans="5:6">
      <c r="E141" s="554"/>
      <c r="F141" s="554"/>
    </row>
    <row r="142" spans="5:6">
      <c r="E142" s="554"/>
      <c r="F142" s="554"/>
    </row>
    <row r="143" spans="5:6">
      <c r="E143" s="554"/>
      <c r="F143" s="554"/>
    </row>
    <row r="144" spans="5:6">
      <c r="E144" s="554"/>
      <c r="F144" s="554"/>
    </row>
    <row r="145" spans="5:6">
      <c r="E145" s="554"/>
      <c r="F145" s="554"/>
    </row>
    <row r="146" spans="5:6">
      <c r="E146" s="554"/>
      <c r="F146" s="554"/>
    </row>
    <row r="147" spans="5:6">
      <c r="E147" s="554"/>
      <c r="F147" s="554"/>
    </row>
    <row r="148" spans="5:6">
      <c r="E148" s="554"/>
      <c r="F148" s="554"/>
    </row>
    <row r="149" spans="5:6">
      <c r="E149" s="554"/>
      <c r="F149" s="554"/>
    </row>
    <row r="150" spans="5:6">
      <c r="E150" s="554"/>
      <c r="F150" s="554"/>
    </row>
    <row r="151" spans="5:6">
      <c r="E151" s="554"/>
      <c r="F151" s="554"/>
    </row>
    <row r="152" spans="5:6">
      <c r="E152" s="554"/>
      <c r="F152" s="554"/>
    </row>
    <row r="153" spans="5:6">
      <c r="E153" s="554"/>
      <c r="F153" s="554"/>
    </row>
    <row r="154" spans="5:6">
      <c r="E154" s="554"/>
      <c r="F154" s="554"/>
    </row>
    <row r="155" spans="5:6">
      <c r="E155" s="554"/>
      <c r="F155" s="554"/>
    </row>
    <row r="156" spans="5:6">
      <c r="E156" s="554"/>
      <c r="F156" s="554"/>
    </row>
    <row r="157" spans="5:6">
      <c r="E157" s="554"/>
      <c r="F157" s="554"/>
    </row>
    <row r="158" spans="5:6">
      <c r="E158" s="554"/>
      <c r="F158" s="554"/>
    </row>
    <row r="159" spans="5:6">
      <c r="E159" s="554"/>
      <c r="F159" s="554"/>
    </row>
    <row r="160" spans="5:6">
      <c r="E160" s="554"/>
      <c r="F160" s="554"/>
    </row>
    <row r="161" spans="5:6">
      <c r="E161" s="554"/>
      <c r="F161" s="554"/>
    </row>
    <row r="162" spans="5:6">
      <c r="E162" s="554"/>
      <c r="F162" s="554"/>
    </row>
    <row r="163" spans="5:6">
      <c r="E163" s="554"/>
      <c r="F163" s="554"/>
    </row>
  </sheetData>
  <pageMargins left="0.7" right="0.51432291666666663" top="0.86956521739130432" bottom="0.61458333333333337" header="0.3" footer="0.3"/>
  <pageSetup orientation="portrait" r:id="rId1"/>
  <headerFooter>
    <oddHeader>&amp;R&amp;7Informe de la Operación Mensual - Febrero 2018
INFSGI-MES-02-2018
08/03/2018
Versión: 01</oddHeader>
    <oddFooter>&amp;L&amp;7COES SINAC, 2018
&amp;C25&amp;R&amp;7Dirección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J138"/>
  <sheetViews>
    <sheetView showGridLines="0" view="pageBreakPreview" zoomScale="145" zoomScaleNormal="100" zoomScaleSheetLayoutView="145" zoomScalePageLayoutView="145" workbookViewId="0">
      <selection activeCell="K12" sqref="K12"/>
    </sheetView>
  </sheetViews>
  <sheetFormatPr defaultRowHeight="9"/>
  <cols>
    <col min="1" max="1" width="16.1640625" style="544" customWidth="1"/>
    <col min="2" max="2" width="19.6640625" style="544" customWidth="1"/>
    <col min="3" max="3" width="12.1640625" style="544" bestFit="1" customWidth="1"/>
    <col min="4" max="4" width="47.1640625" style="544" customWidth="1"/>
    <col min="5" max="5" width="11.5" style="544" customWidth="1"/>
    <col min="6" max="6" width="10.5" style="544" customWidth="1"/>
    <col min="7" max="8" width="9.33203125" style="544" customWidth="1"/>
    <col min="9" max="10" width="9.33203125" style="544"/>
    <col min="11" max="16384" width="9.33203125" style="553"/>
  </cols>
  <sheetData>
    <row r="1" spans="1:9" s="544" customFormat="1" ht="30" customHeight="1">
      <c r="A1" s="555" t="s">
        <v>299</v>
      </c>
      <c r="B1" s="556" t="s">
        <v>502</v>
      </c>
      <c r="C1" s="555" t="s">
        <v>490</v>
      </c>
      <c r="D1" s="557" t="s">
        <v>503</v>
      </c>
      <c r="E1" s="558" t="s">
        <v>504</v>
      </c>
      <c r="F1" s="558" t="s">
        <v>505</v>
      </c>
      <c r="G1" s="510"/>
      <c r="H1" s="545"/>
      <c r="I1" s="508"/>
    </row>
    <row r="2" spans="1:9" s="544" customFormat="1" ht="75.75" customHeight="1">
      <c r="A2" s="560" t="s">
        <v>507</v>
      </c>
      <c r="B2" s="560" t="s">
        <v>508</v>
      </c>
      <c r="C2" s="561">
        <v>43135.696527777778</v>
      </c>
      <c r="D2" s="760" t="s">
        <v>584</v>
      </c>
      <c r="E2" s="562">
        <v>8.3800000000000008</v>
      </c>
      <c r="F2" s="562"/>
      <c r="G2" s="509"/>
      <c r="H2" s="509"/>
      <c r="I2" s="548"/>
    </row>
    <row r="3" spans="1:9" s="544" customFormat="1" ht="103.5" customHeight="1">
      <c r="A3" s="560" t="s">
        <v>529</v>
      </c>
      <c r="B3" s="560" t="s">
        <v>585</v>
      </c>
      <c r="C3" s="561">
        <v>43137.261111111111</v>
      </c>
      <c r="D3" s="760" t="s">
        <v>586</v>
      </c>
      <c r="E3" s="562">
        <v>3.7</v>
      </c>
      <c r="F3" s="562"/>
      <c r="G3" s="509"/>
      <c r="H3" s="509"/>
      <c r="I3" s="548"/>
    </row>
    <row r="4" spans="1:9" s="544" customFormat="1" ht="92.25" customHeight="1">
      <c r="A4" s="560" t="s">
        <v>518</v>
      </c>
      <c r="B4" s="560" t="s">
        <v>587</v>
      </c>
      <c r="C4" s="561">
        <v>43138.580555555556</v>
      </c>
      <c r="D4" s="760" t="s">
        <v>588</v>
      </c>
      <c r="E4" s="562">
        <v>17.739999999999998</v>
      </c>
      <c r="F4" s="562"/>
      <c r="G4" s="509"/>
      <c r="H4" s="509"/>
      <c r="I4" s="548"/>
    </row>
    <row r="5" spans="1:9" s="544" customFormat="1" ht="82.5" customHeight="1">
      <c r="A5" s="560" t="s">
        <v>509</v>
      </c>
      <c r="B5" s="560" t="s">
        <v>510</v>
      </c>
      <c r="C5" s="561">
        <v>43138.629166666666</v>
      </c>
      <c r="D5" s="760" t="s">
        <v>589</v>
      </c>
      <c r="E5" s="562">
        <v>1.76</v>
      </c>
      <c r="F5" s="562"/>
      <c r="G5" s="509"/>
      <c r="H5" s="509"/>
      <c r="I5" s="549"/>
    </row>
    <row r="6" spans="1:9" s="544" customFormat="1" ht="87" customHeight="1">
      <c r="A6" s="560" t="s">
        <v>511</v>
      </c>
      <c r="B6" s="560" t="s">
        <v>512</v>
      </c>
      <c r="C6" s="561">
        <v>43138.631249999999</v>
      </c>
      <c r="D6" s="760" t="s">
        <v>590</v>
      </c>
      <c r="E6" s="562">
        <v>5.48</v>
      </c>
      <c r="F6" s="562"/>
      <c r="G6" s="509"/>
      <c r="H6" s="509"/>
      <c r="I6" s="548"/>
    </row>
    <row r="7" spans="1:9" s="544" customFormat="1" ht="94.5" customHeight="1">
      <c r="A7" s="560" t="s">
        <v>518</v>
      </c>
      <c r="B7" s="560" t="s">
        <v>587</v>
      </c>
      <c r="C7" s="561">
        <v>43138.634027777778</v>
      </c>
      <c r="D7" s="760" t="s">
        <v>591</v>
      </c>
      <c r="E7" s="562">
        <v>16.57</v>
      </c>
      <c r="F7" s="562"/>
      <c r="G7" s="509"/>
      <c r="H7" s="509"/>
      <c r="I7" s="548"/>
    </row>
    <row r="8" spans="1:9" s="544" customFormat="1" ht="91.5" customHeight="1">
      <c r="A8" s="560" t="s">
        <v>518</v>
      </c>
      <c r="B8" s="560" t="s">
        <v>587</v>
      </c>
      <c r="C8" s="561">
        <v>43138.795138888891</v>
      </c>
      <c r="D8" s="760" t="s">
        <v>592</v>
      </c>
      <c r="E8" s="562">
        <v>11.03</v>
      </c>
      <c r="F8" s="562"/>
      <c r="G8" s="509"/>
      <c r="H8" s="509"/>
      <c r="I8" s="548"/>
    </row>
    <row r="9" spans="1:9" s="544" customFormat="1" ht="86.25" customHeight="1">
      <c r="A9" s="560" t="s">
        <v>514</v>
      </c>
      <c r="B9" s="560" t="s">
        <v>515</v>
      </c>
      <c r="C9" s="561">
        <v>43138.674305555556</v>
      </c>
      <c r="D9" s="760" t="s">
        <v>593</v>
      </c>
      <c r="E9" s="562">
        <v>4.46</v>
      </c>
      <c r="F9" s="562"/>
      <c r="G9" s="509"/>
      <c r="H9" s="509"/>
      <c r="I9" s="548"/>
    </row>
    <row r="10" spans="1:9">
      <c r="E10" s="554"/>
      <c r="F10" s="554"/>
    </row>
    <row r="11" spans="1:9">
      <c r="E11" s="554"/>
      <c r="F11" s="554"/>
    </row>
    <row r="12" spans="1:9">
      <c r="E12" s="554"/>
      <c r="F12" s="554"/>
    </row>
    <row r="13" spans="1:9">
      <c r="E13" s="554"/>
      <c r="F13" s="554"/>
    </row>
    <row r="14" spans="1:9">
      <c r="E14" s="554"/>
      <c r="F14" s="554"/>
    </row>
    <row r="15" spans="1:9">
      <c r="E15" s="554"/>
      <c r="F15" s="554"/>
    </row>
    <row r="16" spans="1:9">
      <c r="E16" s="554"/>
      <c r="F16" s="554"/>
    </row>
    <row r="17" spans="5:6">
      <c r="E17" s="554"/>
      <c r="F17" s="554"/>
    </row>
    <row r="18" spans="5:6">
      <c r="E18" s="554"/>
      <c r="F18" s="554"/>
    </row>
    <row r="19" spans="5:6">
      <c r="E19" s="554"/>
      <c r="F19" s="554"/>
    </row>
    <row r="20" spans="5:6">
      <c r="E20" s="554"/>
      <c r="F20" s="554"/>
    </row>
    <row r="21" spans="5:6">
      <c r="E21" s="554"/>
      <c r="F21" s="554"/>
    </row>
    <row r="22" spans="5:6">
      <c r="E22" s="554"/>
      <c r="F22" s="554"/>
    </row>
    <row r="23" spans="5:6">
      <c r="E23" s="554"/>
      <c r="F23" s="554"/>
    </row>
    <row r="24" spans="5:6">
      <c r="E24" s="554"/>
      <c r="F24" s="554"/>
    </row>
    <row r="25" spans="5:6">
      <c r="E25" s="554"/>
      <c r="F25" s="554"/>
    </row>
    <row r="26" spans="5:6">
      <c r="E26" s="554"/>
      <c r="F26" s="554"/>
    </row>
    <row r="27" spans="5:6">
      <c r="E27" s="554"/>
      <c r="F27" s="554"/>
    </row>
    <row r="28" spans="5:6">
      <c r="E28" s="554"/>
      <c r="F28" s="554"/>
    </row>
    <row r="29" spans="5:6">
      <c r="E29" s="554"/>
      <c r="F29" s="554"/>
    </row>
    <row r="30" spans="5:6">
      <c r="E30" s="554"/>
      <c r="F30" s="554"/>
    </row>
    <row r="31" spans="5:6">
      <c r="E31" s="554"/>
      <c r="F31" s="554"/>
    </row>
    <row r="32" spans="5:6">
      <c r="E32" s="554"/>
      <c r="F32" s="554"/>
    </row>
    <row r="33" spans="5:6">
      <c r="E33" s="554"/>
      <c r="F33" s="554"/>
    </row>
    <row r="34" spans="5:6">
      <c r="E34" s="554"/>
      <c r="F34" s="554"/>
    </row>
    <row r="35" spans="5:6">
      <c r="E35" s="554"/>
      <c r="F35" s="554"/>
    </row>
    <row r="36" spans="5:6">
      <c r="E36" s="554"/>
      <c r="F36" s="554"/>
    </row>
    <row r="37" spans="5:6">
      <c r="E37" s="554"/>
      <c r="F37" s="554"/>
    </row>
    <row r="38" spans="5:6">
      <c r="E38" s="554"/>
      <c r="F38" s="554"/>
    </row>
    <row r="39" spans="5:6">
      <c r="E39" s="554"/>
      <c r="F39" s="554"/>
    </row>
    <row r="40" spans="5:6">
      <c r="E40" s="554"/>
      <c r="F40" s="554"/>
    </row>
    <row r="41" spans="5:6">
      <c r="E41" s="554"/>
      <c r="F41" s="554"/>
    </row>
    <row r="42" spans="5:6">
      <c r="E42" s="554"/>
      <c r="F42" s="554"/>
    </row>
    <row r="43" spans="5:6">
      <c r="E43" s="554"/>
      <c r="F43" s="554"/>
    </row>
    <row r="44" spans="5:6">
      <c r="E44" s="554"/>
      <c r="F44" s="554"/>
    </row>
    <row r="45" spans="5:6">
      <c r="E45" s="554"/>
      <c r="F45" s="554"/>
    </row>
    <row r="46" spans="5:6">
      <c r="E46" s="554"/>
      <c r="F46" s="554"/>
    </row>
    <row r="47" spans="5:6">
      <c r="E47" s="554"/>
      <c r="F47" s="554"/>
    </row>
    <row r="48" spans="5:6">
      <c r="E48" s="554"/>
      <c r="F48" s="554"/>
    </row>
    <row r="49" spans="5:6">
      <c r="E49" s="554"/>
      <c r="F49" s="554"/>
    </row>
    <row r="50" spans="5:6">
      <c r="E50" s="554"/>
      <c r="F50" s="554"/>
    </row>
    <row r="51" spans="5:6">
      <c r="E51" s="554"/>
      <c r="F51" s="554"/>
    </row>
    <row r="52" spans="5:6">
      <c r="E52" s="554"/>
      <c r="F52" s="554"/>
    </row>
    <row r="53" spans="5:6">
      <c r="E53" s="554"/>
      <c r="F53" s="554"/>
    </row>
    <row r="54" spans="5:6">
      <c r="E54" s="554"/>
      <c r="F54" s="554"/>
    </row>
    <row r="55" spans="5:6">
      <c r="E55" s="554"/>
      <c r="F55" s="554"/>
    </row>
    <row r="56" spans="5:6">
      <c r="E56" s="554"/>
      <c r="F56" s="554"/>
    </row>
    <row r="57" spans="5:6">
      <c r="E57" s="554"/>
      <c r="F57" s="554"/>
    </row>
    <row r="58" spans="5:6">
      <c r="E58" s="554"/>
      <c r="F58" s="554"/>
    </row>
    <row r="59" spans="5:6">
      <c r="E59" s="554"/>
      <c r="F59" s="554"/>
    </row>
    <row r="60" spans="5:6">
      <c r="E60" s="554"/>
      <c r="F60" s="554"/>
    </row>
    <row r="61" spans="5:6">
      <c r="E61" s="554"/>
      <c r="F61" s="554"/>
    </row>
    <row r="62" spans="5:6">
      <c r="E62" s="554"/>
      <c r="F62" s="554"/>
    </row>
    <row r="63" spans="5:6">
      <c r="E63" s="554"/>
      <c r="F63" s="554"/>
    </row>
    <row r="64" spans="5:6">
      <c r="E64" s="554"/>
      <c r="F64" s="554"/>
    </row>
    <row r="65" spans="5:6">
      <c r="E65" s="554"/>
      <c r="F65" s="554"/>
    </row>
    <row r="66" spans="5:6">
      <c r="E66" s="554"/>
      <c r="F66" s="554"/>
    </row>
    <row r="67" spans="5:6">
      <c r="E67" s="554"/>
      <c r="F67" s="554"/>
    </row>
    <row r="68" spans="5:6">
      <c r="E68" s="554"/>
      <c r="F68" s="554"/>
    </row>
    <row r="69" spans="5:6">
      <c r="E69" s="554"/>
      <c r="F69" s="554"/>
    </row>
    <row r="70" spans="5:6">
      <c r="E70" s="554"/>
      <c r="F70" s="554"/>
    </row>
    <row r="71" spans="5:6">
      <c r="E71" s="554"/>
      <c r="F71" s="554"/>
    </row>
    <row r="72" spans="5:6">
      <c r="E72" s="554"/>
      <c r="F72" s="554"/>
    </row>
    <row r="73" spans="5:6">
      <c r="E73" s="554"/>
      <c r="F73" s="554"/>
    </row>
    <row r="74" spans="5:6">
      <c r="E74" s="554"/>
      <c r="F74" s="554"/>
    </row>
    <row r="75" spans="5:6">
      <c r="E75" s="554"/>
      <c r="F75" s="554"/>
    </row>
    <row r="76" spans="5:6">
      <c r="E76" s="554"/>
      <c r="F76" s="554"/>
    </row>
    <row r="77" spans="5:6">
      <c r="E77" s="554"/>
      <c r="F77" s="554"/>
    </row>
    <row r="78" spans="5:6">
      <c r="E78" s="554"/>
      <c r="F78" s="554"/>
    </row>
    <row r="79" spans="5:6">
      <c r="E79" s="554"/>
      <c r="F79" s="554"/>
    </row>
    <row r="80" spans="5:6">
      <c r="E80" s="554"/>
      <c r="F80" s="554"/>
    </row>
    <row r="81" spans="5:6">
      <c r="E81" s="554"/>
      <c r="F81" s="554"/>
    </row>
    <row r="82" spans="5:6">
      <c r="E82" s="554"/>
      <c r="F82" s="554"/>
    </row>
    <row r="83" spans="5:6">
      <c r="E83" s="554"/>
      <c r="F83" s="554"/>
    </row>
    <row r="84" spans="5:6">
      <c r="E84" s="554"/>
      <c r="F84" s="554"/>
    </row>
    <row r="85" spans="5:6">
      <c r="E85" s="554"/>
      <c r="F85" s="554"/>
    </row>
    <row r="86" spans="5:6">
      <c r="E86" s="554"/>
      <c r="F86" s="554"/>
    </row>
    <row r="87" spans="5:6">
      <c r="E87" s="554"/>
      <c r="F87" s="554"/>
    </row>
    <row r="88" spans="5:6">
      <c r="E88" s="554"/>
      <c r="F88" s="554"/>
    </row>
    <row r="89" spans="5:6">
      <c r="E89" s="554"/>
      <c r="F89" s="554"/>
    </row>
    <row r="90" spans="5:6">
      <c r="E90" s="554"/>
      <c r="F90" s="554"/>
    </row>
    <row r="91" spans="5:6">
      <c r="E91" s="554"/>
      <c r="F91" s="554"/>
    </row>
    <row r="92" spans="5:6">
      <c r="E92" s="554"/>
      <c r="F92" s="554"/>
    </row>
    <row r="93" spans="5:6">
      <c r="E93" s="554"/>
      <c r="F93" s="554"/>
    </row>
    <row r="94" spans="5:6">
      <c r="E94" s="554"/>
      <c r="F94" s="554"/>
    </row>
    <row r="95" spans="5:6">
      <c r="E95" s="554"/>
      <c r="F95" s="554"/>
    </row>
    <row r="96" spans="5:6">
      <c r="E96" s="554"/>
      <c r="F96" s="554"/>
    </row>
    <row r="97" spans="5:6">
      <c r="E97" s="554"/>
      <c r="F97" s="554"/>
    </row>
    <row r="98" spans="5:6">
      <c r="E98" s="554"/>
      <c r="F98" s="554"/>
    </row>
    <row r="99" spans="5:6">
      <c r="E99" s="554"/>
      <c r="F99" s="554"/>
    </row>
    <row r="100" spans="5:6">
      <c r="E100" s="554"/>
      <c r="F100" s="554"/>
    </row>
    <row r="101" spans="5:6">
      <c r="E101" s="554"/>
      <c r="F101" s="554"/>
    </row>
    <row r="102" spans="5:6">
      <c r="E102" s="554"/>
      <c r="F102" s="554"/>
    </row>
    <row r="103" spans="5:6">
      <c r="E103" s="554"/>
      <c r="F103" s="554"/>
    </row>
    <row r="104" spans="5:6">
      <c r="E104" s="554"/>
      <c r="F104" s="554"/>
    </row>
    <row r="105" spans="5:6">
      <c r="E105" s="554"/>
      <c r="F105" s="554"/>
    </row>
    <row r="106" spans="5:6">
      <c r="E106" s="554"/>
      <c r="F106" s="554"/>
    </row>
    <row r="107" spans="5:6">
      <c r="E107" s="554"/>
      <c r="F107" s="554"/>
    </row>
    <row r="108" spans="5:6">
      <c r="E108" s="554"/>
      <c r="F108" s="554"/>
    </row>
    <row r="109" spans="5:6">
      <c r="E109" s="554"/>
      <c r="F109" s="554"/>
    </row>
    <row r="110" spans="5:6">
      <c r="E110" s="554"/>
      <c r="F110" s="554"/>
    </row>
    <row r="111" spans="5:6">
      <c r="E111" s="554"/>
      <c r="F111" s="554"/>
    </row>
    <row r="112" spans="5:6">
      <c r="E112" s="554"/>
      <c r="F112" s="554"/>
    </row>
    <row r="113" spans="5:6">
      <c r="E113" s="554"/>
      <c r="F113" s="554"/>
    </row>
    <row r="114" spans="5:6">
      <c r="E114" s="554"/>
      <c r="F114" s="554"/>
    </row>
    <row r="115" spans="5:6">
      <c r="E115" s="554"/>
      <c r="F115" s="554"/>
    </row>
    <row r="116" spans="5:6">
      <c r="E116" s="554"/>
      <c r="F116" s="554"/>
    </row>
    <row r="117" spans="5:6">
      <c r="E117" s="554"/>
      <c r="F117" s="554"/>
    </row>
    <row r="118" spans="5:6">
      <c r="E118" s="554"/>
      <c r="F118" s="554"/>
    </row>
    <row r="119" spans="5:6">
      <c r="E119" s="554"/>
      <c r="F119" s="554"/>
    </row>
    <row r="120" spans="5:6">
      <c r="E120" s="554"/>
      <c r="F120" s="554"/>
    </row>
    <row r="121" spans="5:6">
      <c r="E121" s="554"/>
      <c r="F121" s="554"/>
    </row>
    <row r="122" spans="5:6">
      <c r="E122" s="554"/>
      <c r="F122" s="554"/>
    </row>
    <row r="123" spans="5:6">
      <c r="E123" s="554"/>
      <c r="F123" s="554"/>
    </row>
    <row r="124" spans="5:6">
      <c r="E124" s="554"/>
      <c r="F124" s="554"/>
    </row>
    <row r="125" spans="5:6">
      <c r="E125" s="554"/>
      <c r="F125" s="554"/>
    </row>
    <row r="126" spans="5:6">
      <c r="E126" s="554"/>
      <c r="F126" s="554"/>
    </row>
    <row r="127" spans="5:6">
      <c r="E127" s="554"/>
      <c r="F127" s="554"/>
    </row>
    <row r="128" spans="5:6">
      <c r="E128" s="554"/>
      <c r="F128" s="554"/>
    </row>
    <row r="129" spans="5:6">
      <c r="E129" s="554"/>
      <c r="F129" s="554"/>
    </row>
    <row r="130" spans="5:6">
      <c r="E130" s="554"/>
      <c r="F130" s="554"/>
    </row>
    <row r="131" spans="5:6">
      <c r="E131" s="554"/>
      <c r="F131" s="554"/>
    </row>
    <row r="132" spans="5:6">
      <c r="E132" s="554"/>
      <c r="F132" s="554"/>
    </row>
    <row r="133" spans="5:6">
      <c r="E133" s="554"/>
      <c r="F133" s="554"/>
    </row>
    <row r="134" spans="5:6">
      <c r="E134" s="554"/>
      <c r="F134" s="554"/>
    </row>
    <row r="135" spans="5:6">
      <c r="E135" s="554"/>
      <c r="F135" s="554"/>
    </row>
    <row r="136" spans="5:6">
      <c r="E136" s="554"/>
      <c r="F136" s="554"/>
    </row>
    <row r="137" spans="5:6">
      <c r="E137" s="554"/>
      <c r="F137" s="554"/>
    </row>
    <row r="138" spans="5:6">
      <c r="E138" s="554"/>
      <c r="F138" s="554"/>
    </row>
  </sheetData>
  <pageMargins left="0.7" right="0.51432291666666663" top="0.86956521739130432" bottom="0.61458333333333337" header="0.3" footer="0.3"/>
  <pageSetup orientation="portrait" r:id="rId1"/>
  <headerFooter>
    <oddHeader>&amp;R&amp;7Informe de la Operación Mensual - Febrero 2018
INFSGI-MES-02-2018
08/03/2018
Versión: 01</oddHeader>
    <oddFooter>&amp;L&amp;7COES SINAC, 2018
&amp;C26&amp;R&amp;7Dirección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J121"/>
  <sheetViews>
    <sheetView showGridLines="0" view="pageBreakPreview" zoomScale="160" zoomScaleNormal="100" zoomScaleSheetLayoutView="160" zoomScalePageLayoutView="130" workbookViewId="0">
      <selection activeCell="K12" sqref="K12"/>
    </sheetView>
  </sheetViews>
  <sheetFormatPr defaultRowHeight="9"/>
  <cols>
    <col min="1" max="1" width="16.1640625" style="544" customWidth="1"/>
    <col min="2" max="2" width="19.6640625" style="544" customWidth="1"/>
    <col min="3" max="3" width="12.1640625" style="544" bestFit="1" customWidth="1"/>
    <col min="4" max="4" width="47.1640625" style="544" customWidth="1"/>
    <col min="5" max="5" width="11.5" style="544" customWidth="1"/>
    <col min="6" max="6" width="10.5" style="544" customWidth="1"/>
    <col min="7" max="8" width="9.33203125" style="544" customWidth="1"/>
    <col min="9" max="10" width="9.33203125" style="544"/>
    <col min="11" max="16384" width="9.33203125" style="553"/>
  </cols>
  <sheetData>
    <row r="1" spans="1:9" s="544" customFormat="1" ht="30" customHeight="1">
      <c r="A1" s="555" t="s">
        <v>299</v>
      </c>
      <c r="B1" s="556" t="s">
        <v>502</v>
      </c>
      <c r="C1" s="555" t="s">
        <v>490</v>
      </c>
      <c r="D1" s="557" t="s">
        <v>503</v>
      </c>
      <c r="E1" s="558" t="s">
        <v>504</v>
      </c>
      <c r="F1" s="558" t="s">
        <v>505</v>
      </c>
      <c r="G1" s="510"/>
      <c r="H1" s="545"/>
      <c r="I1" s="508"/>
    </row>
    <row r="2" spans="1:9" s="544" customFormat="1" ht="88.5" customHeight="1">
      <c r="A2" s="560" t="s">
        <v>529</v>
      </c>
      <c r="B2" s="560" t="s">
        <v>594</v>
      </c>
      <c r="C2" s="561">
        <v>43138.80972222222</v>
      </c>
      <c r="D2" s="760" t="s">
        <v>595</v>
      </c>
      <c r="E2" s="562"/>
      <c r="F2" s="562">
        <v>118.28</v>
      </c>
      <c r="G2" s="509"/>
      <c r="H2" s="509"/>
      <c r="I2" s="548"/>
    </row>
    <row r="3" spans="1:9" s="544" customFormat="1" ht="79.5" customHeight="1">
      <c r="A3" s="560" t="s">
        <v>507</v>
      </c>
      <c r="B3" s="560" t="s">
        <v>508</v>
      </c>
      <c r="C3" s="561">
        <v>43138.84652777778</v>
      </c>
      <c r="D3" s="760" t="s">
        <v>596</v>
      </c>
      <c r="E3" s="562">
        <v>10.23</v>
      </c>
      <c r="F3" s="562"/>
      <c r="G3" s="509"/>
      <c r="H3" s="509"/>
      <c r="I3" s="548"/>
    </row>
    <row r="4" spans="1:9" s="544" customFormat="1" ht="78" customHeight="1">
      <c r="A4" s="560" t="s">
        <v>507</v>
      </c>
      <c r="B4" s="560" t="s">
        <v>508</v>
      </c>
      <c r="C4" s="561">
        <v>43138.913194444445</v>
      </c>
      <c r="D4" s="760" t="s">
        <v>597</v>
      </c>
      <c r="E4" s="562">
        <v>7.37</v>
      </c>
      <c r="F4" s="562"/>
      <c r="G4" s="509"/>
      <c r="H4" s="509"/>
      <c r="I4" s="548"/>
    </row>
    <row r="5" spans="1:9" s="544" customFormat="1" ht="101.25" customHeight="1">
      <c r="A5" s="560" t="s">
        <v>99</v>
      </c>
      <c r="B5" s="560" t="s">
        <v>525</v>
      </c>
      <c r="C5" s="561">
        <v>43139.549305555556</v>
      </c>
      <c r="D5" s="760" t="s">
        <v>598</v>
      </c>
      <c r="E5" s="562">
        <v>24.27</v>
      </c>
      <c r="F5" s="562"/>
      <c r="G5" s="509"/>
      <c r="H5" s="509"/>
      <c r="I5" s="548"/>
    </row>
    <row r="6" spans="1:9" s="544" customFormat="1" ht="111.75" customHeight="1">
      <c r="A6" s="560" t="s">
        <v>599</v>
      </c>
      <c r="B6" s="560" t="s">
        <v>600</v>
      </c>
      <c r="C6" s="561">
        <v>43139.651388888888</v>
      </c>
      <c r="D6" s="760" t="s">
        <v>601</v>
      </c>
      <c r="E6" s="562">
        <v>3.79</v>
      </c>
      <c r="F6" s="562"/>
      <c r="G6" s="509"/>
      <c r="H6" s="509"/>
      <c r="I6" s="550"/>
    </row>
    <row r="7" spans="1:9" s="544" customFormat="1" ht="69.75" customHeight="1">
      <c r="A7" s="560" t="s">
        <v>507</v>
      </c>
      <c r="B7" s="560" t="s">
        <v>602</v>
      </c>
      <c r="C7" s="561">
        <v>43140.215277777781</v>
      </c>
      <c r="D7" s="760" t="s">
        <v>603</v>
      </c>
      <c r="E7" s="562">
        <v>3.52</v>
      </c>
      <c r="F7" s="562"/>
      <c r="G7" s="509"/>
      <c r="H7" s="509"/>
      <c r="I7" s="548"/>
    </row>
    <row r="8" spans="1:9" s="544" customFormat="1" ht="108.75" customHeight="1">
      <c r="A8" s="560" t="s">
        <v>513</v>
      </c>
      <c r="B8" s="560" t="s">
        <v>604</v>
      </c>
      <c r="C8" s="561">
        <v>43140.664583333331</v>
      </c>
      <c r="D8" s="760" t="s">
        <v>605</v>
      </c>
      <c r="E8" s="562"/>
      <c r="F8" s="562">
        <v>28</v>
      </c>
      <c r="G8" s="509"/>
      <c r="H8" s="509"/>
      <c r="I8" s="548"/>
    </row>
    <row r="9" spans="1:9" s="544" customFormat="1" ht="75.75" customHeight="1">
      <c r="A9" s="560" t="s">
        <v>521</v>
      </c>
      <c r="B9" s="560" t="s">
        <v>522</v>
      </c>
      <c r="C9" s="561">
        <v>43140.739583333336</v>
      </c>
      <c r="D9" s="760" t="s">
        <v>606</v>
      </c>
      <c r="E9" s="562"/>
      <c r="F9" s="562">
        <v>50.24</v>
      </c>
      <c r="G9" s="509"/>
      <c r="H9" s="509"/>
      <c r="I9" s="548"/>
    </row>
    <row r="10" spans="1:9">
      <c r="E10" s="554"/>
      <c r="F10" s="554"/>
    </row>
    <row r="11" spans="1:9">
      <c r="E11" s="554"/>
      <c r="F11" s="554"/>
    </row>
    <row r="12" spans="1:9">
      <c r="E12" s="554"/>
      <c r="F12" s="554"/>
    </row>
    <row r="13" spans="1:9">
      <c r="E13" s="554"/>
      <c r="F13" s="554"/>
    </row>
    <row r="14" spans="1:9">
      <c r="E14" s="554"/>
      <c r="F14" s="554"/>
    </row>
    <row r="15" spans="1:9">
      <c r="E15" s="554"/>
      <c r="F15" s="554"/>
    </row>
    <row r="16" spans="1:9">
      <c r="E16" s="554"/>
      <c r="F16" s="554"/>
    </row>
    <row r="17" spans="5:6">
      <c r="E17" s="554"/>
      <c r="F17" s="554"/>
    </row>
    <row r="18" spans="5:6">
      <c r="E18" s="554"/>
      <c r="F18" s="554"/>
    </row>
    <row r="19" spans="5:6">
      <c r="E19" s="554"/>
      <c r="F19" s="554"/>
    </row>
    <row r="20" spans="5:6">
      <c r="E20" s="554"/>
      <c r="F20" s="554"/>
    </row>
    <row r="21" spans="5:6">
      <c r="E21" s="554"/>
      <c r="F21" s="554"/>
    </row>
    <row r="22" spans="5:6">
      <c r="E22" s="554"/>
      <c r="F22" s="554"/>
    </row>
    <row r="23" spans="5:6">
      <c r="E23" s="554"/>
      <c r="F23" s="554"/>
    </row>
    <row r="24" spans="5:6">
      <c r="E24" s="554"/>
      <c r="F24" s="554"/>
    </row>
    <row r="25" spans="5:6">
      <c r="E25" s="554"/>
      <c r="F25" s="554"/>
    </row>
    <row r="26" spans="5:6">
      <c r="E26" s="554"/>
      <c r="F26" s="554"/>
    </row>
    <row r="27" spans="5:6">
      <c r="E27" s="554"/>
      <c r="F27" s="554"/>
    </row>
    <row r="28" spans="5:6">
      <c r="E28" s="554"/>
      <c r="F28" s="554"/>
    </row>
    <row r="29" spans="5:6">
      <c r="E29" s="554"/>
      <c r="F29" s="554"/>
    </row>
    <row r="30" spans="5:6">
      <c r="E30" s="554"/>
      <c r="F30" s="554"/>
    </row>
    <row r="31" spans="5:6">
      <c r="E31" s="554"/>
      <c r="F31" s="554"/>
    </row>
    <row r="32" spans="5:6">
      <c r="E32" s="554"/>
      <c r="F32" s="554"/>
    </row>
    <row r="33" spans="5:6">
      <c r="E33" s="554"/>
      <c r="F33" s="554"/>
    </row>
    <row r="34" spans="5:6">
      <c r="E34" s="554"/>
      <c r="F34" s="554"/>
    </row>
    <row r="35" spans="5:6">
      <c r="E35" s="554"/>
      <c r="F35" s="554"/>
    </row>
    <row r="36" spans="5:6">
      <c r="E36" s="554"/>
      <c r="F36" s="554"/>
    </row>
    <row r="37" spans="5:6">
      <c r="E37" s="554"/>
      <c r="F37" s="554"/>
    </row>
    <row r="38" spans="5:6">
      <c r="E38" s="554"/>
      <c r="F38" s="554"/>
    </row>
    <row r="39" spans="5:6">
      <c r="E39" s="554"/>
      <c r="F39" s="554"/>
    </row>
    <row r="40" spans="5:6">
      <c r="E40" s="554"/>
      <c r="F40" s="554"/>
    </row>
    <row r="41" spans="5:6">
      <c r="E41" s="554"/>
      <c r="F41" s="554"/>
    </row>
    <row r="42" spans="5:6">
      <c r="E42" s="554"/>
      <c r="F42" s="554"/>
    </row>
    <row r="43" spans="5:6">
      <c r="E43" s="554"/>
      <c r="F43" s="554"/>
    </row>
    <row r="44" spans="5:6">
      <c r="E44" s="554"/>
      <c r="F44" s="554"/>
    </row>
    <row r="45" spans="5:6">
      <c r="E45" s="554"/>
      <c r="F45" s="554"/>
    </row>
    <row r="46" spans="5:6">
      <c r="E46" s="554"/>
      <c r="F46" s="554"/>
    </row>
    <row r="47" spans="5:6">
      <c r="E47" s="554"/>
      <c r="F47" s="554"/>
    </row>
    <row r="48" spans="5:6">
      <c r="E48" s="554"/>
      <c r="F48" s="554"/>
    </row>
    <row r="49" spans="5:6">
      <c r="E49" s="554"/>
      <c r="F49" s="554"/>
    </row>
    <row r="50" spans="5:6">
      <c r="E50" s="554"/>
      <c r="F50" s="554"/>
    </row>
    <row r="51" spans="5:6">
      <c r="E51" s="554"/>
      <c r="F51" s="554"/>
    </row>
    <row r="52" spans="5:6">
      <c r="E52" s="554"/>
      <c r="F52" s="554"/>
    </row>
    <row r="53" spans="5:6">
      <c r="E53" s="554"/>
      <c r="F53" s="554"/>
    </row>
    <row r="54" spans="5:6">
      <c r="E54" s="554"/>
      <c r="F54" s="554"/>
    </row>
    <row r="55" spans="5:6">
      <c r="E55" s="554"/>
      <c r="F55" s="554"/>
    </row>
    <row r="56" spans="5:6">
      <c r="E56" s="554"/>
      <c r="F56" s="554"/>
    </row>
    <row r="57" spans="5:6">
      <c r="E57" s="554"/>
      <c r="F57" s="554"/>
    </row>
    <row r="58" spans="5:6">
      <c r="E58" s="554"/>
      <c r="F58" s="554"/>
    </row>
    <row r="59" spans="5:6">
      <c r="E59" s="554"/>
      <c r="F59" s="554"/>
    </row>
    <row r="60" spans="5:6">
      <c r="E60" s="554"/>
      <c r="F60" s="554"/>
    </row>
    <row r="61" spans="5:6">
      <c r="E61" s="554"/>
      <c r="F61" s="554"/>
    </row>
    <row r="62" spans="5:6">
      <c r="E62" s="554"/>
      <c r="F62" s="554"/>
    </row>
    <row r="63" spans="5:6">
      <c r="E63" s="554"/>
      <c r="F63" s="554"/>
    </row>
    <row r="64" spans="5:6">
      <c r="E64" s="554"/>
      <c r="F64" s="554"/>
    </row>
    <row r="65" spans="5:6">
      <c r="E65" s="554"/>
      <c r="F65" s="554"/>
    </row>
    <row r="66" spans="5:6">
      <c r="E66" s="554"/>
      <c r="F66" s="554"/>
    </row>
    <row r="67" spans="5:6">
      <c r="E67" s="554"/>
      <c r="F67" s="554"/>
    </row>
    <row r="68" spans="5:6">
      <c r="E68" s="554"/>
      <c r="F68" s="554"/>
    </row>
    <row r="69" spans="5:6">
      <c r="E69" s="554"/>
      <c r="F69" s="554"/>
    </row>
    <row r="70" spans="5:6">
      <c r="E70" s="554"/>
      <c r="F70" s="554"/>
    </row>
    <row r="71" spans="5:6">
      <c r="E71" s="554"/>
      <c r="F71" s="554"/>
    </row>
    <row r="72" spans="5:6">
      <c r="E72" s="554"/>
      <c r="F72" s="554"/>
    </row>
    <row r="73" spans="5:6">
      <c r="E73" s="554"/>
      <c r="F73" s="554"/>
    </row>
    <row r="74" spans="5:6">
      <c r="E74" s="554"/>
      <c r="F74" s="554"/>
    </row>
    <row r="75" spans="5:6">
      <c r="E75" s="554"/>
      <c r="F75" s="554"/>
    </row>
    <row r="76" spans="5:6">
      <c r="E76" s="554"/>
      <c r="F76" s="554"/>
    </row>
    <row r="77" spans="5:6">
      <c r="E77" s="554"/>
      <c r="F77" s="554"/>
    </row>
    <row r="78" spans="5:6">
      <c r="E78" s="554"/>
      <c r="F78" s="554"/>
    </row>
    <row r="79" spans="5:6">
      <c r="E79" s="554"/>
      <c r="F79" s="554"/>
    </row>
    <row r="80" spans="5:6">
      <c r="E80" s="554"/>
      <c r="F80" s="554"/>
    </row>
    <row r="81" spans="5:6">
      <c r="E81" s="554"/>
      <c r="F81" s="554"/>
    </row>
    <row r="82" spans="5:6">
      <c r="E82" s="554"/>
      <c r="F82" s="554"/>
    </row>
    <row r="83" spans="5:6">
      <c r="E83" s="554"/>
      <c r="F83" s="554"/>
    </row>
    <row r="84" spans="5:6">
      <c r="E84" s="554"/>
      <c r="F84" s="554"/>
    </row>
    <row r="85" spans="5:6">
      <c r="E85" s="554"/>
      <c r="F85" s="554"/>
    </row>
    <row r="86" spans="5:6">
      <c r="E86" s="554"/>
      <c r="F86" s="554"/>
    </row>
    <row r="87" spans="5:6">
      <c r="E87" s="554"/>
      <c r="F87" s="554"/>
    </row>
    <row r="88" spans="5:6">
      <c r="E88" s="554"/>
      <c r="F88" s="554"/>
    </row>
    <row r="89" spans="5:6">
      <c r="E89" s="554"/>
      <c r="F89" s="554"/>
    </row>
    <row r="90" spans="5:6">
      <c r="E90" s="554"/>
      <c r="F90" s="554"/>
    </row>
    <row r="91" spans="5:6">
      <c r="E91" s="554"/>
      <c r="F91" s="554"/>
    </row>
    <row r="92" spans="5:6">
      <c r="E92" s="554"/>
      <c r="F92" s="554"/>
    </row>
    <row r="93" spans="5:6">
      <c r="E93" s="554"/>
      <c r="F93" s="554"/>
    </row>
    <row r="94" spans="5:6">
      <c r="E94" s="554"/>
      <c r="F94" s="554"/>
    </row>
    <row r="95" spans="5:6">
      <c r="E95" s="554"/>
      <c r="F95" s="554"/>
    </row>
    <row r="96" spans="5:6">
      <c r="E96" s="554"/>
      <c r="F96" s="554"/>
    </row>
    <row r="97" spans="5:6">
      <c r="E97" s="554"/>
      <c r="F97" s="554"/>
    </row>
    <row r="98" spans="5:6">
      <c r="E98" s="554"/>
      <c r="F98" s="554"/>
    </row>
    <row r="99" spans="5:6">
      <c r="E99" s="554"/>
      <c r="F99" s="554"/>
    </row>
    <row r="100" spans="5:6">
      <c r="E100" s="554"/>
      <c r="F100" s="554"/>
    </row>
    <row r="101" spans="5:6">
      <c r="E101" s="554"/>
      <c r="F101" s="554"/>
    </row>
    <row r="102" spans="5:6">
      <c r="E102" s="554"/>
      <c r="F102" s="554"/>
    </row>
    <row r="103" spans="5:6">
      <c r="E103" s="554"/>
      <c r="F103" s="554"/>
    </row>
    <row r="104" spans="5:6">
      <c r="E104" s="554"/>
      <c r="F104" s="554"/>
    </row>
    <row r="105" spans="5:6">
      <c r="E105" s="554"/>
      <c r="F105" s="554"/>
    </row>
    <row r="106" spans="5:6">
      <c r="E106" s="554"/>
      <c r="F106" s="554"/>
    </row>
    <row r="107" spans="5:6">
      <c r="E107" s="554"/>
      <c r="F107" s="554"/>
    </row>
    <row r="108" spans="5:6">
      <c r="E108" s="554"/>
      <c r="F108" s="554"/>
    </row>
    <row r="109" spans="5:6">
      <c r="E109" s="554"/>
      <c r="F109" s="554"/>
    </row>
    <row r="110" spans="5:6">
      <c r="E110" s="554"/>
      <c r="F110" s="554"/>
    </row>
    <row r="111" spans="5:6">
      <c r="E111" s="554"/>
      <c r="F111" s="554"/>
    </row>
    <row r="112" spans="5:6">
      <c r="E112" s="554"/>
      <c r="F112" s="554"/>
    </row>
    <row r="113" spans="5:6">
      <c r="E113" s="554"/>
      <c r="F113" s="554"/>
    </row>
    <row r="114" spans="5:6">
      <c r="E114" s="554"/>
      <c r="F114" s="554"/>
    </row>
    <row r="115" spans="5:6">
      <c r="E115" s="554"/>
      <c r="F115" s="554"/>
    </row>
    <row r="116" spans="5:6">
      <c r="E116" s="554"/>
      <c r="F116" s="554"/>
    </row>
    <row r="117" spans="5:6">
      <c r="E117" s="554"/>
      <c r="F117" s="554"/>
    </row>
    <row r="118" spans="5:6">
      <c r="E118" s="554"/>
      <c r="F118" s="554"/>
    </row>
    <row r="119" spans="5:6">
      <c r="E119" s="554"/>
      <c r="F119" s="554"/>
    </row>
    <row r="120" spans="5:6">
      <c r="E120" s="554"/>
      <c r="F120" s="554"/>
    </row>
    <row r="121" spans="5:6">
      <c r="E121" s="554"/>
      <c r="F121" s="554"/>
    </row>
  </sheetData>
  <pageMargins left="0.7" right="0.51432291666666663" top="0.86956521739130432" bottom="0.61458333333333337" header="0.3" footer="0.3"/>
  <pageSetup orientation="portrait" r:id="rId1"/>
  <headerFooter>
    <oddHeader>&amp;R&amp;7Informe de la Operación Mensual - Febrero 2018
INFSGI-MES-02-2018
08/03/2018
Versión: 01</oddHeader>
    <oddFooter>&amp;L&amp;7COES SINAC, 2018
&amp;C27&amp;R&amp;7Dirección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W67"/>
  <sheetViews>
    <sheetView showGridLines="0" view="pageBreakPreview" zoomScaleNormal="100" zoomScaleSheetLayoutView="100" zoomScalePageLayoutView="115" workbookViewId="0">
      <selection activeCell="B12" sqref="B12:M12"/>
    </sheetView>
  </sheetViews>
  <sheetFormatPr defaultRowHeight="11.25"/>
  <cols>
    <col min="1" max="1" width="7.5" style="61" customWidth="1"/>
    <col min="2" max="9" width="9.33203125" style="61"/>
    <col min="10" max="11" width="9.33203125" style="61" customWidth="1"/>
    <col min="12" max="12" width="10.33203125" style="61" customWidth="1"/>
    <col min="13" max="13" width="9.33203125" style="61"/>
    <col min="14" max="14" width="9.33203125" style="568"/>
    <col min="15" max="16" width="10.1640625" style="633" bestFit="1" customWidth="1"/>
    <col min="17" max="17" width="10.6640625" style="633" bestFit="1" customWidth="1"/>
    <col min="18" max="23" width="9.33203125" style="633"/>
    <col min="24" max="16384" width="9.33203125" style="61"/>
  </cols>
  <sheetData>
    <row r="1" spans="1:20" ht="27.75" customHeight="1">
      <c r="A1" s="827" t="s">
        <v>22</v>
      </c>
      <c r="B1" s="827"/>
      <c r="C1" s="827"/>
      <c r="D1" s="827"/>
      <c r="E1" s="827"/>
      <c r="F1" s="827"/>
      <c r="G1" s="827"/>
      <c r="H1" s="827"/>
      <c r="I1" s="827"/>
      <c r="J1" s="827"/>
      <c r="K1" s="827"/>
      <c r="L1" s="827"/>
      <c r="M1" s="827"/>
      <c r="N1" s="567"/>
      <c r="O1" s="632"/>
      <c r="P1" s="632"/>
      <c r="Q1" s="632"/>
    </row>
    <row r="2" spans="1:20" ht="11.25" customHeight="1">
      <c r="A2" s="52"/>
      <c r="B2" s="53"/>
      <c r="C2" s="82"/>
      <c r="D2" s="82"/>
      <c r="E2" s="82"/>
      <c r="F2" s="82"/>
      <c r="G2" s="82"/>
      <c r="H2" s="82"/>
      <c r="I2" s="82"/>
      <c r="J2" s="82"/>
      <c r="K2" s="53"/>
      <c r="L2" s="53"/>
      <c r="M2" s="53"/>
      <c r="N2" s="569"/>
      <c r="O2" s="634"/>
      <c r="P2" s="634"/>
      <c r="Q2" s="634"/>
    </row>
    <row r="3" spans="1:20" ht="21.75" customHeight="1">
      <c r="A3" s="53"/>
      <c r="B3" s="54"/>
      <c r="C3" s="834" t="str">
        <f>+UPPER(Q4)&amp;" "&amp;Q5</f>
        <v>FEBRERO 2018</v>
      </c>
      <c r="D3" s="827"/>
      <c r="E3" s="827"/>
      <c r="F3" s="827"/>
      <c r="G3" s="827"/>
      <c r="H3" s="827"/>
      <c r="I3" s="827"/>
      <c r="J3" s="827"/>
      <c r="K3" s="53"/>
      <c r="L3" s="53"/>
      <c r="M3" s="53"/>
      <c r="N3" s="569"/>
      <c r="O3" s="634"/>
      <c r="P3" s="634"/>
      <c r="Q3" s="634"/>
      <c r="R3" s="635"/>
      <c r="S3" s="635"/>
      <c r="T3" s="635"/>
    </row>
    <row r="4" spans="1:20" ht="11.25" customHeight="1">
      <c r="A4" s="51"/>
      <c r="B4" s="54"/>
      <c r="C4" s="51"/>
      <c r="D4" s="51"/>
      <c r="E4" s="51"/>
      <c r="F4" s="51"/>
      <c r="G4" s="51"/>
      <c r="H4" s="51"/>
      <c r="I4" s="51"/>
      <c r="J4" s="51"/>
      <c r="K4" s="51"/>
      <c r="L4" s="51"/>
      <c r="M4" s="51"/>
      <c r="N4" s="570"/>
      <c r="O4" s="636"/>
      <c r="P4" s="632" t="s">
        <v>237</v>
      </c>
      <c r="Q4" s="637" t="s">
        <v>569</v>
      </c>
      <c r="R4" s="635"/>
      <c r="S4" s="635"/>
      <c r="T4" s="635"/>
    </row>
    <row r="5" spans="1:20" ht="11.25" customHeight="1">
      <c r="A5" s="62"/>
      <c r="B5" s="63"/>
      <c r="C5" s="64"/>
      <c r="D5" s="64"/>
      <c r="E5" s="64"/>
      <c r="F5" s="64"/>
      <c r="G5" s="64"/>
      <c r="H5" s="64"/>
      <c r="I5" s="64"/>
      <c r="J5" s="64"/>
      <c r="K5" s="64"/>
      <c r="L5" s="64"/>
      <c r="M5" s="51"/>
      <c r="N5" s="570"/>
      <c r="O5" s="636"/>
      <c r="P5" s="632" t="s">
        <v>238</v>
      </c>
      <c r="Q5" s="636">
        <v>2018</v>
      </c>
      <c r="R5" s="635"/>
      <c r="S5" s="635"/>
      <c r="T5" s="635"/>
    </row>
    <row r="6" spans="1:20" ht="17.25" customHeight="1">
      <c r="A6" s="77" t="s">
        <v>568</v>
      </c>
      <c r="B6" s="51"/>
      <c r="C6" s="51"/>
      <c r="D6" s="51"/>
      <c r="E6" s="51"/>
      <c r="F6" s="51"/>
      <c r="G6" s="51"/>
      <c r="H6" s="51"/>
      <c r="I6" s="51"/>
      <c r="J6" s="51"/>
      <c r="K6" s="51"/>
      <c r="L6" s="51"/>
      <c r="M6" s="51"/>
      <c r="N6" s="567"/>
      <c r="O6" s="632"/>
      <c r="P6" s="632"/>
      <c r="Q6" s="649">
        <v>43132</v>
      </c>
      <c r="R6" s="635"/>
      <c r="S6" s="635"/>
      <c r="T6" s="635"/>
    </row>
    <row r="7" spans="1:20" ht="11.25" customHeight="1">
      <c r="A7" s="51"/>
      <c r="B7" s="51"/>
      <c r="C7" s="51"/>
      <c r="D7" s="51"/>
      <c r="E7" s="51"/>
      <c r="F7" s="51"/>
      <c r="G7" s="51"/>
      <c r="H7" s="51"/>
      <c r="I7" s="51"/>
      <c r="J7" s="51"/>
      <c r="K7" s="51"/>
      <c r="L7" s="51"/>
      <c r="M7" s="51"/>
      <c r="N7" s="567"/>
      <c r="O7" s="632"/>
      <c r="P7" s="632"/>
      <c r="Q7" s="632">
        <v>28</v>
      </c>
      <c r="R7" s="635"/>
      <c r="S7" s="635"/>
      <c r="T7" s="635"/>
    </row>
    <row r="8" spans="1:20" ht="11.25" customHeight="1">
      <c r="A8" s="55"/>
      <c r="B8" s="55"/>
      <c r="C8" s="55"/>
      <c r="D8" s="55"/>
      <c r="E8" s="55"/>
      <c r="F8" s="55"/>
      <c r="G8" s="55"/>
      <c r="H8" s="55"/>
      <c r="I8" s="55"/>
      <c r="J8" s="55"/>
      <c r="K8" s="55"/>
      <c r="L8" s="55"/>
      <c r="M8" s="55"/>
      <c r="N8" s="571"/>
      <c r="O8" s="638"/>
      <c r="P8" s="638"/>
      <c r="Q8" s="638"/>
      <c r="R8" s="635"/>
      <c r="S8" s="635"/>
      <c r="T8" s="635"/>
    </row>
    <row r="9" spans="1:20" ht="11.25" customHeight="1">
      <c r="A9" s="53" t="str">
        <f>"1.1. Producción de energía eléctrica en "&amp;LOWER(Q4)&amp;" "&amp;Q5&amp;" en comparación al mismo mes del año anterior"</f>
        <v>1.1. Producción de energía eléctrica en febrero 2018 en comparación al mismo mes del año anterior</v>
      </c>
      <c r="B9" s="53"/>
      <c r="C9" s="53"/>
      <c r="D9" s="53"/>
      <c r="E9" s="53"/>
      <c r="F9" s="53"/>
      <c r="G9" s="53"/>
      <c r="H9" s="53"/>
      <c r="I9" s="53"/>
      <c r="J9" s="53"/>
      <c r="K9" s="53"/>
      <c r="L9" s="53"/>
      <c r="M9" s="53"/>
      <c r="N9" s="569"/>
      <c r="O9" s="634"/>
      <c r="P9" s="634"/>
      <c r="Q9" s="634"/>
      <c r="R9" s="635"/>
      <c r="S9" s="635"/>
      <c r="T9" s="635"/>
    </row>
    <row r="10" spans="1:20" ht="11.25" customHeight="1">
      <c r="A10" s="62"/>
      <c r="B10" s="56"/>
      <c r="C10" s="56"/>
      <c r="D10" s="56"/>
      <c r="E10" s="56"/>
      <c r="F10" s="56"/>
      <c r="G10" s="56"/>
      <c r="H10" s="56"/>
      <c r="I10" s="56"/>
      <c r="J10" s="56"/>
      <c r="K10" s="56"/>
      <c r="L10" s="56"/>
      <c r="M10" s="56"/>
      <c r="N10" s="570"/>
      <c r="O10" s="636"/>
      <c r="P10" s="636"/>
      <c r="Q10" s="636"/>
      <c r="R10" s="635"/>
      <c r="S10" s="635"/>
      <c r="T10" s="635"/>
    </row>
    <row r="11" spans="1:20" ht="11.25" customHeight="1">
      <c r="A11" s="65"/>
      <c r="B11" s="65"/>
      <c r="C11" s="65"/>
      <c r="D11" s="65"/>
      <c r="E11" s="65"/>
      <c r="F11" s="65"/>
      <c r="G11" s="65"/>
      <c r="H11" s="65"/>
      <c r="I11" s="65"/>
      <c r="J11" s="65"/>
      <c r="K11" s="65"/>
      <c r="L11" s="65"/>
      <c r="M11" s="65"/>
      <c r="N11" s="572"/>
      <c r="O11" s="639"/>
      <c r="P11" s="639"/>
      <c r="Q11" s="639"/>
    </row>
    <row r="12" spans="1:20" ht="26.25" customHeight="1">
      <c r="A12" s="79" t="s">
        <v>23</v>
      </c>
      <c r="B12" s="833" t="s">
        <v>680</v>
      </c>
      <c r="C12" s="833"/>
      <c r="D12" s="833"/>
      <c r="E12" s="833"/>
      <c r="F12" s="833"/>
      <c r="G12" s="833"/>
      <c r="H12" s="833"/>
      <c r="I12" s="833"/>
      <c r="J12" s="833"/>
      <c r="K12" s="833"/>
      <c r="L12" s="833"/>
      <c r="M12" s="833"/>
      <c r="N12" s="570"/>
      <c r="O12" s="636"/>
      <c r="P12" s="636"/>
      <c r="Q12" s="636"/>
    </row>
    <row r="13" spans="1:20" ht="12.75" customHeight="1">
      <c r="A13" s="51"/>
      <c r="B13" s="81"/>
      <c r="C13" s="81"/>
      <c r="D13" s="81"/>
      <c r="E13" s="81"/>
      <c r="F13" s="81"/>
      <c r="G13" s="81"/>
      <c r="H13" s="81"/>
      <c r="I13" s="81"/>
      <c r="J13" s="81"/>
      <c r="K13" s="81"/>
      <c r="L13" s="81"/>
      <c r="M13" s="56"/>
      <c r="N13" s="570"/>
      <c r="O13" s="636"/>
      <c r="P13" s="636"/>
      <c r="Q13" s="636"/>
    </row>
    <row r="14" spans="1:20" ht="28.5" customHeight="1">
      <c r="A14" s="79" t="s">
        <v>23</v>
      </c>
      <c r="B14" s="833" t="s">
        <v>681</v>
      </c>
      <c r="C14" s="833"/>
      <c r="D14" s="833"/>
      <c r="E14" s="833"/>
      <c r="F14" s="833"/>
      <c r="G14" s="833"/>
      <c r="H14" s="833"/>
      <c r="I14" s="833"/>
      <c r="J14" s="833"/>
      <c r="K14" s="833"/>
      <c r="L14" s="833"/>
      <c r="M14" s="833"/>
      <c r="N14" s="570"/>
      <c r="O14" s="636"/>
      <c r="P14" s="636"/>
      <c r="Q14" s="636"/>
    </row>
    <row r="15" spans="1:20" ht="15" customHeight="1">
      <c r="A15" s="80"/>
      <c r="B15" s="81"/>
      <c r="C15" s="81"/>
      <c r="D15" s="81"/>
      <c r="E15" s="81"/>
      <c r="F15" s="81"/>
      <c r="G15" s="81"/>
      <c r="H15" s="81"/>
      <c r="I15" s="81"/>
      <c r="J15" s="81"/>
      <c r="K15" s="81"/>
      <c r="L15" s="81"/>
      <c r="M15" s="56"/>
      <c r="N15" s="570"/>
      <c r="O15" s="636"/>
      <c r="P15" s="636"/>
      <c r="Q15" s="636"/>
    </row>
    <row r="16" spans="1:20" ht="63" customHeight="1">
      <c r="A16" s="79" t="s">
        <v>23</v>
      </c>
      <c r="B16" s="833" t="s">
        <v>682</v>
      </c>
      <c r="C16" s="833"/>
      <c r="D16" s="833"/>
      <c r="E16" s="833"/>
      <c r="F16" s="833"/>
      <c r="G16" s="833"/>
      <c r="H16" s="833"/>
      <c r="I16" s="833"/>
      <c r="J16" s="833"/>
      <c r="K16" s="833"/>
      <c r="L16" s="833"/>
      <c r="M16" s="833"/>
      <c r="N16" s="570"/>
      <c r="O16" s="636"/>
      <c r="P16" s="636"/>
      <c r="Q16" s="636"/>
    </row>
    <row r="17" spans="1:18" ht="17.25" customHeight="1">
      <c r="A17" s="56"/>
      <c r="B17" s="56"/>
      <c r="C17" s="56"/>
      <c r="D17" s="56"/>
      <c r="E17" s="56"/>
      <c r="F17" s="56"/>
      <c r="G17" s="56"/>
      <c r="H17" s="56"/>
      <c r="I17" s="56"/>
      <c r="J17" s="56"/>
      <c r="K17" s="56"/>
      <c r="L17" s="56"/>
      <c r="M17" s="56"/>
      <c r="N17" s="570"/>
      <c r="O17" s="636"/>
      <c r="P17" s="636"/>
      <c r="Q17" s="636"/>
    </row>
    <row r="18" spans="1:18" ht="22.5" customHeight="1">
      <c r="A18" s="78" t="s">
        <v>23</v>
      </c>
      <c r="B18" s="832" t="s">
        <v>683</v>
      </c>
      <c r="C18" s="832"/>
      <c r="D18" s="832"/>
      <c r="E18" s="832"/>
      <c r="F18" s="832"/>
      <c r="G18" s="832"/>
      <c r="H18" s="832"/>
      <c r="I18" s="832"/>
      <c r="J18" s="832"/>
      <c r="K18" s="832"/>
      <c r="L18" s="832"/>
      <c r="M18" s="832"/>
      <c r="N18" s="570"/>
      <c r="O18" s="636"/>
      <c r="P18" s="636"/>
      <c r="Q18" s="636"/>
    </row>
    <row r="19" spans="1:18" ht="11.25" customHeight="1">
      <c r="A19" s="56"/>
      <c r="B19" s="56"/>
      <c r="C19" s="56"/>
      <c r="D19" s="56"/>
      <c r="E19" s="56"/>
      <c r="F19" s="56"/>
      <c r="G19" s="56"/>
      <c r="H19" s="56"/>
      <c r="I19" s="56"/>
      <c r="J19" s="56"/>
      <c r="K19" s="56"/>
      <c r="L19" s="56"/>
      <c r="M19" s="56"/>
      <c r="N19" s="570"/>
      <c r="O19" s="636"/>
      <c r="P19" s="636"/>
      <c r="Q19" s="636"/>
    </row>
    <row r="20" spans="1:18" ht="15.75" customHeight="1">
      <c r="A20" s="56"/>
      <c r="B20" s="56"/>
      <c r="C20" s="829" t="str">
        <f>+UPPER(Q4)&amp;" "&amp;Q5</f>
        <v>FEBRERO 2018</v>
      </c>
      <c r="D20" s="830"/>
      <c r="E20" s="51"/>
      <c r="F20" s="51"/>
      <c r="G20" s="51"/>
      <c r="H20" s="51"/>
      <c r="I20" s="829" t="str">
        <f>+UPPER(Q4)&amp;" "&amp;Q5-1</f>
        <v>FEBRERO 2017</v>
      </c>
      <c r="J20" s="829"/>
      <c r="K20" s="829"/>
      <c r="L20" s="56"/>
      <c r="M20" s="56"/>
      <c r="Q20" s="636"/>
    </row>
    <row r="21" spans="1:18" ht="11.25" customHeight="1">
      <c r="A21" s="56"/>
      <c r="B21" s="56"/>
      <c r="C21" s="56"/>
      <c r="D21" s="56"/>
      <c r="E21" s="56"/>
      <c r="F21" s="56"/>
      <c r="G21" s="56"/>
      <c r="H21" s="56"/>
      <c r="I21" s="56"/>
      <c r="J21" s="56"/>
      <c r="K21" s="56"/>
      <c r="L21" s="56"/>
      <c r="M21" s="56"/>
      <c r="Q21" s="636"/>
    </row>
    <row r="22" spans="1:18" ht="11.25" customHeight="1">
      <c r="A22" s="66"/>
      <c r="B22" s="67"/>
      <c r="C22" s="67"/>
      <c r="D22" s="67"/>
      <c r="E22" s="67"/>
      <c r="F22" s="67"/>
      <c r="G22" s="67"/>
      <c r="H22" s="67"/>
      <c r="I22" s="67"/>
      <c r="J22" s="67"/>
      <c r="K22" s="67"/>
      <c r="L22" s="67"/>
      <c r="M22" s="67"/>
      <c r="N22" s="685" t="s">
        <v>31</v>
      </c>
      <c r="O22" s="640" t="s">
        <v>676</v>
      </c>
      <c r="P22" s="640" t="s">
        <v>677</v>
      </c>
    </row>
    <row r="23" spans="1:18" ht="11.25" customHeight="1">
      <c r="A23" s="66"/>
      <c r="B23" s="67"/>
      <c r="C23" s="67"/>
      <c r="D23" s="67"/>
      <c r="E23" s="67"/>
      <c r="F23" s="67"/>
      <c r="G23" s="67"/>
      <c r="H23" s="67"/>
      <c r="I23" s="67"/>
      <c r="J23" s="67"/>
      <c r="K23" s="67"/>
      <c r="L23" s="67"/>
      <c r="M23" s="67"/>
      <c r="N23" s="685" t="s">
        <v>24</v>
      </c>
      <c r="O23" s="641">
        <v>2764.6728744500001</v>
      </c>
      <c r="P23" s="641">
        <v>2591.7975482355673</v>
      </c>
      <c r="Q23" s="642"/>
    </row>
    <row r="24" spans="1:18" ht="11.25" customHeight="1">
      <c r="A24" s="56"/>
      <c r="B24" s="56"/>
      <c r="C24" s="56"/>
      <c r="D24" s="56"/>
      <c r="E24" s="60"/>
      <c r="F24" s="68"/>
      <c r="G24" s="68"/>
      <c r="H24" s="68"/>
      <c r="I24" s="68"/>
      <c r="J24" s="68"/>
      <c r="K24" s="68"/>
      <c r="L24" s="68"/>
      <c r="M24" s="60"/>
      <c r="N24" s="686" t="s">
        <v>25</v>
      </c>
      <c r="O24" s="643">
        <v>971.89974104249984</v>
      </c>
      <c r="P24" s="643">
        <v>978.20122656254603</v>
      </c>
      <c r="Q24" s="641"/>
      <c r="R24" s="641"/>
    </row>
    <row r="25" spans="1:18" ht="11.25" customHeight="1">
      <c r="A25" s="56"/>
      <c r="B25" s="56"/>
      <c r="C25" s="56"/>
      <c r="D25" s="56"/>
      <c r="E25" s="56"/>
      <c r="F25" s="56"/>
      <c r="G25" s="56"/>
      <c r="H25" s="56"/>
      <c r="I25" s="56"/>
      <c r="J25" s="69"/>
      <c r="K25" s="69"/>
      <c r="L25" s="56"/>
      <c r="M25" s="56"/>
      <c r="N25" s="686" t="s">
        <v>26</v>
      </c>
      <c r="O25" s="643">
        <v>20.235010845000001</v>
      </c>
      <c r="P25" s="643">
        <v>80.772747453247092</v>
      </c>
      <c r="Q25" s="644"/>
    </row>
    <row r="26" spans="1:18" ht="11.25" customHeight="1">
      <c r="A26" s="56"/>
      <c r="B26" s="56"/>
      <c r="C26" s="56"/>
      <c r="D26" s="56"/>
      <c r="E26" s="56"/>
      <c r="F26" s="56"/>
      <c r="G26" s="56"/>
      <c r="H26" s="56"/>
      <c r="I26" s="56"/>
      <c r="J26" s="69"/>
      <c r="K26" s="69"/>
      <c r="L26" s="56"/>
      <c r="M26" s="56"/>
      <c r="N26" s="687" t="s">
        <v>27</v>
      </c>
      <c r="O26" s="641">
        <v>43.589716535000001</v>
      </c>
      <c r="P26" s="641">
        <v>117.98338915602703</v>
      </c>
      <c r="Q26" s="644"/>
    </row>
    <row r="27" spans="1:18" ht="11.25" customHeight="1">
      <c r="A27" s="56"/>
      <c r="B27" s="56"/>
      <c r="C27" s="56"/>
      <c r="D27" s="56"/>
      <c r="E27" s="56"/>
      <c r="F27" s="56"/>
      <c r="G27" s="56"/>
      <c r="H27" s="56"/>
      <c r="I27" s="56"/>
      <c r="J27" s="69"/>
      <c r="K27" s="56"/>
      <c r="L27" s="56"/>
      <c r="M27" s="56"/>
      <c r="N27" s="685" t="s">
        <v>28</v>
      </c>
      <c r="O27" s="641">
        <v>10.4942919425</v>
      </c>
      <c r="P27" s="641">
        <v>8.5823673511289993</v>
      </c>
      <c r="Q27" s="644"/>
    </row>
    <row r="28" spans="1:18" ht="11.25" customHeight="1">
      <c r="A28" s="56"/>
      <c r="B28" s="56"/>
      <c r="C28" s="69"/>
      <c r="D28" s="69"/>
      <c r="E28" s="69"/>
      <c r="F28" s="69"/>
      <c r="G28" s="69"/>
      <c r="H28" s="69"/>
      <c r="I28" s="69"/>
      <c r="J28" s="69"/>
      <c r="K28" s="69"/>
      <c r="L28" s="56"/>
      <c r="M28" s="56"/>
      <c r="N28" s="685" t="s">
        <v>29</v>
      </c>
      <c r="O28" s="641">
        <v>62.462496864999991</v>
      </c>
      <c r="P28" s="641">
        <v>56.178714554427003</v>
      </c>
      <c r="Q28" s="644"/>
    </row>
    <row r="29" spans="1:18" ht="11.25" customHeight="1">
      <c r="A29" s="56"/>
      <c r="B29" s="56"/>
      <c r="C29" s="69"/>
      <c r="D29" s="69"/>
      <c r="E29" s="69"/>
      <c r="F29" s="69"/>
      <c r="G29" s="69"/>
      <c r="H29" s="69"/>
      <c r="I29" s="69"/>
      <c r="J29" s="69"/>
      <c r="K29" s="69"/>
      <c r="L29" s="56"/>
      <c r="M29" s="56"/>
      <c r="N29" s="685" t="s">
        <v>30</v>
      </c>
      <c r="O29" s="641">
        <v>46.187362507500005</v>
      </c>
      <c r="P29" s="641">
        <v>18.18949984</v>
      </c>
      <c r="Q29" s="644"/>
    </row>
    <row r="30" spans="1:18" ht="11.25" customHeight="1">
      <c r="A30" s="56"/>
      <c r="B30" s="56"/>
      <c r="C30" s="69"/>
      <c r="D30" s="69"/>
      <c r="E30" s="69"/>
      <c r="F30" s="69"/>
      <c r="G30" s="69"/>
      <c r="H30" s="69"/>
      <c r="I30" s="69"/>
      <c r="J30" s="69"/>
      <c r="K30" s="69"/>
      <c r="L30" s="56"/>
      <c r="M30" s="56"/>
      <c r="N30" s="688"/>
      <c r="O30" s="645"/>
      <c r="P30" s="645"/>
      <c r="Q30" s="644"/>
    </row>
    <row r="31" spans="1:18" ht="11.25" customHeight="1">
      <c r="A31" s="56"/>
      <c r="B31" s="56"/>
      <c r="C31" s="69"/>
      <c r="D31" s="69"/>
      <c r="E31" s="69"/>
      <c r="F31" s="69"/>
      <c r="G31" s="69"/>
      <c r="H31" s="69"/>
      <c r="I31" s="69"/>
      <c r="J31" s="69"/>
      <c r="K31" s="69"/>
      <c r="L31" s="56"/>
      <c r="M31" s="56"/>
      <c r="O31" s="752"/>
      <c r="P31" s="752"/>
      <c r="Q31" s="753"/>
    </row>
    <row r="32" spans="1:18" ht="11.25" customHeight="1">
      <c r="A32" s="56"/>
      <c r="B32" s="56"/>
      <c r="C32" s="69"/>
      <c r="D32" s="69"/>
      <c r="E32" s="69"/>
      <c r="F32" s="69"/>
      <c r="G32" s="69"/>
      <c r="H32" s="69"/>
      <c r="I32" s="69"/>
      <c r="J32" s="69"/>
      <c r="K32" s="69"/>
      <c r="L32" s="56"/>
      <c r="M32" s="56"/>
      <c r="Q32" s="636"/>
    </row>
    <row r="33" spans="1:17" ht="11.25" customHeight="1">
      <c r="A33" s="56"/>
      <c r="B33" s="56"/>
      <c r="C33" s="69"/>
      <c r="D33" s="69"/>
      <c r="E33" s="69"/>
      <c r="F33" s="69"/>
      <c r="G33" s="69"/>
      <c r="H33" s="69"/>
      <c r="I33" s="69"/>
      <c r="J33" s="69"/>
      <c r="K33" s="69"/>
      <c r="L33" s="56"/>
      <c r="M33" s="56"/>
      <c r="Q33" s="636"/>
    </row>
    <row r="34" spans="1:17" ht="11.25" customHeight="1">
      <c r="A34" s="56"/>
      <c r="B34" s="56"/>
      <c r="C34" s="69"/>
      <c r="D34" s="69"/>
      <c r="E34" s="69"/>
      <c r="F34" s="69"/>
      <c r="G34" s="69"/>
      <c r="H34" s="69"/>
      <c r="I34" s="69"/>
      <c r="J34" s="69"/>
      <c r="K34" s="69"/>
      <c r="L34" s="56"/>
      <c r="M34" s="56"/>
      <c r="Q34" s="636"/>
    </row>
    <row r="35" spans="1:17" ht="11.25" customHeight="1">
      <c r="A35" s="70"/>
      <c r="B35" s="70"/>
      <c r="C35" s="71"/>
      <c r="D35" s="71"/>
      <c r="E35" s="71"/>
      <c r="F35" s="71"/>
      <c r="G35" s="71"/>
      <c r="H35" s="71"/>
      <c r="I35" s="71"/>
      <c r="J35" s="70"/>
      <c r="K35" s="70"/>
      <c r="L35" s="70"/>
      <c r="M35" s="70"/>
      <c r="Q35" s="636"/>
    </row>
    <row r="36" spans="1:17" ht="11.25" customHeight="1">
      <c r="A36" s="70"/>
      <c r="B36" s="70"/>
      <c r="C36" s="71"/>
      <c r="D36" s="71"/>
      <c r="E36" s="71"/>
      <c r="F36" s="71"/>
      <c r="G36" s="71"/>
      <c r="H36" s="71"/>
      <c r="I36" s="71"/>
      <c r="J36" s="70"/>
      <c r="K36" s="70"/>
      <c r="L36" s="70"/>
      <c r="M36" s="70"/>
      <c r="Q36" s="636"/>
    </row>
    <row r="37" spans="1:17" ht="11.25" customHeight="1">
      <c r="A37" s="70"/>
      <c r="B37" s="70"/>
      <c r="C37" s="71"/>
      <c r="D37" s="71"/>
      <c r="E37" s="71"/>
      <c r="F37" s="71"/>
      <c r="G37" s="71"/>
      <c r="H37" s="71"/>
      <c r="I37" s="71"/>
      <c r="J37" s="70"/>
      <c r="K37" s="70"/>
      <c r="L37" s="70"/>
      <c r="M37" s="70"/>
      <c r="N37" s="570"/>
      <c r="O37" s="636"/>
      <c r="P37" s="636"/>
      <c r="Q37" s="636"/>
    </row>
    <row r="38" spans="1:17" ht="11.25" customHeight="1">
      <c r="A38" s="70"/>
      <c r="B38" s="70"/>
      <c r="C38" s="71"/>
      <c r="D38" s="71"/>
      <c r="E38" s="71"/>
      <c r="F38" s="71"/>
      <c r="G38" s="71"/>
      <c r="H38" s="71"/>
      <c r="I38" s="71"/>
      <c r="J38" s="70"/>
      <c r="K38" s="70"/>
      <c r="L38" s="70"/>
      <c r="M38" s="70"/>
      <c r="N38" s="570"/>
      <c r="O38" s="636"/>
      <c r="P38" s="636"/>
      <c r="Q38" s="636"/>
    </row>
    <row r="39" spans="1:17" ht="11.25" customHeight="1">
      <c r="A39" s="70"/>
      <c r="B39" s="70"/>
      <c r="C39" s="71"/>
      <c r="D39" s="71"/>
      <c r="E39" s="71"/>
      <c r="F39" s="71"/>
      <c r="G39" s="71"/>
      <c r="H39" s="71"/>
      <c r="I39" s="71"/>
      <c r="J39" s="70"/>
      <c r="K39" s="70"/>
      <c r="L39" s="70"/>
      <c r="M39" s="70"/>
      <c r="N39" s="570"/>
      <c r="O39" s="636"/>
      <c r="P39" s="636"/>
      <c r="Q39" s="636"/>
    </row>
    <row r="40" spans="1:17" ht="11.25" customHeight="1">
      <c r="A40" s="70"/>
      <c r="B40" s="70"/>
      <c r="C40" s="71"/>
      <c r="D40" s="71"/>
      <c r="E40" s="71"/>
      <c r="F40" s="71"/>
      <c r="G40" s="71"/>
      <c r="H40" s="71"/>
      <c r="I40" s="71"/>
      <c r="J40" s="70"/>
      <c r="K40" s="70"/>
      <c r="L40" s="70"/>
      <c r="M40" s="70"/>
      <c r="N40" s="570"/>
      <c r="O40" s="636"/>
      <c r="P40" s="636"/>
      <c r="Q40" s="636"/>
    </row>
    <row r="41" spans="1:17" ht="11.25" customHeight="1">
      <c r="A41" s="70"/>
      <c r="B41" s="70"/>
      <c r="C41" s="70"/>
      <c r="D41" s="71"/>
      <c r="E41" s="71"/>
      <c r="F41" s="71"/>
      <c r="G41" s="71"/>
      <c r="H41" s="70"/>
      <c r="I41" s="70"/>
      <c r="J41" s="70"/>
      <c r="K41" s="70"/>
      <c r="L41" s="70"/>
      <c r="M41" s="70"/>
      <c r="N41" s="570"/>
      <c r="O41" s="636"/>
      <c r="P41" s="636"/>
      <c r="Q41" s="636"/>
    </row>
    <row r="42" spans="1:17" ht="11.25" customHeight="1">
      <c r="A42" s="70"/>
      <c r="B42" s="70"/>
      <c r="C42" s="71"/>
      <c r="D42" s="71"/>
      <c r="E42" s="71"/>
      <c r="F42" s="71"/>
      <c r="G42" s="71"/>
      <c r="H42" s="71"/>
      <c r="I42" s="71"/>
      <c r="J42" s="70"/>
      <c r="K42" s="70"/>
      <c r="L42" s="70"/>
      <c r="M42" s="70"/>
      <c r="N42" s="570"/>
      <c r="O42" s="636"/>
      <c r="P42" s="636"/>
      <c r="Q42" s="636"/>
    </row>
    <row r="43" spans="1:17" ht="11.25" customHeight="1">
      <c r="A43" s="70"/>
      <c r="B43" s="70"/>
      <c r="C43" s="71"/>
      <c r="D43" s="71"/>
      <c r="E43" s="71"/>
      <c r="F43" s="71"/>
      <c r="G43" s="71"/>
      <c r="H43" s="71"/>
      <c r="I43" s="71"/>
      <c r="J43" s="70"/>
      <c r="K43" s="70"/>
      <c r="L43" s="70"/>
      <c r="M43" s="70"/>
      <c r="N43" s="570"/>
      <c r="O43" s="636"/>
      <c r="P43" s="636"/>
      <c r="Q43" s="636"/>
    </row>
    <row r="44" spans="1:17" ht="11.25" customHeight="1">
      <c r="A44" s="70"/>
      <c r="B44" s="70"/>
      <c r="C44" s="71"/>
      <c r="D44" s="71"/>
      <c r="E44" s="71"/>
      <c r="F44" s="71"/>
      <c r="G44" s="71"/>
      <c r="H44" s="71"/>
      <c r="I44" s="71"/>
      <c r="J44" s="70"/>
      <c r="K44" s="70"/>
      <c r="L44" s="70"/>
      <c r="M44" s="70"/>
      <c r="N44" s="570"/>
      <c r="O44" s="636"/>
      <c r="P44" s="636"/>
      <c r="Q44" s="636"/>
    </row>
    <row r="45" spans="1:17" ht="11.25" customHeight="1">
      <c r="A45" s="70"/>
      <c r="B45" s="70"/>
      <c r="C45" s="71"/>
      <c r="D45" s="71"/>
      <c r="E45" s="71"/>
      <c r="F45" s="71"/>
      <c r="G45" s="71"/>
      <c r="H45" s="71"/>
      <c r="I45" s="71"/>
      <c r="J45" s="70"/>
      <c r="K45" s="70"/>
      <c r="L45" s="70"/>
      <c r="M45" s="70"/>
      <c r="N45" s="570"/>
      <c r="O45" s="636"/>
      <c r="P45" s="636"/>
      <c r="Q45" s="636"/>
    </row>
    <row r="46" spans="1:17" ht="11.25" customHeight="1">
      <c r="A46" s="70"/>
      <c r="B46" s="70"/>
      <c r="C46" s="70"/>
      <c r="D46" s="70"/>
      <c r="E46" s="70"/>
      <c r="F46" s="70"/>
      <c r="G46" s="70"/>
      <c r="H46" s="70"/>
      <c r="I46" s="70"/>
      <c r="J46" s="70"/>
      <c r="K46" s="70"/>
      <c r="L46" s="70"/>
      <c r="M46" s="70"/>
      <c r="N46" s="570"/>
      <c r="O46" s="636"/>
      <c r="P46" s="636"/>
      <c r="Q46" s="636"/>
    </row>
    <row r="47" spans="1:17" ht="16.5" customHeight="1">
      <c r="A47" s="70"/>
      <c r="B47" s="831" t="str">
        <f>"Total = "&amp;ROUND(SUM(O23:O29),2)&amp;" GWh"</f>
        <v>Total = 3919,54 GWh</v>
      </c>
      <c r="C47" s="831"/>
      <c r="D47" s="831"/>
      <c r="E47" s="831"/>
      <c r="F47" s="70"/>
      <c r="G47" s="70"/>
      <c r="H47" s="831" t="str">
        <f>"Total = "&amp;ROUND(SUM(P23:P29),2)&amp;" GWh"</f>
        <v>Total = 3851,71 GWh</v>
      </c>
      <c r="I47" s="831"/>
      <c r="J47" s="831"/>
      <c r="K47" s="831"/>
      <c r="L47" s="70"/>
      <c r="M47" s="70"/>
      <c r="N47" s="570"/>
      <c r="O47" s="636"/>
      <c r="P47" s="636"/>
      <c r="Q47" s="636"/>
    </row>
    <row r="48" spans="1:17" ht="11.25" customHeight="1">
      <c r="H48" s="70"/>
      <c r="I48" s="70"/>
      <c r="J48" s="70"/>
      <c r="K48" s="70"/>
      <c r="L48" s="70"/>
      <c r="M48" s="70"/>
      <c r="N48" s="570"/>
      <c r="O48" s="636"/>
      <c r="P48" s="636"/>
      <c r="Q48" s="636"/>
    </row>
    <row r="49" spans="1:17" ht="11.25" customHeight="1">
      <c r="B49" s="828" t="str">
        <f>"Gráfico 1: Comparación de producción mensual de electricidad en "&amp;Q4&amp;" por tipo de recurso energético"</f>
        <v>Gráfico 1: Comparación de producción mensual de electricidad en febrero por tipo de recurso energético</v>
      </c>
      <c r="C49" s="828"/>
      <c r="D49" s="828"/>
      <c r="E49" s="828"/>
      <c r="F49" s="828"/>
      <c r="G49" s="828"/>
      <c r="H49" s="828"/>
      <c r="I49" s="828"/>
      <c r="J49" s="828"/>
      <c r="K49" s="828"/>
      <c r="L49" s="828"/>
      <c r="M49" s="375"/>
      <c r="N49" s="573"/>
      <c r="O49" s="636"/>
      <c r="P49" s="636"/>
      <c r="Q49" s="636"/>
    </row>
    <row r="50" spans="1:17" ht="11.25" customHeight="1">
      <c r="A50" s="70"/>
      <c r="B50" s="70"/>
      <c r="C50" s="57"/>
      <c r="D50" s="57"/>
      <c r="E50" s="70"/>
      <c r="F50" s="70"/>
      <c r="G50" s="70"/>
      <c r="H50" s="70"/>
      <c r="I50" s="70"/>
      <c r="J50" s="70"/>
      <c r="K50" s="70"/>
      <c r="L50" s="70"/>
      <c r="M50" s="70"/>
      <c r="N50" s="570"/>
      <c r="O50" s="636"/>
      <c r="P50" s="636"/>
      <c r="Q50" s="636"/>
    </row>
    <row r="51" spans="1:17" ht="11.25" customHeight="1">
      <c r="A51" s="70"/>
      <c r="B51" s="70"/>
      <c r="C51" s="70"/>
      <c r="D51" s="70"/>
      <c r="E51" s="70"/>
      <c r="F51" s="70"/>
      <c r="G51" s="70"/>
      <c r="H51" s="70"/>
      <c r="I51" s="70"/>
      <c r="J51" s="70"/>
      <c r="K51" s="70"/>
      <c r="L51" s="70"/>
      <c r="M51" s="70"/>
      <c r="N51" s="570"/>
      <c r="O51" s="636"/>
      <c r="P51" s="636"/>
      <c r="Q51" s="636"/>
    </row>
    <row r="52" spans="1:17" ht="11.25" customHeight="1">
      <c r="A52" s="70"/>
      <c r="B52" s="70"/>
      <c r="C52" s="70"/>
      <c r="D52" s="70"/>
      <c r="E52" s="70"/>
      <c r="F52" s="70"/>
      <c r="G52" s="70"/>
      <c r="H52" s="70"/>
      <c r="I52" s="70"/>
      <c r="J52" s="70"/>
      <c r="K52" s="70"/>
      <c r="L52" s="70"/>
      <c r="M52" s="70"/>
      <c r="N52" s="570"/>
      <c r="O52" s="636"/>
      <c r="P52" s="636"/>
      <c r="Q52" s="636"/>
    </row>
    <row r="53" spans="1:17" ht="11.25" customHeight="1">
      <c r="A53" s="70"/>
      <c r="B53" s="70"/>
      <c r="C53" s="70"/>
      <c r="D53" s="70"/>
      <c r="E53" s="70"/>
      <c r="F53" s="70"/>
      <c r="G53" s="70"/>
      <c r="H53" s="70"/>
      <c r="I53" s="70"/>
      <c r="J53" s="70"/>
      <c r="K53" s="70"/>
      <c r="L53" s="70"/>
      <c r="M53" s="70"/>
      <c r="N53" s="570"/>
      <c r="O53" s="636"/>
      <c r="P53" s="636"/>
      <c r="Q53" s="636"/>
    </row>
    <row r="54" spans="1:17" ht="11.25" customHeight="1">
      <c r="A54" s="11"/>
      <c r="B54" s="72"/>
      <c r="C54" s="72"/>
      <c r="D54" s="72"/>
      <c r="E54" s="72"/>
      <c r="F54" s="72"/>
      <c r="G54" s="72"/>
      <c r="H54" s="72"/>
      <c r="I54" s="72"/>
      <c r="J54" s="72"/>
      <c r="K54" s="73"/>
      <c r="L54" s="74"/>
    </row>
    <row r="55" spans="1:17" ht="11.25" customHeight="1">
      <c r="A55" s="11"/>
      <c r="B55" s="72"/>
      <c r="C55" s="72"/>
      <c r="D55" s="72"/>
      <c r="E55" s="72"/>
      <c r="F55" s="72"/>
      <c r="G55" s="72"/>
      <c r="H55" s="72"/>
      <c r="I55" s="72"/>
      <c r="J55" s="72"/>
      <c r="K55" s="73"/>
      <c r="L55" s="74"/>
    </row>
    <row r="56" spans="1:17" ht="11.25" customHeight="1">
      <c r="A56" s="75"/>
      <c r="B56" s="75"/>
      <c r="C56" s="75"/>
      <c r="D56" s="75"/>
      <c r="E56" s="75"/>
      <c r="F56" s="75"/>
      <c r="G56" s="75"/>
      <c r="H56" s="75"/>
      <c r="I56" s="75"/>
      <c r="J56" s="75"/>
      <c r="K56" s="75"/>
      <c r="L56" s="75"/>
    </row>
    <row r="57" spans="1:17" ht="11.25" customHeight="1">
      <c r="A57" s="76"/>
      <c r="B57" s="76"/>
      <c r="C57" s="76"/>
      <c r="D57" s="76"/>
      <c r="E57" s="76"/>
      <c r="F57" s="76"/>
      <c r="G57" s="76"/>
      <c r="H57" s="76"/>
      <c r="I57" s="76"/>
      <c r="J57" s="76"/>
      <c r="K57" s="76"/>
      <c r="L57" s="76"/>
    </row>
    <row r="58" spans="1:17" ht="11.25" customHeight="1">
      <c r="A58" s="76"/>
      <c r="B58" s="76"/>
      <c r="C58" s="76"/>
      <c r="D58" s="76"/>
      <c r="E58" s="76"/>
      <c r="F58" s="76"/>
      <c r="G58" s="76"/>
      <c r="H58" s="76"/>
      <c r="I58" s="76"/>
      <c r="J58" s="76"/>
      <c r="K58" s="76"/>
      <c r="L58" s="76"/>
    </row>
    <row r="59" spans="1:17" ht="11.25" customHeight="1">
      <c r="A59" s="76"/>
      <c r="B59" s="76"/>
      <c r="C59" s="76"/>
      <c r="D59" s="76"/>
      <c r="E59" s="76"/>
      <c r="F59" s="76"/>
      <c r="G59" s="76"/>
      <c r="H59" s="76"/>
      <c r="I59" s="76"/>
      <c r="J59" s="76"/>
      <c r="K59" s="76"/>
      <c r="L59" s="76"/>
    </row>
    <row r="60" spans="1:17" ht="11.25" customHeight="1">
      <c r="A60" s="76"/>
      <c r="B60" s="76"/>
      <c r="C60" s="76"/>
      <c r="D60" s="76"/>
      <c r="E60" s="76"/>
      <c r="F60" s="76"/>
      <c r="G60" s="76"/>
      <c r="H60" s="76"/>
      <c r="I60" s="76"/>
      <c r="J60" s="76"/>
      <c r="K60" s="76"/>
      <c r="L60" s="76"/>
    </row>
    <row r="61" spans="1:17" ht="12">
      <c r="A61" s="76"/>
      <c r="B61" s="76"/>
      <c r="C61" s="76"/>
      <c r="D61" s="76"/>
      <c r="E61" s="76"/>
      <c r="F61" s="76"/>
      <c r="G61" s="76"/>
      <c r="H61" s="76"/>
      <c r="I61" s="76"/>
      <c r="J61" s="76"/>
      <c r="K61" s="76"/>
      <c r="L61" s="76"/>
    </row>
    <row r="62" spans="1:17" ht="12">
      <c r="A62" s="76"/>
      <c r="B62" s="76"/>
      <c r="C62" s="76"/>
      <c r="D62" s="76"/>
      <c r="E62" s="76"/>
      <c r="F62" s="76"/>
      <c r="G62" s="76"/>
      <c r="H62" s="76"/>
      <c r="I62" s="76"/>
      <c r="J62" s="76"/>
      <c r="K62" s="76"/>
      <c r="L62" s="76"/>
    </row>
    <row r="63" spans="1:17" ht="12">
      <c r="A63" s="76"/>
      <c r="B63" s="76"/>
      <c r="C63" s="76"/>
      <c r="D63" s="76"/>
      <c r="E63" s="76"/>
      <c r="F63" s="76"/>
      <c r="G63" s="76"/>
      <c r="H63" s="76"/>
      <c r="I63" s="76"/>
      <c r="J63" s="76"/>
      <c r="K63" s="76"/>
      <c r="L63" s="76"/>
    </row>
    <row r="64" spans="1:17" ht="12">
      <c r="A64" s="76"/>
      <c r="B64" s="76"/>
      <c r="C64" s="76"/>
      <c r="D64" s="76"/>
      <c r="E64" s="76"/>
      <c r="F64" s="76"/>
      <c r="G64" s="76"/>
      <c r="H64" s="76"/>
      <c r="I64" s="76"/>
      <c r="J64" s="76"/>
      <c r="K64" s="76"/>
      <c r="L64" s="76"/>
    </row>
    <row r="65" spans="1:12" ht="12">
      <c r="A65" s="76"/>
      <c r="B65" s="76"/>
      <c r="C65" s="76"/>
      <c r="D65" s="76"/>
      <c r="E65" s="76"/>
      <c r="F65" s="76"/>
      <c r="G65" s="76"/>
      <c r="H65" s="76"/>
      <c r="I65" s="76"/>
      <c r="J65" s="76"/>
      <c r="K65" s="76"/>
      <c r="L65" s="76"/>
    </row>
    <row r="66" spans="1:12" ht="12">
      <c r="A66" s="76"/>
      <c r="B66" s="76"/>
      <c r="C66" s="76"/>
      <c r="D66" s="76"/>
      <c r="E66" s="76"/>
      <c r="F66" s="76"/>
      <c r="G66" s="76"/>
      <c r="H66" s="76"/>
      <c r="I66" s="76"/>
      <c r="J66" s="76"/>
      <c r="K66" s="76"/>
      <c r="L66" s="76"/>
    </row>
    <row r="67" spans="1:12" ht="12">
      <c r="A67" s="76"/>
      <c r="B67" s="76"/>
      <c r="C67" s="76"/>
      <c r="D67" s="76"/>
      <c r="E67" s="76"/>
      <c r="F67" s="76"/>
      <c r="G67" s="76"/>
      <c r="H67" s="76"/>
      <c r="I67" s="76"/>
      <c r="J67" s="76"/>
      <c r="K67" s="76"/>
      <c r="L67" s="76"/>
    </row>
  </sheetData>
  <mergeCells count="11">
    <mergeCell ref="A1:M1"/>
    <mergeCell ref="B49:L49"/>
    <mergeCell ref="C20:D20"/>
    <mergeCell ref="H47:K47"/>
    <mergeCell ref="B47:E47"/>
    <mergeCell ref="I20:K20"/>
    <mergeCell ref="B18:M18"/>
    <mergeCell ref="B12:M12"/>
    <mergeCell ref="B14:M14"/>
    <mergeCell ref="B16:M16"/>
    <mergeCell ref="C3:J3"/>
  </mergeCells>
  <pageMargins left="0.5803571428571429" right="0.38690476190476192" top="0.83333333333333337" bottom="0.64950980392156865" header="0.3" footer="0.3"/>
  <pageSetup orientation="portrait" r:id="rId1"/>
  <headerFooter>
    <oddHeader>&amp;R&amp;7Informe de la Operación Mensual - Febrero 2018
INFSGI-MES-02-2018
08/03/2018
Versión: 01</oddHeader>
    <oddFooter>&amp;LCOES SINAC, 2018&amp;C1&amp;RDirección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J150"/>
  <sheetViews>
    <sheetView showGridLines="0" view="pageBreakPreview" zoomScale="160" zoomScaleNormal="100" zoomScaleSheetLayoutView="160" zoomScalePageLayoutView="145" workbookViewId="0">
      <selection activeCell="K12" sqref="K12"/>
    </sheetView>
  </sheetViews>
  <sheetFormatPr defaultRowHeight="9"/>
  <cols>
    <col min="1" max="1" width="16.1640625" style="544" customWidth="1"/>
    <col min="2" max="2" width="19.6640625" style="544" customWidth="1"/>
    <col min="3" max="3" width="12.1640625" style="544" bestFit="1" customWidth="1"/>
    <col min="4" max="4" width="47.1640625" style="544" customWidth="1"/>
    <col min="5" max="5" width="11.5" style="544" customWidth="1"/>
    <col min="6" max="6" width="10.5" style="544" customWidth="1"/>
    <col min="7" max="8" width="9.33203125" style="544" customWidth="1"/>
    <col min="9" max="10" width="9.33203125" style="544"/>
    <col min="11" max="16384" width="9.33203125" style="553"/>
  </cols>
  <sheetData>
    <row r="1" spans="1:9" s="544" customFormat="1" ht="30" customHeight="1">
      <c r="A1" s="555" t="s">
        <v>299</v>
      </c>
      <c r="B1" s="556" t="s">
        <v>502</v>
      </c>
      <c r="C1" s="555" t="s">
        <v>490</v>
      </c>
      <c r="D1" s="557" t="s">
        <v>503</v>
      </c>
      <c r="E1" s="558" t="s">
        <v>504</v>
      </c>
      <c r="F1" s="558" t="s">
        <v>505</v>
      </c>
      <c r="G1" s="510"/>
      <c r="H1" s="545"/>
      <c r="I1" s="508"/>
    </row>
    <row r="2" spans="1:9" s="544" customFormat="1" ht="73.5" customHeight="1">
      <c r="A2" s="560" t="s">
        <v>507</v>
      </c>
      <c r="B2" s="560" t="s">
        <v>508</v>
      </c>
      <c r="C2" s="561">
        <v>43141.884722222225</v>
      </c>
      <c r="D2" s="760" t="s">
        <v>607</v>
      </c>
      <c r="E2" s="562">
        <v>6.44</v>
      </c>
      <c r="F2" s="562"/>
      <c r="G2" s="509"/>
      <c r="H2" s="509"/>
      <c r="I2" s="550"/>
    </row>
    <row r="3" spans="1:9" s="544" customFormat="1" ht="75" customHeight="1">
      <c r="A3" s="560" t="s">
        <v>507</v>
      </c>
      <c r="B3" s="560" t="s">
        <v>508</v>
      </c>
      <c r="C3" s="561">
        <v>43143.522222222222</v>
      </c>
      <c r="D3" s="760" t="s">
        <v>608</v>
      </c>
      <c r="E3" s="562">
        <v>3.47</v>
      </c>
      <c r="F3" s="562"/>
      <c r="G3" s="509"/>
      <c r="H3" s="509"/>
      <c r="I3" s="548"/>
    </row>
    <row r="4" spans="1:9" s="544" customFormat="1" ht="85.5" customHeight="1">
      <c r="A4" s="560" t="s">
        <v>518</v>
      </c>
      <c r="B4" s="560" t="s">
        <v>587</v>
      </c>
      <c r="C4" s="561">
        <v>43143.674305555556</v>
      </c>
      <c r="D4" s="760" t="s">
        <v>609</v>
      </c>
      <c r="E4" s="562">
        <v>16.16</v>
      </c>
      <c r="F4" s="562"/>
      <c r="G4" s="509"/>
      <c r="H4" s="509"/>
      <c r="I4" s="548"/>
    </row>
    <row r="5" spans="1:9" s="544" customFormat="1" ht="87" customHeight="1">
      <c r="A5" s="560" t="s">
        <v>511</v>
      </c>
      <c r="B5" s="560" t="s">
        <v>512</v>
      </c>
      <c r="C5" s="561">
        <v>43143.675000000003</v>
      </c>
      <c r="D5" s="760" t="s">
        <v>610</v>
      </c>
      <c r="E5" s="562">
        <v>4.49</v>
      </c>
      <c r="F5" s="562"/>
      <c r="G5" s="509"/>
      <c r="H5" s="509"/>
      <c r="I5" s="548"/>
    </row>
    <row r="6" spans="1:9" s="544" customFormat="1" ht="69.75" customHeight="1">
      <c r="A6" s="560" t="s">
        <v>518</v>
      </c>
      <c r="B6" s="560" t="s">
        <v>611</v>
      </c>
      <c r="C6" s="561">
        <v>43143.791666666664</v>
      </c>
      <c r="D6" s="760" t="s">
        <v>612</v>
      </c>
      <c r="E6" s="562">
        <v>7.23</v>
      </c>
      <c r="F6" s="562"/>
      <c r="G6" s="509"/>
      <c r="H6" s="509"/>
      <c r="I6" s="548"/>
    </row>
    <row r="7" spans="1:9" s="544" customFormat="1" ht="93" customHeight="1">
      <c r="A7" s="560" t="s">
        <v>518</v>
      </c>
      <c r="B7" s="560" t="s">
        <v>587</v>
      </c>
      <c r="C7" s="561">
        <v>43144.657638888886</v>
      </c>
      <c r="D7" s="760" t="s">
        <v>613</v>
      </c>
      <c r="E7" s="562">
        <v>14.75</v>
      </c>
      <c r="F7" s="562"/>
      <c r="G7" s="509"/>
      <c r="H7" s="509"/>
      <c r="I7" s="548"/>
    </row>
    <row r="8" spans="1:9" s="544" customFormat="1" ht="71.25" customHeight="1">
      <c r="A8" s="560" t="s">
        <v>614</v>
      </c>
      <c r="B8" s="560" t="s">
        <v>615</v>
      </c>
      <c r="C8" s="561">
        <v>43146.64166666667</v>
      </c>
      <c r="D8" s="760" t="s">
        <v>616</v>
      </c>
      <c r="E8" s="562">
        <v>29.5</v>
      </c>
      <c r="F8" s="562"/>
      <c r="G8" s="509"/>
      <c r="H8" s="515"/>
      <c r="I8" s="548"/>
    </row>
    <row r="9" spans="1:9" s="544" customFormat="1" ht="144" customHeight="1">
      <c r="A9" s="560" t="s">
        <v>529</v>
      </c>
      <c r="B9" s="560" t="s">
        <v>617</v>
      </c>
      <c r="C9" s="561">
        <v>43146.750694444447</v>
      </c>
      <c r="D9" s="760" t="s">
        <v>618</v>
      </c>
      <c r="E9" s="562"/>
      <c r="F9" s="562">
        <v>18.600000000000001</v>
      </c>
      <c r="G9" s="509"/>
      <c r="H9" s="515"/>
      <c r="I9" s="548"/>
    </row>
    <row r="10" spans="1:9">
      <c r="E10" s="554"/>
      <c r="F10" s="554"/>
    </row>
    <row r="11" spans="1:9">
      <c r="E11" s="554"/>
      <c r="F11" s="554"/>
    </row>
    <row r="12" spans="1:9">
      <c r="E12" s="554"/>
      <c r="F12" s="554"/>
    </row>
    <row r="13" spans="1:9">
      <c r="E13" s="554"/>
      <c r="F13" s="554"/>
    </row>
    <row r="14" spans="1:9">
      <c r="E14" s="554"/>
      <c r="F14" s="554"/>
    </row>
    <row r="15" spans="1:9">
      <c r="E15" s="554"/>
      <c r="F15" s="554"/>
    </row>
    <row r="16" spans="1:9">
      <c r="E16" s="554"/>
      <c r="F16" s="554"/>
    </row>
    <row r="17" spans="5:6">
      <c r="E17" s="554"/>
      <c r="F17" s="554"/>
    </row>
    <row r="18" spans="5:6">
      <c r="E18" s="554"/>
      <c r="F18" s="554"/>
    </row>
    <row r="19" spans="5:6">
      <c r="E19" s="554"/>
      <c r="F19" s="554"/>
    </row>
    <row r="20" spans="5:6">
      <c r="E20" s="554"/>
      <c r="F20" s="554"/>
    </row>
    <row r="21" spans="5:6">
      <c r="E21" s="554"/>
      <c r="F21" s="554"/>
    </row>
    <row r="22" spans="5:6">
      <c r="E22" s="554"/>
      <c r="F22" s="554"/>
    </row>
    <row r="23" spans="5:6">
      <c r="E23" s="554"/>
      <c r="F23" s="554"/>
    </row>
    <row r="24" spans="5:6">
      <c r="E24" s="554"/>
      <c r="F24" s="554"/>
    </row>
    <row r="25" spans="5:6">
      <c r="E25" s="554"/>
      <c r="F25" s="554"/>
    </row>
    <row r="26" spans="5:6">
      <c r="E26" s="554"/>
      <c r="F26" s="554"/>
    </row>
    <row r="27" spans="5:6">
      <c r="E27" s="554"/>
      <c r="F27" s="554"/>
    </row>
    <row r="28" spans="5:6">
      <c r="E28" s="554"/>
      <c r="F28" s="554"/>
    </row>
    <row r="29" spans="5:6">
      <c r="E29" s="554"/>
      <c r="F29" s="554"/>
    </row>
    <row r="30" spans="5:6">
      <c r="E30" s="554"/>
      <c r="F30" s="554"/>
    </row>
    <row r="31" spans="5:6">
      <c r="E31" s="554"/>
      <c r="F31" s="554"/>
    </row>
    <row r="32" spans="5:6">
      <c r="E32" s="554"/>
      <c r="F32" s="554"/>
    </row>
    <row r="33" spans="5:6">
      <c r="E33" s="554"/>
      <c r="F33" s="554"/>
    </row>
    <row r="34" spans="5:6">
      <c r="E34" s="554"/>
      <c r="F34" s="554"/>
    </row>
    <row r="35" spans="5:6">
      <c r="E35" s="554"/>
      <c r="F35" s="554"/>
    </row>
    <row r="36" spans="5:6">
      <c r="E36" s="554"/>
      <c r="F36" s="554"/>
    </row>
    <row r="37" spans="5:6">
      <c r="E37" s="554"/>
      <c r="F37" s="554"/>
    </row>
    <row r="38" spans="5:6">
      <c r="E38" s="554"/>
      <c r="F38" s="554"/>
    </row>
    <row r="39" spans="5:6">
      <c r="E39" s="554"/>
      <c r="F39" s="554"/>
    </row>
    <row r="40" spans="5:6">
      <c r="E40" s="554"/>
      <c r="F40" s="554"/>
    </row>
    <row r="41" spans="5:6">
      <c r="E41" s="554"/>
      <c r="F41" s="554"/>
    </row>
    <row r="42" spans="5:6">
      <c r="E42" s="554"/>
      <c r="F42" s="554"/>
    </row>
    <row r="43" spans="5:6">
      <c r="E43" s="554"/>
      <c r="F43" s="554"/>
    </row>
    <row r="44" spans="5:6">
      <c r="E44" s="554"/>
      <c r="F44" s="554"/>
    </row>
    <row r="45" spans="5:6">
      <c r="E45" s="554"/>
      <c r="F45" s="554"/>
    </row>
    <row r="46" spans="5:6">
      <c r="E46" s="554"/>
      <c r="F46" s="554"/>
    </row>
    <row r="47" spans="5:6">
      <c r="E47" s="554"/>
      <c r="F47" s="554"/>
    </row>
    <row r="48" spans="5:6">
      <c r="E48" s="554"/>
      <c r="F48" s="554"/>
    </row>
    <row r="49" spans="5:6">
      <c r="E49" s="554"/>
      <c r="F49" s="554"/>
    </row>
    <row r="50" spans="5:6">
      <c r="E50" s="554"/>
      <c r="F50" s="554"/>
    </row>
    <row r="51" spans="5:6">
      <c r="E51" s="554"/>
      <c r="F51" s="554"/>
    </row>
    <row r="52" spans="5:6">
      <c r="E52" s="554"/>
      <c r="F52" s="554"/>
    </row>
    <row r="53" spans="5:6">
      <c r="E53" s="554"/>
      <c r="F53" s="554"/>
    </row>
    <row r="54" spans="5:6">
      <c r="E54" s="554"/>
      <c r="F54" s="554"/>
    </row>
    <row r="55" spans="5:6">
      <c r="E55" s="554"/>
      <c r="F55" s="554"/>
    </row>
    <row r="56" spans="5:6">
      <c r="E56" s="554"/>
      <c r="F56" s="554"/>
    </row>
    <row r="57" spans="5:6">
      <c r="E57" s="554"/>
      <c r="F57" s="554"/>
    </row>
    <row r="58" spans="5:6">
      <c r="E58" s="554"/>
      <c r="F58" s="554"/>
    </row>
    <row r="59" spans="5:6">
      <c r="E59" s="554"/>
      <c r="F59" s="554"/>
    </row>
    <row r="60" spans="5:6">
      <c r="E60" s="554"/>
      <c r="F60" s="554"/>
    </row>
    <row r="61" spans="5:6">
      <c r="E61" s="554"/>
      <c r="F61" s="554"/>
    </row>
    <row r="62" spans="5:6">
      <c r="E62" s="554"/>
      <c r="F62" s="554"/>
    </row>
    <row r="63" spans="5:6">
      <c r="E63" s="554"/>
      <c r="F63" s="554"/>
    </row>
    <row r="64" spans="5:6">
      <c r="E64" s="554"/>
      <c r="F64" s="554"/>
    </row>
    <row r="65" spans="5:6">
      <c r="E65" s="554"/>
      <c r="F65" s="554"/>
    </row>
    <row r="66" spans="5:6">
      <c r="E66" s="554"/>
      <c r="F66" s="554"/>
    </row>
    <row r="67" spans="5:6">
      <c r="E67" s="554"/>
      <c r="F67" s="554"/>
    </row>
    <row r="68" spans="5:6">
      <c r="E68" s="554"/>
      <c r="F68" s="554"/>
    </row>
    <row r="69" spans="5:6">
      <c r="E69" s="554"/>
      <c r="F69" s="554"/>
    </row>
    <row r="70" spans="5:6">
      <c r="E70" s="554"/>
      <c r="F70" s="554"/>
    </row>
    <row r="71" spans="5:6">
      <c r="E71" s="554"/>
      <c r="F71" s="554"/>
    </row>
    <row r="72" spans="5:6">
      <c r="E72" s="554"/>
      <c r="F72" s="554"/>
    </row>
    <row r="73" spans="5:6">
      <c r="E73" s="554"/>
      <c r="F73" s="554"/>
    </row>
    <row r="74" spans="5:6">
      <c r="E74" s="554"/>
      <c r="F74" s="554"/>
    </row>
    <row r="75" spans="5:6">
      <c r="E75" s="554"/>
      <c r="F75" s="554"/>
    </row>
    <row r="76" spans="5:6">
      <c r="E76" s="554"/>
      <c r="F76" s="554"/>
    </row>
    <row r="77" spans="5:6">
      <c r="E77" s="554"/>
      <c r="F77" s="554"/>
    </row>
    <row r="78" spans="5:6">
      <c r="E78" s="554"/>
      <c r="F78" s="554"/>
    </row>
    <row r="79" spans="5:6">
      <c r="E79" s="554"/>
      <c r="F79" s="554"/>
    </row>
    <row r="80" spans="5:6">
      <c r="E80" s="554"/>
      <c r="F80" s="554"/>
    </row>
    <row r="81" spans="5:6">
      <c r="E81" s="554"/>
      <c r="F81" s="554"/>
    </row>
    <row r="82" spans="5:6">
      <c r="E82" s="554"/>
      <c r="F82" s="554"/>
    </row>
    <row r="83" spans="5:6">
      <c r="E83" s="554"/>
      <c r="F83" s="554"/>
    </row>
    <row r="84" spans="5:6">
      <c r="E84" s="554"/>
      <c r="F84" s="554"/>
    </row>
    <row r="85" spans="5:6">
      <c r="E85" s="554"/>
      <c r="F85" s="554"/>
    </row>
    <row r="86" spans="5:6">
      <c r="E86" s="554"/>
      <c r="F86" s="554"/>
    </row>
    <row r="87" spans="5:6">
      <c r="E87" s="554"/>
      <c r="F87" s="554"/>
    </row>
    <row r="88" spans="5:6">
      <c r="E88" s="554"/>
      <c r="F88" s="554"/>
    </row>
    <row r="89" spans="5:6">
      <c r="E89" s="554"/>
      <c r="F89" s="554"/>
    </row>
    <row r="90" spans="5:6">
      <c r="E90" s="554"/>
      <c r="F90" s="554"/>
    </row>
    <row r="91" spans="5:6">
      <c r="E91" s="554"/>
      <c r="F91" s="554"/>
    </row>
    <row r="92" spans="5:6">
      <c r="E92" s="554"/>
      <c r="F92" s="554"/>
    </row>
    <row r="93" spans="5:6">
      <c r="E93" s="554"/>
      <c r="F93" s="554"/>
    </row>
    <row r="94" spans="5:6">
      <c r="E94" s="554"/>
      <c r="F94" s="554"/>
    </row>
    <row r="95" spans="5:6">
      <c r="E95" s="554"/>
      <c r="F95" s="554"/>
    </row>
    <row r="96" spans="5:6">
      <c r="E96" s="554"/>
      <c r="F96" s="554"/>
    </row>
    <row r="97" spans="5:6">
      <c r="E97" s="554"/>
      <c r="F97" s="554"/>
    </row>
    <row r="98" spans="5:6">
      <c r="E98" s="554"/>
      <c r="F98" s="554"/>
    </row>
    <row r="99" spans="5:6">
      <c r="E99" s="554"/>
      <c r="F99" s="554"/>
    </row>
    <row r="100" spans="5:6">
      <c r="E100" s="554"/>
      <c r="F100" s="554"/>
    </row>
    <row r="101" spans="5:6">
      <c r="E101" s="554"/>
      <c r="F101" s="554"/>
    </row>
    <row r="102" spans="5:6">
      <c r="E102" s="554"/>
      <c r="F102" s="554"/>
    </row>
    <row r="103" spans="5:6">
      <c r="E103" s="554"/>
      <c r="F103" s="554"/>
    </row>
    <row r="104" spans="5:6">
      <c r="E104" s="554"/>
      <c r="F104" s="554"/>
    </row>
    <row r="105" spans="5:6">
      <c r="E105" s="554"/>
      <c r="F105" s="554"/>
    </row>
    <row r="106" spans="5:6">
      <c r="E106" s="554"/>
      <c r="F106" s="554"/>
    </row>
    <row r="107" spans="5:6">
      <c r="E107" s="554"/>
      <c r="F107" s="554"/>
    </row>
    <row r="108" spans="5:6">
      <c r="E108" s="554"/>
      <c r="F108" s="554"/>
    </row>
    <row r="109" spans="5:6">
      <c r="E109" s="554"/>
      <c r="F109" s="554"/>
    </row>
    <row r="110" spans="5:6">
      <c r="E110" s="554"/>
      <c r="F110" s="554"/>
    </row>
    <row r="111" spans="5:6">
      <c r="E111" s="554"/>
      <c r="F111" s="554"/>
    </row>
    <row r="112" spans="5:6">
      <c r="E112" s="554"/>
      <c r="F112" s="554"/>
    </row>
    <row r="113" spans="5:6">
      <c r="E113" s="554"/>
      <c r="F113" s="554"/>
    </row>
    <row r="114" spans="5:6">
      <c r="E114" s="554"/>
      <c r="F114" s="554"/>
    </row>
    <row r="115" spans="5:6">
      <c r="E115" s="554"/>
      <c r="F115" s="554"/>
    </row>
    <row r="116" spans="5:6">
      <c r="E116" s="554"/>
      <c r="F116" s="554"/>
    </row>
    <row r="117" spans="5:6">
      <c r="E117" s="554"/>
      <c r="F117" s="554"/>
    </row>
    <row r="118" spans="5:6">
      <c r="E118" s="554"/>
      <c r="F118" s="554"/>
    </row>
    <row r="119" spans="5:6">
      <c r="E119" s="554"/>
      <c r="F119" s="554"/>
    </row>
    <row r="120" spans="5:6">
      <c r="E120" s="554"/>
      <c r="F120" s="554"/>
    </row>
    <row r="121" spans="5:6">
      <c r="E121" s="554"/>
      <c r="F121" s="554"/>
    </row>
    <row r="122" spans="5:6">
      <c r="E122" s="554"/>
      <c r="F122" s="554"/>
    </row>
    <row r="123" spans="5:6">
      <c r="E123" s="554"/>
      <c r="F123" s="554"/>
    </row>
    <row r="124" spans="5:6">
      <c r="E124" s="554"/>
      <c r="F124" s="554"/>
    </row>
    <row r="125" spans="5:6">
      <c r="E125" s="554"/>
      <c r="F125" s="554"/>
    </row>
    <row r="126" spans="5:6">
      <c r="E126" s="554"/>
      <c r="F126" s="554"/>
    </row>
    <row r="127" spans="5:6">
      <c r="E127" s="554"/>
      <c r="F127" s="554"/>
    </row>
    <row r="128" spans="5:6">
      <c r="E128" s="554"/>
      <c r="F128" s="554"/>
    </row>
    <row r="129" spans="5:6">
      <c r="E129" s="554"/>
      <c r="F129" s="554"/>
    </row>
    <row r="130" spans="5:6">
      <c r="E130" s="554"/>
      <c r="F130" s="554"/>
    </row>
    <row r="131" spans="5:6">
      <c r="E131" s="554"/>
      <c r="F131" s="554"/>
    </row>
    <row r="132" spans="5:6">
      <c r="E132" s="554"/>
      <c r="F132" s="554"/>
    </row>
    <row r="133" spans="5:6">
      <c r="E133" s="554"/>
      <c r="F133" s="554"/>
    </row>
    <row r="134" spans="5:6">
      <c r="E134" s="554"/>
      <c r="F134" s="554"/>
    </row>
    <row r="135" spans="5:6">
      <c r="E135" s="554"/>
      <c r="F135" s="554"/>
    </row>
    <row r="136" spans="5:6">
      <c r="E136" s="554"/>
      <c r="F136" s="554"/>
    </row>
    <row r="137" spans="5:6">
      <c r="E137" s="554"/>
      <c r="F137" s="554"/>
    </row>
    <row r="138" spans="5:6">
      <c r="E138" s="554"/>
      <c r="F138" s="554"/>
    </row>
    <row r="139" spans="5:6">
      <c r="E139" s="554"/>
      <c r="F139" s="554"/>
    </row>
    <row r="140" spans="5:6">
      <c r="E140" s="554"/>
      <c r="F140" s="554"/>
    </row>
    <row r="141" spans="5:6">
      <c r="E141" s="554"/>
      <c r="F141" s="554"/>
    </row>
    <row r="142" spans="5:6">
      <c r="E142" s="554"/>
      <c r="F142" s="554"/>
    </row>
    <row r="143" spans="5:6">
      <c r="E143" s="554"/>
      <c r="F143" s="554"/>
    </row>
    <row r="144" spans="5:6">
      <c r="E144" s="554"/>
      <c r="F144" s="554"/>
    </row>
    <row r="145" spans="5:6">
      <c r="E145" s="554"/>
      <c r="F145" s="554"/>
    </row>
    <row r="146" spans="5:6">
      <c r="E146" s="554"/>
      <c r="F146" s="554"/>
    </row>
    <row r="147" spans="5:6">
      <c r="E147" s="554"/>
      <c r="F147" s="554"/>
    </row>
    <row r="148" spans="5:6">
      <c r="E148" s="554"/>
      <c r="F148" s="554"/>
    </row>
    <row r="149" spans="5:6">
      <c r="E149" s="554"/>
      <c r="F149" s="554"/>
    </row>
    <row r="150" spans="5:6">
      <c r="E150" s="554"/>
      <c r="F150" s="554"/>
    </row>
  </sheetData>
  <pageMargins left="0.7" right="0.51432291666666663" top="0.86956521739130432" bottom="0.61458333333333337" header="0.3" footer="0.3"/>
  <pageSetup orientation="portrait" r:id="rId1"/>
  <headerFooter>
    <oddHeader>&amp;R&amp;7Informe de la Operación Mensual - Febrero 2018
INFSGI-MES-02-2018
08/03/2018
Versión: 01</oddHeader>
    <oddFooter>&amp;L&amp;7COES SINAC, 2018
&amp;C28&amp;R&amp;7Dirección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sheetPr>
    <tabColor theme="4"/>
  </sheetPr>
  <dimension ref="A1:J152"/>
  <sheetViews>
    <sheetView showGridLines="0" view="pageBreakPreview" zoomScale="130" zoomScaleNormal="100" zoomScaleSheetLayoutView="130" zoomScalePageLayoutView="130" workbookViewId="0">
      <selection activeCell="K12" sqref="K12"/>
    </sheetView>
  </sheetViews>
  <sheetFormatPr defaultRowHeight="9"/>
  <cols>
    <col min="1" max="1" width="16.1640625" style="544" customWidth="1"/>
    <col min="2" max="2" width="19.6640625" style="544" customWidth="1"/>
    <col min="3" max="3" width="12.1640625" style="544" bestFit="1" customWidth="1"/>
    <col min="4" max="4" width="47.1640625" style="544" customWidth="1"/>
    <col min="5" max="5" width="11.5" style="544" customWidth="1"/>
    <col min="6" max="6" width="10.5" style="544" customWidth="1"/>
    <col min="7" max="8" width="9.33203125" style="544" customWidth="1"/>
    <col min="9" max="10" width="9.33203125" style="544"/>
    <col min="11" max="16384" width="9.33203125" style="553"/>
  </cols>
  <sheetData>
    <row r="1" spans="1:9" s="544" customFormat="1" ht="30" customHeight="1">
      <c r="A1" s="555" t="s">
        <v>299</v>
      </c>
      <c r="B1" s="556" t="s">
        <v>502</v>
      </c>
      <c r="C1" s="555" t="s">
        <v>490</v>
      </c>
      <c r="D1" s="557" t="s">
        <v>503</v>
      </c>
      <c r="E1" s="558" t="s">
        <v>504</v>
      </c>
      <c r="F1" s="558" t="s">
        <v>505</v>
      </c>
      <c r="G1" s="510"/>
      <c r="H1" s="545"/>
      <c r="I1" s="508"/>
    </row>
    <row r="2" spans="1:9" s="544" customFormat="1" ht="84" customHeight="1">
      <c r="A2" s="560" t="s">
        <v>619</v>
      </c>
      <c r="B2" s="560" t="s">
        <v>620</v>
      </c>
      <c r="C2" s="561">
        <v>43146.679861111108</v>
      </c>
      <c r="D2" s="760" t="s">
        <v>621</v>
      </c>
      <c r="E2" s="562">
        <v>4.29</v>
      </c>
      <c r="F2" s="562"/>
      <c r="G2" s="509"/>
      <c r="H2" s="515"/>
      <c r="I2" s="548"/>
    </row>
    <row r="3" spans="1:9" s="544" customFormat="1" ht="84" customHeight="1">
      <c r="A3" s="560" t="s">
        <v>619</v>
      </c>
      <c r="B3" s="560" t="s">
        <v>620</v>
      </c>
      <c r="C3" s="561">
        <v>43146.979166666664</v>
      </c>
      <c r="D3" s="760" t="s">
        <v>622</v>
      </c>
      <c r="E3" s="562">
        <v>4.04</v>
      </c>
      <c r="F3" s="562"/>
      <c r="G3" s="509"/>
      <c r="H3" s="515"/>
      <c r="I3" s="548"/>
    </row>
    <row r="4" spans="1:9" s="544" customFormat="1" ht="83.25" customHeight="1">
      <c r="A4" s="560" t="s">
        <v>619</v>
      </c>
      <c r="B4" s="560" t="s">
        <v>620</v>
      </c>
      <c r="C4" s="561">
        <v>43146.986805555556</v>
      </c>
      <c r="D4" s="760" t="s">
        <v>623</v>
      </c>
      <c r="E4" s="562">
        <v>4.04</v>
      </c>
      <c r="F4" s="562"/>
      <c r="G4" s="509"/>
      <c r="H4" s="515"/>
      <c r="I4" s="548"/>
    </row>
    <row r="5" spans="1:9" s="544" customFormat="1" ht="85.5" customHeight="1">
      <c r="A5" s="560" t="s">
        <v>619</v>
      </c>
      <c r="B5" s="560" t="s">
        <v>620</v>
      </c>
      <c r="C5" s="561">
        <v>43147.428472222222</v>
      </c>
      <c r="D5" s="760" t="s">
        <v>624</v>
      </c>
      <c r="E5" s="562">
        <v>1.7</v>
      </c>
      <c r="F5" s="562"/>
      <c r="G5" s="509"/>
      <c r="H5" s="515"/>
      <c r="I5" s="548"/>
    </row>
    <row r="6" spans="1:9" s="544" customFormat="1" ht="75.75" customHeight="1">
      <c r="A6" s="560" t="s">
        <v>520</v>
      </c>
      <c r="B6" s="560" t="s">
        <v>625</v>
      </c>
      <c r="C6" s="561">
        <v>43147.811111111114</v>
      </c>
      <c r="D6" s="760" t="s">
        <v>626</v>
      </c>
      <c r="E6" s="562">
        <v>20.02</v>
      </c>
      <c r="F6" s="562"/>
      <c r="G6" s="509"/>
      <c r="H6" s="515"/>
      <c r="I6" s="548"/>
    </row>
    <row r="7" spans="1:9" s="544" customFormat="1" ht="67.5" customHeight="1">
      <c r="A7" s="560" t="s">
        <v>99</v>
      </c>
      <c r="B7" s="560" t="s">
        <v>627</v>
      </c>
      <c r="C7" s="561">
        <v>43148.506944444445</v>
      </c>
      <c r="D7" s="760" t="s">
        <v>628</v>
      </c>
      <c r="E7" s="562">
        <v>0.04</v>
      </c>
      <c r="F7" s="562"/>
      <c r="G7" s="509"/>
      <c r="H7" s="515"/>
      <c r="I7" s="551"/>
    </row>
    <row r="8" spans="1:9" s="544" customFormat="1" ht="64.5" customHeight="1">
      <c r="A8" s="560" t="s">
        <v>99</v>
      </c>
      <c r="B8" s="560" t="s">
        <v>627</v>
      </c>
      <c r="C8" s="561">
        <v>43148.720138888886</v>
      </c>
      <c r="D8" s="760" t="s">
        <v>629</v>
      </c>
      <c r="E8" s="562">
        <v>0.04</v>
      </c>
      <c r="F8" s="562"/>
      <c r="G8" s="509"/>
      <c r="H8" s="515"/>
      <c r="I8" s="548"/>
    </row>
    <row r="9" spans="1:9" s="544" customFormat="1" ht="83.25" customHeight="1">
      <c r="A9" s="560" t="s">
        <v>506</v>
      </c>
      <c r="B9" s="560" t="s">
        <v>630</v>
      </c>
      <c r="C9" s="561">
        <v>43148.712500000001</v>
      </c>
      <c r="D9" s="760" t="s">
        <v>631</v>
      </c>
      <c r="E9" s="562"/>
      <c r="F9" s="562">
        <v>35.5</v>
      </c>
      <c r="G9" s="509"/>
      <c r="H9" s="515"/>
      <c r="I9" s="548"/>
    </row>
    <row r="10" spans="1:9" s="544" customFormat="1" ht="77.25" customHeight="1">
      <c r="A10" s="560" t="s">
        <v>518</v>
      </c>
      <c r="B10" s="560" t="s">
        <v>632</v>
      </c>
      <c r="C10" s="561">
        <v>43149.622916666667</v>
      </c>
      <c r="D10" s="760" t="s">
        <v>633</v>
      </c>
      <c r="E10" s="562">
        <v>0.64</v>
      </c>
      <c r="F10" s="562"/>
      <c r="G10" s="509"/>
      <c r="H10" s="515"/>
      <c r="I10" s="548"/>
    </row>
    <row r="11" spans="1:9">
      <c r="E11" s="554"/>
      <c r="F11" s="554"/>
    </row>
    <row r="12" spans="1:9">
      <c r="E12" s="554"/>
      <c r="F12" s="554"/>
    </row>
    <row r="13" spans="1:9">
      <c r="E13" s="554"/>
      <c r="F13" s="554"/>
    </row>
    <row r="14" spans="1:9">
      <c r="E14" s="554"/>
      <c r="F14" s="554"/>
    </row>
    <row r="15" spans="1:9">
      <c r="E15" s="554"/>
      <c r="F15" s="554"/>
    </row>
    <row r="16" spans="1:9">
      <c r="E16" s="554"/>
      <c r="F16" s="554"/>
    </row>
    <row r="17" spans="5:6">
      <c r="E17" s="554"/>
      <c r="F17" s="554"/>
    </row>
    <row r="18" spans="5:6">
      <c r="E18" s="554"/>
      <c r="F18" s="554"/>
    </row>
    <row r="19" spans="5:6">
      <c r="E19" s="554"/>
      <c r="F19" s="554"/>
    </row>
    <row r="20" spans="5:6">
      <c r="E20" s="554"/>
      <c r="F20" s="554"/>
    </row>
    <row r="21" spans="5:6">
      <c r="E21" s="554"/>
      <c r="F21" s="554"/>
    </row>
    <row r="22" spans="5:6">
      <c r="E22" s="554"/>
      <c r="F22" s="554"/>
    </row>
    <row r="23" spans="5:6">
      <c r="E23" s="554"/>
      <c r="F23" s="554"/>
    </row>
    <row r="24" spans="5:6">
      <c r="E24" s="554"/>
      <c r="F24" s="554"/>
    </row>
    <row r="25" spans="5:6">
      <c r="E25" s="554"/>
      <c r="F25" s="554"/>
    </row>
    <row r="26" spans="5:6">
      <c r="E26" s="554"/>
      <c r="F26" s="554"/>
    </row>
    <row r="27" spans="5:6">
      <c r="E27" s="554"/>
      <c r="F27" s="554"/>
    </row>
    <row r="28" spans="5:6">
      <c r="E28" s="554"/>
      <c r="F28" s="554"/>
    </row>
    <row r="29" spans="5:6">
      <c r="E29" s="554"/>
      <c r="F29" s="554"/>
    </row>
    <row r="30" spans="5:6">
      <c r="E30" s="554"/>
      <c r="F30" s="554"/>
    </row>
    <row r="31" spans="5:6">
      <c r="E31" s="554"/>
      <c r="F31" s="554"/>
    </row>
    <row r="32" spans="5:6">
      <c r="E32" s="554"/>
      <c r="F32" s="554"/>
    </row>
    <row r="33" spans="5:6">
      <c r="E33" s="554"/>
      <c r="F33" s="554"/>
    </row>
    <row r="34" spans="5:6">
      <c r="E34" s="554"/>
      <c r="F34" s="554"/>
    </row>
    <row r="35" spans="5:6">
      <c r="E35" s="554"/>
      <c r="F35" s="554"/>
    </row>
    <row r="36" spans="5:6">
      <c r="E36" s="554"/>
      <c r="F36" s="554"/>
    </row>
    <row r="37" spans="5:6">
      <c r="E37" s="554"/>
      <c r="F37" s="554"/>
    </row>
    <row r="38" spans="5:6">
      <c r="E38" s="554"/>
      <c r="F38" s="554"/>
    </row>
    <row r="39" spans="5:6">
      <c r="E39" s="554"/>
      <c r="F39" s="554"/>
    </row>
    <row r="40" spans="5:6">
      <c r="E40" s="554"/>
      <c r="F40" s="554"/>
    </row>
    <row r="41" spans="5:6">
      <c r="E41" s="554"/>
      <c r="F41" s="554"/>
    </row>
    <row r="42" spans="5:6">
      <c r="E42" s="554"/>
      <c r="F42" s="554"/>
    </row>
    <row r="43" spans="5:6">
      <c r="E43" s="554"/>
      <c r="F43" s="554"/>
    </row>
    <row r="44" spans="5:6">
      <c r="E44" s="554"/>
      <c r="F44" s="554"/>
    </row>
    <row r="45" spans="5:6">
      <c r="E45" s="554"/>
      <c r="F45" s="554"/>
    </row>
    <row r="46" spans="5:6">
      <c r="E46" s="554"/>
      <c r="F46" s="554"/>
    </row>
    <row r="47" spans="5:6">
      <c r="E47" s="554"/>
      <c r="F47" s="554"/>
    </row>
    <row r="48" spans="5:6">
      <c r="E48" s="554"/>
      <c r="F48" s="554"/>
    </row>
    <row r="49" spans="5:6">
      <c r="E49" s="554"/>
      <c r="F49" s="554"/>
    </row>
    <row r="50" spans="5:6">
      <c r="E50" s="554"/>
      <c r="F50" s="554"/>
    </row>
    <row r="51" spans="5:6">
      <c r="E51" s="554"/>
      <c r="F51" s="554"/>
    </row>
    <row r="52" spans="5:6">
      <c r="E52" s="554"/>
      <c r="F52" s="554"/>
    </row>
    <row r="53" spans="5:6">
      <c r="E53" s="554"/>
      <c r="F53" s="554"/>
    </row>
    <row r="54" spans="5:6">
      <c r="E54" s="554"/>
      <c r="F54" s="554"/>
    </row>
    <row r="55" spans="5:6">
      <c r="E55" s="554"/>
      <c r="F55" s="554"/>
    </row>
    <row r="56" spans="5:6">
      <c r="E56" s="554"/>
      <c r="F56" s="554"/>
    </row>
    <row r="57" spans="5:6">
      <c r="E57" s="554"/>
      <c r="F57" s="554"/>
    </row>
    <row r="58" spans="5:6">
      <c r="E58" s="554"/>
      <c r="F58" s="554"/>
    </row>
    <row r="59" spans="5:6">
      <c r="E59" s="554"/>
      <c r="F59" s="554"/>
    </row>
    <row r="60" spans="5:6">
      <c r="E60" s="554"/>
      <c r="F60" s="554"/>
    </row>
    <row r="61" spans="5:6">
      <c r="E61" s="554"/>
      <c r="F61" s="554"/>
    </row>
    <row r="62" spans="5:6">
      <c r="E62" s="554"/>
      <c r="F62" s="554"/>
    </row>
    <row r="63" spans="5:6">
      <c r="E63" s="554"/>
      <c r="F63" s="554"/>
    </row>
    <row r="64" spans="5:6">
      <c r="E64" s="554"/>
      <c r="F64" s="554"/>
    </row>
    <row r="65" spans="5:6">
      <c r="E65" s="554"/>
      <c r="F65" s="554"/>
    </row>
    <row r="66" spans="5:6">
      <c r="E66" s="554"/>
      <c r="F66" s="554"/>
    </row>
    <row r="67" spans="5:6">
      <c r="E67" s="554"/>
      <c r="F67" s="554"/>
    </row>
    <row r="68" spans="5:6">
      <c r="E68" s="554"/>
      <c r="F68" s="554"/>
    </row>
    <row r="69" spans="5:6">
      <c r="E69" s="554"/>
      <c r="F69" s="554"/>
    </row>
    <row r="70" spans="5:6">
      <c r="E70" s="554"/>
      <c r="F70" s="554"/>
    </row>
    <row r="71" spans="5:6">
      <c r="E71" s="554"/>
      <c r="F71" s="554"/>
    </row>
    <row r="72" spans="5:6">
      <c r="E72" s="554"/>
      <c r="F72" s="554"/>
    </row>
    <row r="73" spans="5:6">
      <c r="E73" s="554"/>
      <c r="F73" s="554"/>
    </row>
    <row r="74" spans="5:6">
      <c r="E74" s="554"/>
      <c r="F74" s="554"/>
    </row>
    <row r="75" spans="5:6">
      <c r="E75" s="554"/>
      <c r="F75" s="554"/>
    </row>
    <row r="76" spans="5:6">
      <c r="E76" s="554"/>
      <c r="F76" s="554"/>
    </row>
    <row r="77" spans="5:6">
      <c r="E77" s="554"/>
      <c r="F77" s="554"/>
    </row>
    <row r="78" spans="5:6">
      <c r="E78" s="554"/>
      <c r="F78" s="554"/>
    </row>
    <row r="79" spans="5:6">
      <c r="E79" s="554"/>
      <c r="F79" s="554"/>
    </row>
    <row r="80" spans="5:6">
      <c r="E80" s="554"/>
      <c r="F80" s="554"/>
    </row>
    <row r="81" spans="5:6">
      <c r="E81" s="554"/>
      <c r="F81" s="554"/>
    </row>
    <row r="82" spans="5:6">
      <c r="E82" s="554"/>
      <c r="F82" s="554"/>
    </row>
    <row r="83" spans="5:6">
      <c r="E83" s="554"/>
      <c r="F83" s="554"/>
    </row>
    <row r="84" spans="5:6">
      <c r="E84" s="554"/>
      <c r="F84" s="554"/>
    </row>
    <row r="85" spans="5:6">
      <c r="E85" s="554"/>
      <c r="F85" s="554"/>
    </row>
    <row r="86" spans="5:6">
      <c r="E86" s="554"/>
      <c r="F86" s="554"/>
    </row>
    <row r="87" spans="5:6">
      <c r="E87" s="554"/>
      <c r="F87" s="554"/>
    </row>
    <row r="88" spans="5:6">
      <c r="E88" s="554"/>
      <c r="F88" s="554"/>
    </row>
    <row r="89" spans="5:6">
      <c r="E89" s="554"/>
      <c r="F89" s="554"/>
    </row>
    <row r="90" spans="5:6">
      <c r="E90" s="554"/>
      <c r="F90" s="554"/>
    </row>
    <row r="91" spans="5:6">
      <c r="E91" s="554"/>
      <c r="F91" s="554"/>
    </row>
    <row r="92" spans="5:6">
      <c r="E92" s="554"/>
      <c r="F92" s="554"/>
    </row>
    <row r="93" spans="5:6">
      <c r="E93" s="554"/>
      <c r="F93" s="554"/>
    </row>
    <row r="94" spans="5:6">
      <c r="E94" s="554"/>
      <c r="F94" s="554"/>
    </row>
    <row r="95" spans="5:6">
      <c r="E95" s="554"/>
      <c r="F95" s="554"/>
    </row>
    <row r="96" spans="5:6">
      <c r="E96" s="554"/>
      <c r="F96" s="554"/>
    </row>
    <row r="97" spans="5:6">
      <c r="E97" s="554"/>
      <c r="F97" s="554"/>
    </row>
    <row r="98" spans="5:6">
      <c r="E98" s="554"/>
      <c r="F98" s="554"/>
    </row>
    <row r="99" spans="5:6">
      <c r="E99" s="554"/>
      <c r="F99" s="554"/>
    </row>
    <row r="100" spans="5:6">
      <c r="E100" s="554"/>
      <c r="F100" s="554"/>
    </row>
    <row r="101" spans="5:6">
      <c r="E101" s="554"/>
      <c r="F101" s="554"/>
    </row>
    <row r="102" spans="5:6">
      <c r="E102" s="554"/>
      <c r="F102" s="554"/>
    </row>
    <row r="103" spans="5:6">
      <c r="E103" s="554"/>
      <c r="F103" s="554"/>
    </row>
    <row r="104" spans="5:6">
      <c r="E104" s="554"/>
      <c r="F104" s="554"/>
    </row>
    <row r="105" spans="5:6">
      <c r="E105" s="554"/>
      <c r="F105" s="554"/>
    </row>
    <row r="106" spans="5:6">
      <c r="E106" s="554"/>
      <c r="F106" s="554"/>
    </row>
    <row r="107" spans="5:6">
      <c r="E107" s="554"/>
      <c r="F107" s="554"/>
    </row>
    <row r="108" spans="5:6">
      <c r="E108" s="554"/>
      <c r="F108" s="554"/>
    </row>
    <row r="109" spans="5:6">
      <c r="E109" s="554"/>
      <c r="F109" s="554"/>
    </row>
    <row r="110" spans="5:6">
      <c r="E110" s="554"/>
      <c r="F110" s="554"/>
    </row>
    <row r="111" spans="5:6">
      <c r="E111" s="554"/>
      <c r="F111" s="554"/>
    </row>
    <row r="112" spans="5:6">
      <c r="E112" s="554"/>
      <c r="F112" s="554"/>
    </row>
    <row r="113" spans="5:6">
      <c r="E113" s="554"/>
      <c r="F113" s="554"/>
    </row>
    <row r="114" spans="5:6">
      <c r="E114" s="554"/>
      <c r="F114" s="554"/>
    </row>
    <row r="115" spans="5:6">
      <c r="E115" s="554"/>
      <c r="F115" s="554"/>
    </row>
    <row r="116" spans="5:6">
      <c r="E116" s="554"/>
      <c r="F116" s="554"/>
    </row>
    <row r="117" spans="5:6">
      <c r="E117" s="554"/>
      <c r="F117" s="554"/>
    </row>
    <row r="118" spans="5:6">
      <c r="E118" s="554"/>
      <c r="F118" s="554"/>
    </row>
    <row r="119" spans="5:6">
      <c r="E119" s="554"/>
      <c r="F119" s="554"/>
    </row>
    <row r="120" spans="5:6">
      <c r="E120" s="554"/>
      <c r="F120" s="554"/>
    </row>
    <row r="121" spans="5:6">
      <c r="E121" s="554"/>
      <c r="F121" s="554"/>
    </row>
    <row r="122" spans="5:6">
      <c r="E122" s="554"/>
      <c r="F122" s="554"/>
    </row>
    <row r="123" spans="5:6">
      <c r="E123" s="554"/>
      <c r="F123" s="554"/>
    </row>
    <row r="124" spans="5:6">
      <c r="E124" s="554"/>
      <c r="F124" s="554"/>
    </row>
    <row r="125" spans="5:6">
      <c r="E125" s="554"/>
      <c r="F125" s="554"/>
    </row>
    <row r="126" spans="5:6">
      <c r="E126" s="554"/>
      <c r="F126" s="554"/>
    </row>
    <row r="127" spans="5:6">
      <c r="E127" s="554"/>
      <c r="F127" s="554"/>
    </row>
    <row r="128" spans="5:6">
      <c r="E128" s="554"/>
      <c r="F128" s="554"/>
    </row>
    <row r="129" spans="5:6">
      <c r="E129" s="554"/>
      <c r="F129" s="554"/>
    </row>
    <row r="130" spans="5:6">
      <c r="E130" s="554"/>
      <c r="F130" s="554"/>
    </row>
    <row r="131" spans="5:6">
      <c r="E131" s="554"/>
      <c r="F131" s="554"/>
    </row>
    <row r="132" spans="5:6">
      <c r="E132" s="554"/>
      <c r="F132" s="554"/>
    </row>
    <row r="133" spans="5:6">
      <c r="E133" s="554"/>
      <c r="F133" s="554"/>
    </row>
    <row r="134" spans="5:6">
      <c r="E134" s="554"/>
      <c r="F134" s="554"/>
    </row>
    <row r="135" spans="5:6">
      <c r="E135" s="554"/>
      <c r="F135" s="554"/>
    </row>
    <row r="136" spans="5:6">
      <c r="E136" s="554"/>
      <c r="F136" s="554"/>
    </row>
    <row r="137" spans="5:6">
      <c r="E137" s="554"/>
      <c r="F137" s="554"/>
    </row>
    <row r="138" spans="5:6">
      <c r="E138" s="554"/>
      <c r="F138" s="554"/>
    </row>
    <row r="139" spans="5:6">
      <c r="E139" s="554"/>
      <c r="F139" s="554"/>
    </row>
    <row r="140" spans="5:6">
      <c r="E140" s="554"/>
      <c r="F140" s="554"/>
    </row>
    <row r="141" spans="5:6">
      <c r="E141" s="554"/>
      <c r="F141" s="554"/>
    </row>
    <row r="142" spans="5:6">
      <c r="E142" s="554"/>
      <c r="F142" s="554"/>
    </row>
    <row r="143" spans="5:6">
      <c r="E143" s="554"/>
      <c r="F143" s="554"/>
    </row>
    <row r="144" spans="5:6">
      <c r="E144" s="554"/>
      <c r="F144" s="554"/>
    </row>
    <row r="145" spans="5:6">
      <c r="E145" s="554"/>
      <c r="F145" s="554"/>
    </row>
    <row r="146" spans="5:6">
      <c r="E146" s="554"/>
      <c r="F146" s="554"/>
    </row>
    <row r="147" spans="5:6">
      <c r="E147" s="554"/>
      <c r="F147" s="554"/>
    </row>
    <row r="148" spans="5:6">
      <c r="E148" s="554"/>
      <c r="F148" s="554"/>
    </row>
    <row r="149" spans="5:6">
      <c r="E149" s="554"/>
      <c r="F149" s="554"/>
    </row>
    <row r="150" spans="5:6">
      <c r="E150" s="554"/>
      <c r="F150" s="554"/>
    </row>
    <row r="151" spans="5:6">
      <c r="E151" s="554"/>
      <c r="F151" s="554"/>
    </row>
    <row r="152" spans="5:6">
      <c r="E152" s="554"/>
      <c r="F152" s="554"/>
    </row>
  </sheetData>
  <pageMargins left="0.7" right="0.51432291666666663" top="0.86956521739130432" bottom="0.61458333333333337" header="0.3" footer="0.3"/>
  <pageSetup orientation="portrait" r:id="rId1"/>
  <headerFooter>
    <oddHeader>&amp;R&amp;7Informe de la Operación Mensual - Febrero 2018
INFSGI-MES-02-2018
08/03/2018
Versión: 01</oddHeader>
    <oddFooter>&amp;L&amp;7COES SINAC, 2018
&amp;C29&amp;R&amp;7Dirección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sheetPr>
    <tabColor theme="4"/>
  </sheetPr>
  <dimension ref="A1:J147"/>
  <sheetViews>
    <sheetView showGridLines="0" view="pageBreakPreview" zoomScale="130" zoomScaleNormal="100" zoomScaleSheetLayoutView="130" zoomScalePageLayoutView="145" workbookViewId="0">
      <selection activeCell="K12" sqref="K12"/>
    </sheetView>
  </sheetViews>
  <sheetFormatPr defaultRowHeight="9"/>
  <cols>
    <col min="1" max="1" width="16.1640625" style="544" customWidth="1"/>
    <col min="2" max="2" width="19.6640625" style="544" customWidth="1"/>
    <col min="3" max="3" width="12.1640625" style="544" bestFit="1" customWidth="1"/>
    <col min="4" max="4" width="47.1640625" style="544" customWidth="1"/>
    <col min="5" max="5" width="11.5" style="544" customWidth="1"/>
    <col min="6" max="6" width="10.5" style="544" customWidth="1"/>
    <col min="7" max="8" width="9.33203125" style="544" customWidth="1"/>
    <col min="9" max="10" width="9.33203125" style="544"/>
    <col min="11" max="16384" width="9.33203125" style="553"/>
  </cols>
  <sheetData>
    <row r="1" spans="1:9" s="544" customFormat="1" ht="30" customHeight="1">
      <c r="A1" s="555" t="s">
        <v>299</v>
      </c>
      <c r="B1" s="556" t="s">
        <v>502</v>
      </c>
      <c r="C1" s="555" t="s">
        <v>490</v>
      </c>
      <c r="D1" s="557" t="s">
        <v>503</v>
      </c>
      <c r="E1" s="558" t="s">
        <v>504</v>
      </c>
      <c r="F1" s="558" t="s">
        <v>505</v>
      </c>
      <c r="G1" s="510"/>
      <c r="H1" s="545"/>
      <c r="I1" s="508"/>
    </row>
    <row r="2" spans="1:9" s="544" customFormat="1" ht="103.5" customHeight="1">
      <c r="A2" s="560" t="s">
        <v>513</v>
      </c>
      <c r="B2" s="560" t="s">
        <v>604</v>
      </c>
      <c r="C2" s="561">
        <v>43149.904166666667</v>
      </c>
      <c r="D2" s="760" t="s">
        <v>634</v>
      </c>
      <c r="E2" s="562"/>
      <c r="F2" s="562">
        <v>128</v>
      </c>
      <c r="G2" s="509"/>
      <c r="H2" s="515"/>
      <c r="I2" s="548"/>
    </row>
    <row r="3" spans="1:9" s="544" customFormat="1" ht="84.75" customHeight="1">
      <c r="A3" s="560" t="s">
        <v>599</v>
      </c>
      <c r="B3" s="560" t="s">
        <v>635</v>
      </c>
      <c r="C3" s="561">
        <v>43149.899305555555</v>
      </c>
      <c r="D3" s="760" t="s">
        <v>636</v>
      </c>
      <c r="E3" s="562">
        <v>0.83</v>
      </c>
      <c r="F3" s="562"/>
      <c r="G3" s="509"/>
      <c r="H3" s="515"/>
      <c r="I3" s="548"/>
    </row>
    <row r="4" spans="1:9" s="544" customFormat="1" ht="83.25" customHeight="1">
      <c r="A4" s="560" t="s">
        <v>101</v>
      </c>
      <c r="B4" s="560" t="s">
        <v>637</v>
      </c>
      <c r="C4" s="561">
        <v>43149.909722222219</v>
      </c>
      <c r="D4" s="760" t="s">
        <v>638</v>
      </c>
      <c r="E4" s="562"/>
      <c r="F4" s="562">
        <v>23.15</v>
      </c>
      <c r="G4" s="509"/>
      <c r="H4" s="515"/>
      <c r="I4" s="548"/>
    </row>
    <row r="5" spans="1:9" s="544" customFormat="1" ht="147" customHeight="1">
      <c r="A5" s="560" t="s">
        <v>526</v>
      </c>
      <c r="B5" s="560" t="s">
        <v>639</v>
      </c>
      <c r="C5" s="561">
        <v>43151.536111111112</v>
      </c>
      <c r="D5" s="760" t="s">
        <v>640</v>
      </c>
      <c r="E5" s="562">
        <v>40.880000000000003</v>
      </c>
      <c r="F5" s="562"/>
      <c r="G5" s="509"/>
      <c r="H5" s="515"/>
      <c r="I5" s="552"/>
    </row>
    <row r="6" spans="1:9" s="544" customFormat="1" ht="86.25" customHeight="1">
      <c r="A6" s="560" t="s">
        <v>507</v>
      </c>
      <c r="B6" s="560" t="s">
        <v>519</v>
      </c>
      <c r="C6" s="561">
        <v>43151.652083333334</v>
      </c>
      <c r="D6" s="760" t="s">
        <v>641</v>
      </c>
      <c r="E6" s="562">
        <v>0.85</v>
      </c>
      <c r="F6" s="562"/>
      <c r="G6" s="509"/>
      <c r="H6" s="515"/>
    </row>
    <row r="7" spans="1:9" s="544" customFormat="1" ht="95.25" customHeight="1">
      <c r="A7" s="560" t="s">
        <v>529</v>
      </c>
      <c r="B7" s="560" t="s">
        <v>642</v>
      </c>
      <c r="C7" s="561">
        <v>43151.841666666667</v>
      </c>
      <c r="D7" s="760" t="s">
        <v>643</v>
      </c>
      <c r="E7" s="562"/>
      <c r="F7" s="562">
        <v>2.8</v>
      </c>
      <c r="G7" s="509"/>
      <c r="H7" s="515"/>
    </row>
    <row r="8" spans="1:9" s="544" customFormat="1" ht="95.25" customHeight="1">
      <c r="A8" s="560" t="s">
        <v>521</v>
      </c>
      <c r="B8" s="560" t="s">
        <v>644</v>
      </c>
      <c r="C8" s="561">
        <v>43151.994444444441</v>
      </c>
      <c r="D8" s="760" t="s">
        <v>645</v>
      </c>
      <c r="E8" s="562">
        <v>32.200000000000003</v>
      </c>
      <c r="F8" s="562"/>
      <c r="G8" s="509"/>
      <c r="H8" s="515"/>
    </row>
    <row r="9" spans="1:9" s="544" customFormat="1">
      <c r="E9" s="554"/>
      <c r="F9" s="554"/>
    </row>
    <row r="10" spans="1:9" s="544" customFormat="1">
      <c r="E10" s="554"/>
      <c r="F10" s="554"/>
    </row>
    <row r="11" spans="1:9" s="544" customFormat="1">
      <c r="E11" s="554"/>
      <c r="F11" s="554"/>
    </row>
    <row r="12" spans="1:9" s="544" customFormat="1">
      <c r="E12" s="554"/>
      <c r="F12" s="554"/>
    </row>
    <row r="13" spans="1:9" s="544" customFormat="1">
      <c r="E13" s="554"/>
      <c r="F13" s="554"/>
    </row>
    <row r="14" spans="1:9" s="544" customFormat="1">
      <c r="E14" s="554"/>
      <c r="F14" s="554"/>
    </row>
    <row r="15" spans="1:9" s="544" customFormat="1">
      <c r="E15" s="554"/>
      <c r="F15" s="554"/>
    </row>
    <row r="16" spans="1:9" s="544" customFormat="1">
      <c r="E16" s="554"/>
      <c r="F16" s="554"/>
    </row>
    <row r="17" spans="5:6" s="544" customFormat="1">
      <c r="E17" s="554"/>
      <c r="F17" s="554"/>
    </row>
    <row r="18" spans="5:6" s="544" customFormat="1">
      <c r="E18" s="554"/>
      <c r="F18" s="554"/>
    </row>
    <row r="19" spans="5:6" s="544" customFormat="1">
      <c r="E19" s="554"/>
      <c r="F19" s="554"/>
    </row>
    <row r="20" spans="5:6" s="544" customFormat="1">
      <c r="E20" s="554"/>
      <c r="F20" s="554"/>
    </row>
    <row r="21" spans="5:6" s="544" customFormat="1">
      <c r="E21" s="554"/>
      <c r="F21" s="554"/>
    </row>
    <row r="22" spans="5:6" s="544" customFormat="1">
      <c r="E22" s="554"/>
      <c r="F22" s="554"/>
    </row>
    <row r="23" spans="5:6" s="544" customFormat="1">
      <c r="E23" s="554"/>
      <c r="F23" s="554"/>
    </row>
    <row r="24" spans="5:6" s="544" customFormat="1">
      <c r="E24" s="554"/>
      <c r="F24" s="554"/>
    </row>
    <row r="25" spans="5:6" s="544" customFormat="1">
      <c r="E25" s="554"/>
      <c r="F25" s="554"/>
    </row>
    <row r="26" spans="5:6" s="544" customFormat="1">
      <c r="E26" s="554"/>
      <c r="F26" s="554"/>
    </row>
    <row r="27" spans="5:6" s="544" customFormat="1">
      <c r="E27" s="554"/>
      <c r="F27" s="554"/>
    </row>
    <row r="28" spans="5:6" s="544" customFormat="1">
      <c r="E28" s="554"/>
      <c r="F28" s="554"/>
    </row>
    <row r="29" spans="5:6" s="544" customFormat="1">
      <c r="E29" s="554"/>
      <c r="F29" s="554"/>
    </row>
    <row r="30" spans="5:6" s="544" customFormat="1">
      <c r="E30" s="554"/>
      <c r="F30" s="554"/>
    </row>
    <row r="31" spans="5:6" s="544" customFormat="1">
      <c r="E31" s="554"/>
      <c r="F31" s="554"/>
    </row>
    <row r="32" spans="5:6" s="544" customFormat="1">
      <c r="E32" s="554"/>
      <c r="F32" s="554"/>
    </row>
    <row r="33" spans="5:6" s="544" customFormat="1">
      <c r="E33" s="554"/>
      <c r="F33" s="554"/>
    </row>
    <row r="34" spans="5:6" s="544" customFormat="1">
      <c r="E34" s="554"/>
      <c r="F34" s="554"/>
    </row>
    <row r="35" spans="5:6" s="544" customFormat="1">
      <c r="E35" s="554"/>
      <c r="F35" s="554"/>
    </row>
    <row r="36" spans="5:6" s="544" customFormat="1">
      <c r="E36" s="554"/>
      <c r="F36" s="554"/>
    </row>
    <row r="37" spans="5:6" s="544" customFormat="1">
      <c r="E37" s="554"/>
      <c r="F37" s="554"/>
    </row>
    <row r="38" spans="5:6" s="544" customFormat="1">
      <c r="E38" s="554"/>
      <c r="F38" s="554"/>
    </row>
    <row r="39" spans="5:6" s="544" customFormat="1">
      <c r="E39" s="554"/>
      <c r="F39" s="554"/>
    </row>
    <row r="40" spans="5:6" s="544" customFormat="1">
      <c r="E40" s="554"/>
      <c r="F40" s="554"/>
    </row>
    <row r="41" spans="5:6" s="544" customFormat="1">
      <c r="E41" s="554"/>
      <c r="F41" s="554"/>
    </row>
    <row r="42" spans="5:6" s="544" customFormat="1">
      <c r="E42" s="554"/>
      <c r="F42" s="554"/>
    </row>
    <row r="43" spans="5:6" s="544" customFormat="1">
      <c r="E43" s="554"/>
      <c r="F43" s="554"/>
    </row>
    <row r="44" spans="5:6" s="544" customFormat="1">
      <c r="E44" s="554"/>
      <c r="F44" s="554"/>
    </row>
    <row r="45" spans="5:6" s="544" customFormat="1">
      <c r="E45" s="554"/>
      <c r="F45" s="554"/>
    </row>
    <row r="46" spans="5:6" s="544" customFormat="1">
      <c r="E46" s="554"/>
      <c r="F46" s="554"/>
    </row>
    <row r="47" spans="5:6" s="544" customFormat="1">
      <c r="E47" s="554"/>
      <c r="F47" s="554"/>
    </row>
    <row r="48" spans="5:6" s="544" customFormat="1">
      <c r="E48" s="554"/>
      <c r="F48" s="554"/>
    </row>
    <row r="49" spans="5:6" s="544" customFormat="1">
      <c r="E49" s="554"/>
      <c r="F49" s="554"/>
    </row>
    <row r="50" spans="5:6" s="544" customFormat="1">
      <c r="E50" s="554"/>
      <c r="F50" s="554"/>
    </row>
    <row r="51" spans="5:6" s="544" customFormat="1">
      <c r="E51" s="554"/>
      <c r="F51" s="554"/>
    </row>
    <row r="52" spans="5:6" s="544" customFormat="1">
      <c r="E52" s="554"/>
      <c r="F52" s="554"/>
    </row>
    <row r="53" spans="5:6" s="544" customFormat="1">
      <c r="E53" s="554"/>
      <c r="F53" s="554"/>
    </row>
    <row r="54" spans="5:6" s="544" customFormat="1">
      <c r="E54" s="554"/>
      <c r="F54" s="554"/>
    </row>
    <row r="55" spans="5:6" s="544" customFormat="1">
      <c r="E55" s="554"/>
      <c r="F55" s="554"/>
    </row>
    <row r="56" spans="5:6" s="544" customFormat="1">
      <c r="E56" s="554"/>
      <c r="F56" s="554"/>
    </row>
    <row r="57" spans="5:6" s="544" customFormat="1">
      <c r="E57" s="554"/>
      <c r="F57" s="554"/>
    </row>
    <row r="58" spans="5:6" s="544" customFormat="1">
      <c r="E58" s="554"/>
      <c r="F58" s="554"/>
    </row>
    <row r="59" spans="5:6" s="544" customFormat="1">
      <c r="E59" s="554"/>
      <c r="F59" s="554"/>
    </row>
    <row r="60" spans="5:6" s="544" customFormat="1">
      <c r="E60" s="554"/>
      <c r="F60" s="554"/>
    </row>
    <row r="61" spans="5:6" s="544" customFormat="1">
      <c r="E61" s="554"/>
      <c r="F61" s="554"/>
    </row>
    <row r="62" spans="5:6" s="544" customFormat="1">
      <c r="E62" s="554"/>
      <c r="F62" s="554"/>
    </row>
    <row r="63" spans="5:6" s="544" customFormat="1">
      <c r="E63" s="554"/>
      <c r="F63" s="554"/>
    </row>
    <row r="64" spans="5:6" s="544" customFormat="1">
      <c r="E64" s="554"/>
      <c r="F64" s="554"/>
    </row>
    <row r="65" spans="5:6" s="544" customFormat="1">
      <c r="E65" s="554"/>
      <c r="F65" s="554"/>
    </row>
    <row r="66" spans="5:6" s="544" customFormat="1">
      <c r="E66" s="554"/>
      <c r="F66" s="554"/>
    </row>
    <row r="67" spans="5:6" s="544" customFormat="1">
      <c r="E67" s="554"/>
      <c r="F67" s="554"/>
    </row>
    <row r="68" spans="5:6" s="544" customFormat="1">
      <c r="E68" s="554"/>
      <c r="F68" s="554"/>
    </row>
    <row r="69" spans="5:6" s="544" customFormat="1">
      <c r="E69" s="554"/>
      <c r="F69" s="554"/>
    </row>
    <row r="70" spans="5:6" s="544" customFormat="1">
      <c r="E70" s="554"/>
      <c r="F70" s="554"/>
    </row>
    <row r="71" spans="5:6" s="544" customFormat="1">
      <c r="E71" s="554"/>
      <c r="F71" s="554"/>
    </row>
    <row r="72" spans="5:6" s="544" customFormat="1">
      <c r="E72" s="554"/>
      <c r="F72" s="554"/>
    </row>
    <row r="73" spans="5:6" s="544" customFormat="1">
      <c r="E73" s="554"/>
      <c r="F73" s="554"/>
    </row>
    <row r="74" spans="5:6" s="544" customFormat="1">
      <c r="E74" s="554"/>
      <c r="F74" s="554"/>
    </row>
    <row r="75" spans="5:6" s="544" customFormat="1">
      <c r="E75" s="554"/>
      <c r="F75" s="554"/>
    </row>
    <row r="76" spans="5:6" s="544" customFormat="1">
      <c r="E76" s="554"/>
      <c r="F76" s="554"/>
    </row>
    <row r="77" spans="5:6" s="544" customFormat="1">
      <c r="E77" s="554"/>
      <c r="F77" s="554"/>
    </row>
    <row r="78" spans="5:6" s="544" customFormat="1">
      <c r="E78" s="554"/>
      <c r="F78" s="554"/>
    </row>
    <row r="79" spans="5:6" s="544" customFormat="1">
      <c r="E79" s="554"/>
      <c r="F79" s="554"/>
    </row>
    <row r="80" spans="5:6" s="544" customFormat="1">
      <c r="E80" s="554"/>
      <c r="F80" s="554"/>
    </row>
    <row r="81" spans="5:6" s="544" customFormat="1">
      <c r="E81" s="554"/>
      <c r="F81" s="554"/>
    </row>
    <row r="82" spans="5:6" s="544" customFormat="1">
      <c r="E82" s="554"/>
      <c r="F82" s="554"/>
    </row>
    <row r="83" spans="5:6" s="544" customFormat="1">
      <c r="E83" s="554"/>
      <c r="F83" s="554"/>
    </row>
    <row r="84" spans="5:6" s="544" customFormat="1">
      <c r="E84" s="554"/>
      <c r="F84" s="554"/>
    </row>
    <row r="85" spans="5:6" s="544" customFormat="1">
      <c r="E85" s="554"/>
      <c r="F85" s="554"/>
    </row>
    <row r="86" spans="5:6" s="544" customFormat="1">
      <c r="E86" s="554"/>
      <c r="F86" s="554"/>
    </row>
    <row r="87" spans="5:6" s="544" customFormat="1">
      <c r="E87" s="554"/>
      <c r="F87" s="554"/>
    </row>
    <row r="88" spans="5:6" s="544" customFormat="1">
      <c r="E88" s="554"/>
      <c r="F88" s="554"/>
    </row>
    <row r="89" spans="5:6" s="544" customFormat="1">
      <c r="E89" s="554"/>
      <c r="F89" s="554"/>
    </row>
    <row r="90" spans="5:6" s="544" customFormat="1">
      <c r="E90" s="554"/>
      <c r="F90" s="554"/>
    </row>
    <row r="91" spans="5:6" s="544" customFormat="1">
      <c r="E91" s="554"/>
      <c r="F91" s="554"/>
    </row>
    <row r="92" spans="5:6" s="544" customFormat="1">
      <c r="E92" s="554"/>
      <c r="F92" s="554"/>
    </row>
    <row r="93" spans="5:6" s="544" customFormat="1">
      <c r="E93" s="554"/>
      <c r="F93" s="554"/>
    </row>
    <row r="94" spans="5:6" s="544" customFormat="1">
      <c r="E94" s="554"/>
      <c r="F94" s="554"/>
    </row>
    <row r="95" spans="5:6" s="544" customFormat="1">
      <c r="E95" s="554"/>
      <c r="F95" s="554"/>
    </row>
    <row r="96" spans="5:6" s="544" customFormat="1">
      <c r="E96" s="554"/>
      <c r="F96" s="554"/>
    </row>
    <row r="97" spans="5:6" s="544" customFormat="1">
      <c r="E97" s="554"/>
      <c r="F97" s="554"/>
    </row>
    <row r="98" spans="5:6" s="544" customFormat="1">
      <c r="E98" s="554"/>
      <c r="F98" s="554"/>
    </row>
    <row r="99" spans="5:6" s="544" customFormat="1">
      <c r="E99" s="554"/>
      <c r="F99" s="554"/>
    </row>
    <row r="100" spans="5:6" s="544" customFormat="1">
      <c r="E100" s="554"/>
      <c r="F100" s="554"/>
    </row>
    <row r="101" spans="5:6" s="544" customFormat="1">
      <c r="E101" s="554"/>
      <c r="F101" s="554"/>
    </row>
    <row r="102" spans="5:6" s="544" customFormat="1">
      <c r="E102" s="554"/>
      <c r="F102" s="554"/>
    </row>
    <row r="103" spans="5:6" s="544" customFormat="1">
      <c r="E103" s="554"/>
      <c r="F103" s="554"/>
    </row>
    <row r="104" spans="5:6" s="544" customFormat="1">
      <c r="E104" s="554"/>
      <c r="F104" s="554"/>
    </row>
    <row r="105" spans="5:6" s="544" customFormat="1">
      <c r="E105" s="554"/>
      <c r="F105" s="554"/>
    </row>
    <row r="106" spans="5:6" s="544" customFormat="1">
      <c r="E106" s="554"/>
      <c r="F106" s="554"/>
    </row>
    <row r="107" spans="5:6" s="544" customFormat="1">
      <c r="E107" s="554"/>
      <c r="F107" s="554"/>
    </row>
    <row r="108" spans="5:6" s="544" customFormat="1">
      <c r="E108" s="554"/>
      <c r="F108" s="554"/>
    </row>
    <row r="109" spans="5:6" s="544" customFormat="1">
      <c r="E109" s="554"/>
      <c r="F109" s="554"/>
    </row>
    <row r="110" spans="5:6" s="544" customFormat="1">
      <c r="E110" s="554"/>
      <c r="F110" s="554"/>
    </row>
    <row r="111" spans="5:6" s="544" customFormat="1">
      <c r="E111" s="554"/>
      <c r="F111" s="554"/>
    </row>
    <row r="112" spans="5:6" s="544" customFormat="1">
      <c r="E112" s="554"/>
      <c r="F112" s="554"/>
    </row>
    <row r="113" spans="5:6" s="544" customFormat="1">
      <c r="E113" s="554"/>
      <c r="F113" s="554"/>
    </row>
    <row r="114" spans="5:6" s="544" customFormat="1">
      <c r="E114" s="554"/>
      <c r="F114" s="554"/>
    </row>
    <row r="115" spans="5:6" s="544" customFormat="1">
      <c r="E115" s="554"/>
      <c r="F115" s="554"/>
    </row>
    <row r="116" spans="5:6" s="544" customFormat="1">
      <c r="E116" s="554"/>
      <c r="F116" s="554"/>
    </row>
    <row r="117" spans="5:6" s="544" customFormat="1">
      <c r="E117" s="554"/>
      <c r="F117" s="554"/>
    </row>
    <row r="118" spans="5:6" s="544" customFormat="1">
      <c r="E118" s="554"/>
      <c r="F118" s="554"/>
    </row>
    <row r="119" spans="5:6" s="544" customFormat="1">
      <c r="E119" s="554"/>
      <c r="F119" s="554"/>
    </row>
    <row r="120" spans="5:6" s="544" customFormat="1">
      <c r="E120" s="554"/>
      <c r="F120" s="554"/>
    </row>
    <row r="121" spans="5:6" s="544" customFormat="1">
      <c r="E121" s="554"/>
      <c r="F121" s="554"/>
    </row>
    <row r="122" spans="5:6" s="544" customFormat="1">
      <c r="E122" s="554"/>
      <c r="F122" s="554"/>
    </row>
    <row r="123" spans="5:6" s="544" customFormat="1">
      <c r="E123" s="554"/>
      <c r="F123" s="554"/>
    </row>
    <row r="124" spans="5:6" s="544" customFormat="1">
      <c r="E124" s="554"/>
      <c r="F124" s="554"/>
    </row>
    <row r="125" spans="5:6" s="544" customFormat="1">
      <c r="E125" s="554"/>
      <c r="F125" s="554"/>
    </row>
    <row r="126" spans="5:6" s="544" customFormat="1">
      <c r="E126" s="554"/>
      <c r="F126" s="554"/>
    </row>
    <row r="127" spans="5:6" s="544" customFormat="1">
      <c r="E127" s="554"/>
      <c r="F127" s="554"/>
    </row>
    <row r="128" spans="5:6" s="544" customFormat="1">
      <c r="E128" s="554"/>
      <c r="F128" s="554"/>
    </row>
    <row r="129" spans="5:6" s="544" customFormat="1">
      <c r="E129" s="554"/>
      <c r="F129" s="554"/>
    </row>
    <row r="130" spans="5:6" s="544" customFormat="1">
      <c r="E130" s="554"/>
      <c r="F130" s="554"/>
    </row>
    <row r="131" spans="5:6" s="544" customFormat="1">
      <c r="E131" s="554"/>
      <c r="F131" s="554"/>
    </row>
    <row r="132" spans="5:6" s="544" customFormat="1">
      <c r="E132" s="554"/>
      <c r="F132" s="554"/>
    </row>
    <row r="133" spans="5:6" s="544" customFormat="1">
      <c r="E133" s="554"/>
      <c r="F133" s="554"/>
    </row>
    <row r="134" spans="5:6" s="544" customFormat="1">
      <c r="E134" s="554"/>
      <c r="F134" s="554"/>
    </row>
    <row r="135" spans="5:6" s="544" customFormat="1">
      <c r="E135" s="554"/>
      <c r="F135" s="554"/>
    </row>
    <row r="136" spans="5:6" s="544" customFormat="1">
      <c r="E136" s="554"/>
      <c r="F136" s="554"/>
    </row>
    <row r="137" spans="5:6" s="544" customFormat="1">
      <c r="E137" s="554"/>
      <c r="F137" s="554"/>
    </row>
    <row r="138" spans="5:6" s="544" customFormat="1">
      <c r="E138" s="554"/>
      <c r="F138" s="554"/>
    </row>
    <row r="139" spans="5:6" s="544" customFormat="1">
      <c r="E139" s="554"/>
      <c r="F139" s="554"/>
    </row>
    <row r="140" spans="5:6" s="544" customFormat="1">
      <c r="E140" s="554"/>
      <c r="F140" s="554"/>
    </row>
    <row r="141" spans="5:6" s="544" customFormat="1">
      <c r="E141" s="554"/>
      <c r="F141" s="554"/>
    </row>
    <row r="142" spans="5:6" s="544" customFormat="1">
      <c r="E142" s="554"/>
      <c r="F142" s="554"/>
    </row>
    <row r="143" spans="5:6" s="544" customFormat="1">
      <c r="E143" s="554"/>
      <c r="F143" s="554"/>
    </row>
    <row r="144" spans="5:6" s="544" customFormat="1">
      <c r="E144" s="554"/>
      <c r="F144" s="554"/>
    </row>
    <row r="145" spans="5:6" s="544" customFormat="1">
      <c r="E145" s="554"/>
      <c r="F145" s="554"/>
    </row>
    <row r="146" spans="5:6" s="544" customFormat="1">
      <c r="E146" s="554"/>
      <c r="F146" s="554"/>
    </row>
    <row r="147" spans="5:6" s="544" customFormat="1">
      <c r="E147" s="554"/>
      <c r="F147" s="554"/>
    </row>
  </sheetData>
  <pageMargins left="0.7" right="0.51432291666666663" top="0.86956521739130432" bottom="0.61458333333333337" header="0.3" footer="0.3"/>
  <pageSetup orientation="portrait" r:id="rId1"/>
  <headerFooter>
    <oddHeader>&amp;R&amp;7Informe de la Operación Mensual - Febrero 2018
INFSGI-MES-02-2018
08/03/2018
Versión: 01</oddHeader>
    <oddFooter>&amp;L&amp;7COES SINAC, 2018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sheetPr>
    <tabColor theme="4"/>
  </sheetPr>
  <dimension ref="A1:J163"/>
  <sheetViews>
    <sheetView showGridLines="0" view="pageBreakPreview" zoomScale="145" zoomScaleNormal="100" zoomScaleSheetLayoutView="145" zoomScalePageLayoutView="145" workbookViewId="0">
      <selection activeCell="K12" sqref="K12"/>
    </sheetView>
  </sheetViews>
  <sheetFormatPr defaultRowHeight="9"/>
  <cols>
    <col min="1" max="1" width="16.1640625" style="544" customWidth="1"/>
    <col min="2" max="2" width="19.6640625" style="544" customWidth="1"/>
    <col min="3" max="3" width="12.5" style="544" bestFit="1" customWidth="1"/>
    <col min="4" max="4" width="47.1640625" style="544" customWidth="1"/>
    <col min="5" max="5" width="11.5" style="544" customWidth="1"/>
    <col min="6" max="6" width="10.5" style="544" customWidth="1"/>
    <col min="7" max="8" width="9.33203125" style="544" customWidth="1"/>
    <col min="9" max="10" width="9.33203125" style="544"/>
    <col min="11" max="16384" width="9.33203125" style="553"/>
  </cols>
  <sheetData>
    <row r="1" spans="1:9" s="544" customFormat="1" ht="30" customHeight="1">
      <c r="A1" s="555" t="s">
        <v>299</v>
      </c>
      <c r="B1" s="556" t="s">
        <v>502</v>
      </c>
      <c r="C1" s="555" t="s">
        <v>490</v>
      </c>
      <c r="D1" s="557" t="s">
        <v>503</v>
      </c>
      <c r="E1" s="558" t="s">
        <v>504</v>
      </c>
      <c r="F1" s="558" t="s">
        <v>505</v>
      </c>
      <c r="G1" s="510"/>
      <c r="H1" s="545"/>
      <c r="I1" s="508"/>
    </row>
    <row r="2" spans="1:9" s="544" customFormat="1" ht="93.75" customHeight="1">
      <c r="A2" s="560" t="s">
        <v>646</v>
      </c>
      <c r="B2" s="560" t="s">
        <v>647</v>
      </c>
      <c r="C2" s="561">
        <v>43153.856944444444</v>
      </c>
      <c r="D2" s="760" t="s">
        <v>648</v>
      </c>
      <c r="E2" s="562"/>
      <c r="F2" s="562">
        <v>4.04</v>
      </c>
      <c r="G2" s="509"/>
      <c r="H2" s="515"/>
    </row>
    <row r="3" spans="1:9" s="544" customFormat="1" ht="118.5" customHeight="1">
      <c r="A3" s="560" t="s">
        <v>649</v>
      </c>
      <c r="B3" s="560" t="s">
        <v>650</v>
      </c>
      <c r="C3" s="561">
        <v>43153.974305555559</v>
      </c>
      <c r="D3" s="760" t="s">
        <v>651</v>
      </c>
      <c r="E3" s="562">
        <v>44.67</v>
      </c>
      <c r="F3" s="562"/>
      <c r="G3" s="509"/>
      <c r="H3" s="515"/>
    </row>
    <row r="4" spans="1:9" s="544" customFormat="1" ht="219" customHeight="1">
      <c r="A4" s="560" t="s">
        <v>523</v>
      </c>
      <c r="B4" s="560" t="s">
        <v>524</v>
      </c>
      <c r="C4" s="561">
        <v>43154.425000000003</v>
      </c>
      <c r="D4" s="760" t="s">
        <v>652</v>
      </c>
      <c r="E4" s="562">
        <v>24.27</v>
      </c>
      <c r="F4" s="562"/>
      <c r="G4" s="509"/>
      <c r="H4" s="515"/>
    </row>
    <row r="5" spans="1:9" s="544" customFormat="1" ht="76.5" customHeight="1">
      <c r="A5" s="560" t="s">
        <v>507</v>
      </c>
      <c r="B5" s="560" t="s">
        <v>508</v>
      </c>
      <c r="C5" s="561">
        <v>43154.704861111109</v>
      </c>
      <c r="D5" s="760" t="s">
        <v>653</v>
      </c>
      <c r="E5" s="562">
        <v>7.49</v>
      </c>
      <c r="F5" s="562"/>
      <c r="G5" s="509"/>
      <c r="H5" s="515"/>
    </row>
    <row r="6" spans="1:9" s="544" customFormat="1" ht="100.5" customHeight="1">
      <c r="A6" s="560" t="s">
        <v>654</v>
      </c>
      <c r="B6" s="560" t="s">
        <v>655</v>
      </c>
      <c r="C6" s="561">
        <v>43155.443749999999</v>
      </c>
      <c r="D6" s="760" t="s">
        <v>656</v>
      </c>
      <c r="E6" s="562">
        <v>7.9</v>
      </c>
      <c r="F6" s="562"/>
      <c r="G6" s="509"/>
      <c r="H6" s="515"/>
    </row>
    <row r="7" spans="1:9" s="544" customFormat="1" ht="76.5" customHeight="1">
      <c r="A7" s="560" t="s">
        <v>529</v>
      </c>
      <c r="B7" s="560" t="s">
        <v>657</v>
      </c>
      <c r="C7" s="561">
        <v>43157.316666666666</v>
      </c>
      <c r="D7" s="760" t="s">
        <v>658</v>
      </c>
      <c r="E7" s="562">
        <v>4</v>
      </c>
      <c r="F7" s="562"/>
      <c r="G7" s="509"/>
      <c r="H7" s="515"/>
    </row>
    <row r="8" spans="1:9" s="544" customFormat="1">
      <c r="E8" s="554"/>
      <c r="F8" s="554"/>
      <c r="G8" s="509"/>
      <c r="H8" s="515"/>
    </row>
    <row r="9" spans="1:9" s="544" customFormat="1">
      <c r="E9" s="554"/>
      <c r="F9" s="554"/>
      <c r="G9" s="518"/>
      <c r="H9" s="515"/>
    </row>
    <row r="10" spans="1:9" s="544" customFormat="1">
      <c r="E10" s="554"/>
      <c r="F10" s="554"/>
    </row>
    <row r="11" spans="1:9" s="544" customFormat="1">
      <c r="E11" s="554"/>
      <c r="F11" s="554"/>
    </row>
    <row r="12" spans="1:9" s="544" customFormat="1">
      <c r="E12" s="554"/>
      <c r="F12" s="554"/>
    </row>
    <row r="13" spans="1:9" s="544" customFormat="1">
      <c r="E13" s="554"/>
      <c r="F13" s="554"/>
    </row>
    <row r="14" spans="1:9" s="544" customFormat="1">
      <c r="E14" s="554"/>
      <c r="F14" s="554"/>
    </row>
    <row r="15" spans="1:9" s="544" customFormat="1">
      <c r="E15" s="554"/>
      <c r="F15" s="554"/>
    </row>
    <row r="16" spans="1:9" s="544" customFormat="1">
      <c r="E16" s="554"/>
      <c r="F16" s="554"/>
    </row>
    <row r="17" spans="5:6" s="544" customFormat="1">
      <c r="E17" s="554"/>
      <c r="F17" s="554"/>
    </row>
    <row r="18" spans="5:6" s="544" customFormat="1">
      <c r="E18" s="554"/>
      <c r="F18" s="554"/>
    </row>
    <row r="19" spans="5:6" s="544" customFormat="1">
      <c r="E19" s="554"/>
      <c r="F19" s="554"/>
    </row>
    <row r="20" spans="5:6" s="544" customFormat="1">
      <c r="E20" s="554"/>
      <c r="F20" s="554"/>
    </row>
    <row r="21" spans="5:6" s="544" customFormat="1">
      <c r="E21" s="554"/>
      <c r="F21" s="554"/>
    </row>
    <row r="22" spans="5:6" s="544" customFormat="1">
      <c r="E22" s="554"/>
      <c r="F22" s="554"/>
    </row>
    <row r="23" spans="5:6" s="544" customFormat="1">
      <c r="E23" s="554"/>
      <c r="F23" s="554"/>
    </row>
    <row r="24" spans="5:6" s="544" customFormat="1">
      <c r="E24" s="554"/>
      <c r="F24" s="554"/>
    </row>
    <row r="25" spans="5:6" s="544" customFormat="1">
      <c r="E25" s="554"/>
      <c r="F25" s="554"/>
    </row>
    <row r="26" spans="5:6" s="544" customFormat="1">
      <c r="E26" s="554"/>
      <c r="F26" s="554"/>
    </row>
    <row r="27" spans="5:6" s="544" customFormat="1">
      <c r="E27" s="554"/>
      <c r="F27" s="554"/>
    </row>
    <row r="28" spans="5:6" s="544" customFormat="1">
      <c r="E28" s="554"/>
      <c r="F28" s="554"/>
    </row>
    <row r="29" spans="5:6" s="544" customFormat="1">
      <c r="E29" s="554"/>
      <c r="F29" s="554"/>
    </row>
    <row r="30" spans="5:6" s="544" customFormat="1">
      <c r="E30" s="554"/>
      <c r="F30" s="554"/>
    </row>
    <row r="31" spans="5:6" s="544" customFormat="1">
      <c r="E31" s="554"/>
      <c r="F31" s="554"/>
    </row>
    <row r="32" spans="5:6" s="544" customFormat="1">
      <c r="E32" s="554"/>
      <c r="F32" s="554"/>
    </row>
    <row r="33" spans="5:6" s="544" customFormat="1">
      <c r="E33" s="554"/>
      <c r="F33" s="554"/>
    </row>
    <row r="34" spans="5:6" s="544" customFormat="1">
      <c r="E34" s="554"/>
      <c r="F34" s="554"/>
    </row>
    <row r="35" spans="5:6" s="544" customFormat="1">
      <c r="E35" s="554"/>
      <c r="F35" s="554"/>
    </row>
    <row r="36" spans="5:6" s="544" customFormat="1">
      <c r="E36" s="554"/>
      <c r="F36" s="554"/>
    </row>
    <row r="37" spans="5:6" s="544" customFormat="1">
      <c r="E37" s="554"/>
      <c r="F37" s="554"/>
    </row>
    <row r="38" spans="5:6" s="544" customFormat="1">
      <c r="E38" s="554"/>
      <c r="F38" s="554"/>
    </row>
    <row r="39" spans="5:6" s="544" customFormat="1">
      <c r="E39" s="554"/>
      <c r="F39" s="554"/>
    </row>
    <row r="40" spans="5:6" s="544" customFormat="1">
      <c r="E40" s="554"/>
      <c r="F40" s="554"/>
    </row>
    <row r="41" spans="5:6" s="544" customFormat="1">
      <c r="E41" s="554"/>
      <c r="F41" s="554"/>
    </row>
    <row r="42" spans="5:6" s="544" customFormat="1">
      <c r="E42" s="554"/>
      <c r="F42" s="554"/>
    </row>
    <row r="43" spans="5:6" s="544" customFormat="1">
      <c r="E43" s="554"/>
      <c r="F43" s="554"/>
    </row>
    <row r="44" spans="5:6" s="544" customFormat="1">
      <c r="E44" s="554"/>
      <c r="F44" s="554"/>
    </row>
    <row r="45" spans="5:6" s="544" customFormat="1">
      <c r="E45" s="554"/>
      <c r="F45" s="554"/>
    </row>
    <row r="46" spans="5:6" s="544" customFormat="1">
      <c r="E46" s="554"/>
      <c r="F46" s="554"/>
    </row>
    <row r="47" spans="5:6" s="544" customFormat="1">
      <c r="E47" s="554"/>
      <c r="F47" s="554"/>
    </row>
    <row r="48" spans="5:6" s="544" customFormat="1">
      <c r="E48" s="554"/>
      <c r="F48" s="554"/>
    </row>
    <row r="49" spans="5:6" s="544" customFormat="1">
      <c r="E49" s="554"/>
      <c r="F49" s="554"/>
    </row>
    <row r="50" spans="5:6" s="544" customFormat="1">
      <c r="E50" s="554"/>
      <c r="F50" s="554"/>
    </row>
    <row r="51" spans="5:6" s="544" customFormat="1">
      <c r="E51" s="554"/>
      <c r="F51" s="554"/>
    </row>
    <row r="52" spans="5:6" s="544" customFormat="1">
      <c r="E52" s="554"/>
      <c r="F52" s="554"/>
    </row>
    <row r="53" spans="5:6" s="544" customFormat="1">
      <c r="E53" s="554"/>
      <c r="F53" s="554"/>
    </row>
    <row r="54" spans="5:6" s="544" customFormat="1">
      <c r="E54" s="554"/>
      <c r="F54" s="554"/>
    </row>
    <row r="55" spans="5:6" s="544" customFormat="1">
      <c r="E55" s="554"/>
      <c r="F55" s="554"/>
    </row>
    <row r="56" spans="5:6" s="544" customFormat="1">
      <c r="E56" s="554"/>
      <c r="F56" s="554"/>
    </row>
    <row r="57" spans="5:6" s="544" customFormat="1">
      <c r="E57" s="554"/>
      <c r="F57" s="554"/>
    </row>
    <row r="58" spans="5:6" s="544" customFormat="1">
      <c r="E58" s="554"/>
      <c r="F58" s="554"/>
    </row>
    <row r="59" spans="5:6" s="544" customFormat="1">
      <c r="E59" s="554"/>
      <c r="F59" s="554"/>
    </row>
    <row r="60" spans="5:6" s="544" customFormat="1">
      <c r="E60" s="554"/>
      <c r="F60" s="554"/>
    </row>
    <row r="61" spans="5:6" s="544" customFormat="1">
      <c r="E61" s="554"/>
      <c r="F61" s="554"/>
    </row>
    <row r="62" spans="5:6" s="544" customFormat="1">
      <c r="E62" s="554"/>
      <c r="F62" s="554"/>
    </row>
    <row r="63" spans="5:6" s="544" customFormat="1">
      <c r="E63" s="554"/>
      <c r="F63" s="554"/>
    </row>
    <row r="64" spans="5:6" s="544" customFormat="1">
      <c r="E64" s="554"/>
      <c r="F64" s="554"/>
    </row>
    <row r="65" spans="5:6" s="544" customFormat="1">
      <c r="E65" s="554"/>
      <c r="F65" s="554"/>
    </row>
    <row r="66" spans="5:6" s="544" customFormat="1">
      <c r="E66" s="554"/>
      <c r="F66" s="554"/>
    </row>
    <row r="67" spans="5:6" s="544" customFormat="1">
      <c r="E67" s="554"/>
      <c r="F67" s="554"/>
    </row>
    <row r="68" spans="5:6" s="544" customFormat="1">
      <c r="E68" s="554"/>
      <c r="F68" s="554"/>
    </row>
    <row r="69" spans="5:6" s="544" customFormat="1">
      <c r="E69" s="554"/>
      <c r="F69" s="554"/>
    </row>
    <row r="70" spans="5:6" s="544" customFormat="1">
      <c r="E70" s="554"/>
      <c r="F70" s="554"/>
    </row>
    <row r="71" spans="5:6" s="544" customFormat="1">
      <c r="E71" s="554"/>
      <c r="F71" s="554"/>
    </row>
    <row r="72" spans="5:6" s="544" customFormat="1">
      <c r="E72" s="554"/>
      <c r="F72" s="554"/>
    </row>
    <row r="73" spans="5:6" s="544" customFormat="1">
      <c r="E73" s="554"/>
      <c r="F73" s="554"/>
    </row>
    <row r="74" spans="5:6" s="544" customFormat="1">
      <c r="E74" s="554"/>
      <c r="F74" s="554"/>
    </row>
    <row r="75" spans="5:6" s="544" customFormat="1">
      <c r="E75" s="554"/>
      <c r="F75" s="554"/>
    </row>
    <row r="76" spans="5:6" s="544" customFormat="1">
      <c r="E76" s="554"/>
      <c r="F76" s="554"/>
    </row>
    <row r="77" spans="5:6" s="544" customFormat="1">
      <c r="E77" s="554"/>
      <c r="F77" s="554"/>
    </row>
    <row r="78" spans="5:6" s="544" customFormat="1">
      <c r="E78" s="554"/>
      <c r="F78" s="554"/>
    </row>
    <row r="79" spans="5:6" s="544" customFormat="1">
      <c r="E79" s="554"/>
      <c r="F79" s="554"/>
    </row>
    <row r="80" spans="5:6" s="544" customFormat="1">
      <c r="E80" s="554"/>
      <c r="F80" s="554"/>
    </row>
    <row r="81" spans="5:6" s="544" customFormat="1">
      <c r="E81" s="554"/>
      <c r="F81" s="554"/>
    </row>
    <row r="82" spans="5:6" s="544" customFormat="1">
      <c r="E82" s="554"/>
      <c r="F82" s="554"/>
    </row>
    <row r="83" spans="5:6" s="544" customFormat="1">
      <c r="E83" s="554"/>
      <c r="F83" s="554"/>
    </row>
    <row r="84" spans="5:6" s="544" customFormat="1">
      <c r="E84" s="554"/>
      <c r="F84" s="554"/>
    </row>
    <row r="85" spans="5:6" s="544" customFormat="1">
      <c r="E85" s="554"/>
      <c r="F85" s="554"/>
    </row>
    <row r="86" spans="5:6" s="544" customFormat="1">
      <c r="E86" s="554"/>
      <c r="F86" s="554"/>
    </row>
    <row r="87" spans="5:6" s="544" customFormat="1">
      <c r="E87" s="554"/>
      <c r="F87" s="554"/>
    </row>
    <row r="88" spans="5:6" s="544" customFormat="1">
      <c r="E88" s="554"/>
      <c r="F88" s="554"/>
    </row>
    <row r="89" spans="5:6" s="544" customFormat="1">
      <c r="E89" s="554"/>
      <c r="F89" s="554"/>
    </row>
    <row r="90" spans="5:6" s="544" customFormat="1">
      <c r="E90" s="554"/>
      <c r="F90" s="554"/>
    </row>
    <row r="91" spans="5:6" s="544" customFormat="1">
      <c r="E91" s="554"/>
      <c r="F91" s="554"/>
    </row>
    <row r="92" spans="5:6" s="544" customFormat="1">
      <c r="E92" s="554"/>
      <c r="F92" s="554"/>
    </row>
    <row r="93" spans="5:6" s="544" customFormat="1">
      <c r="E93" s="554"/>
      <c r="F93" s="554"/>
    </row>
    <row r="94" spans="5:6" s="544" customFormat="1">
      <c r="E94" s="554"/>
      <c r="F94" s="554"/>
    </row>
    <row r="95" spans="5:6" s="544" customFormat="1">
      <c r="E95" s="554"/>
      <c r="F95" s="554"/>
    </row>
    <row r="96" spans="5:6" s="544" customFormat="1">
      <c r="E96" s="554"/>
      <c r="F96" s="554"/>
    </row>
    <row r="97" spans="5:6" s="544" customFormat="1">
      <c r="E97" s="554"/>
      <c r="F97" s="554"/>
    </row>
    <row r="98" spans="5:6" s="544" customFormat="1">
      <c r="E98" s="554"/>
      <c r="F98" s="554"/>
    </row>
    <row r="99" spans="5:6" s="544" customFormat="1">
      <c r="E99" s="554"/>
      <c r="F99" s="554"/>
    </row>
    <row r="100" spans="5:6" s="544" customFormat="1">
      <c r="E100" s="554"/>
      <c r="F100" s="554"/>
    </row>
    <row r="101" spans="5:6" s="544" customFormat="1">
      <c r="E101" s="554"/>
      <c r="F101" s="554"/>
    </row>
    <row r="102" spans="5:6" s="544" customFormat="1">
      <c r="E102" s="554"/>
      <c r="F102" s="554"/>
    </row>
    <row r="103" spans="5:6" s="544" customFormat="1">
      <c r="E103" s="554"/>
      <c r="F103" s="554"/>
    </row>
    <row r="104" spans="5:6" s="544" customFormat="1">
      <c r="E104" s="554"/>
      <c r="F104" s="554"/>
    </row>
    <row r="105" spans="5:6" s="544" customFormat="1">
      <c r="E105" s="554"/>
      <c r="F105" s="554"/>
    </row>
    <row r="106" spans="5:6" s="544" customFormat="1">
      <c r="E106" s="554"/>
      <c r="F106" s="554"/>
    </row>
    <row r="107" spans="5:6" s="544" customFormat="1">
      <c r="E107" s="554"/>
      <c r="F107" s="554"/>
    </row>
    <row r="108" spans="5:6" s="544" customFormat="1">
      <c r="E108" s="554"/>
      <c r="F108" s="554"/>
    </row>
    <row r="109" spans="5:6" s="544" customFormat="1">
      <c r="E109" s="554"/>
      <c r="F109" s="554"/>
    </row>
    <row r="110" spans="5:6" s="544" customFormat="1">
      <c r="E110" s="554"/>
      <c r="F110" s="554"/>
    </row>
    <row r="111" spans="5:6" s="544" customFormat="1">
      <c r="E111" s="554"/>
      <c r="F111" s="554"/>
    </row>
    <row r="112" spans="5:6" s="544" customFormat="1">
      <c r="E112" s="554"/>
      <c r="F112" s="554"/>
    </row>
    <row r="113" spans="5:6" s="544" customFormat="1">
      <c r="E113" s="554"/>
      <c r="F113" s="554"/>
    </row>
    <row r="114" spans="5:6" s="544" customFormat="1">
      <c r="E114" s="554"/>
      <c r="F114" s="554"/>
    </row>
    <row r="115" spans="5:6" s="544" customFormat="1">
      <c r="E115" s="554"/>
      <c r="F115" s="554"/>
    </row>
    <row r="116" spans="5:6" s="544" customFormat="1">
      <c r="E116" s="554"/>
      <c r="F116" s="554"/>
    </row>
    <row r="117" spans="5:6" s="544" customFormat="1">
      <c r="E117" s="554"/>
      <c r="F117" s="554"/>
    </row>
    <row r="118" spans="5:6" s="544" customFormat="1">
      <c r="E118" s="554"/>
      <c r="F118" s="554"/>
    </row>
    <row r="119" spans="5:6" s="544" customFormat="1">
      <c r="E119" s="554"/>
      <c r="F119" s="554"/>
    </row>
    <row r="120" spans="5:6" s="544" customFormat="1">
      <c r="E120" s="554"/>
      <c r="F120" s="554"/>
    </row>
    <row r="121" spans="5:6" s="544" customFormat="1">
      <c r="E121" s="554"/>
      <c r="F121" s="554"/>
    </row>
    <row r="122" spans="5:6" s="544" customFormat="1">
      <c r="E122" s="554"/>
      <c r="F122" s="554"/>
    </row>
    <row r="123" spans="5:6" s="544" customFormat="1">
      <c r="E123" s="554"/>
      <c r="F123" s="554"/>
    </row>
    <row r="124" spans="5:6" s="544" customFormat="1">
      <c r="E124" s="554"/>
      <c r="F124" s="554"/>
    </row>
    <row r="125" spans="5:6" s="544" customFormat="1">
      <c r="E125" s="554"/>
      <c r="F125" s="554"/>
    </row>
    <row r="126" spans="5:6" s="544" customFormat="1">
      <c r="E126" s="554"/>
      <c r="F126" s="554"/>
    </row>
    <row r="127" spans="5:6" s="544" customFormat="1">
      <c r="E127" s="554"/>
      <c r="F127" s="554"/>
    </row>
    <row r="128" spans="5:6" s="544" customFormat="1">
      <c r="E128" s="554"/>
      <c r="F128" s="554"/>
    </row>
    <row r="129" spans="5:6" s="544" customFormat="1">
      <c r="E129" s="554"/>
      <c r="F129" s="554"/>
    </row>
    <row r="130" spans="5:6" s="544" customFormat="1">
      <c r="E130" s="554"/>
      <c r="F130" s="554"/>
    </row>
    <row r="131" spans="5:6" s="544" customFormat="1">
      <c r="E131" s="554"/>
      <c r="F131" s="554"/>
    </row>
    <row r="132" spans="5:6" s="544" customFormat="1">
      <c r="E132" s="554"/>
      <c r="F132" s="554"/>
    </row>
    <row r="133" spans="5:6" s="544" customFormat="1">
      <c r="E133" s="554"/>
      <c r="F133" s="554"/>
    </row>
    <row r="134" spans="5:6" s="544" customFormat="1">
      <c r="E134" s="554"/>
      <c r="F134" s="554"/>
    </row>
    <row r="135" spans="5:6" s="544" customFormat="1">
      <c r="E135" s="554"/>
      <c r="F135" s="554"/>
    </row>
    <row r="136" spans="5:6" s="544" customFormat="1">
      <c r="E136" s="554"/>
      <c r="F136" s="554"/>
    </row>
    <row r="137" spans="5:6" s="544" customFormat="1">
      <c r="E137" s="554"/>
      <c r="F137" s="554"/>
    </row>
    <row r="138" spans="5:6" s="544" customFormat="1">
      <c r="E138" s="554"/>
      <c r="F138" s="554"/>
    </row>
    <row r="139" spans="5:6" s="544" customFormat="1">
      <c r="E139" s="554"/>
      <c r="F139" s="554"/>
    </row>
    <row r="140" spans="5:6" s="544" customFormat="1">
      <c r="E140" s="554"/>
      <c r="F140" s="554"/>
    </row>
    <row r="141" spans="5:6" s="544" customFormat="1">
      <c r="E141" s="554"/>
      <c r="F141" s="554"/>
    </row>
    <row r="142" spans="5:6" s="544" customFormat="1">
      <c r="E142" s="554"/>
      <c r="F142" s="554"/>
    </row>
    <row r="143" spans="5:6" s="544" customFormat="1">
      <c r="E143" s="554"/>
      <c r="F143" s="554"/>
    </row>
    <row r="144" spans="5:6" s="544" customFormat="1">
      <c r="E144" s="554"/>
      <c r="F144" s="554"/>
    </row>
    <row r="145" spans="5:6" s="544" customFormat="1">
      <c r="E145" s="554"/>
      <c r="F145" s="554"/>
    </row>
    <row r="146" spans="5:6" s="544" customFormat="1">
      <c r="E146" s="554"/>
      <c r="F146" s="554"/>
    </row>
    <row r="147" spans="5:6" s="544" customFormat="1">
      <c r="E147" s="554"/>
      <c r="F147" s="554"/>
    </row>
    <row r="148" spans="5:6" s="544" customFormat="1">
      <c r="E148" s="554"/>
      <c r="F148" s="554"/>
    </row>
    <row r="149" spans="5:6" s="544" customFormat="1">
      <c r="E149" s="554"/>
      <c r="F149" s="554"/>
    </row>
    <row r="150" spans="5:6" s="544" customFormat="1">
      <c r="E150" s="554"/>
      <c r="F150" s="554"/>
    </row>
    <row r="151" spans="5:6" s="544" customFormat="1">
      <c r="E151" s="554"/>
      <c r="F151" s="554"/>
    </row>
    <row r="152" spans="5:6" s="544" customFormat="1">
      <c r="E152" s="554"/>
      <c r="F152" s="554"/>
    </row>
    <row r="153" spans="5:6" s="544" customFormat="1">
      <c r="E153" s="554"/>
      <c r="F153" s="554"/>
    </row>
    <row r="154" spans="5:6" s="544" customFormat="1">
      <c r="E154" s="554"/>
      <c r="F154" s="554"/>
    </row>
    <row r="155" spans="5:6" s="544" customFormat="1">
      <c r="E155" s="554"/>
      <c r="F155" s="554"/>
    </row>
    <row r="156" spans="5:6" s="544" customFormat="1">
      <c r="E156" s="554"/>
      <c r="F156" s="554"/>
    </row>
    <row r="157" spans="5:6" s="544" customFormat="1">
      <c r="E157" s="554"/>
      <c r="F157" s="554"/>
    </row>
    <row r="158" spans="5:6" s="544" customFormat="1">
      <c r="E158" s="554"/>
      <c r="F158" s="554"/>
    </row>
    <row r="159" spans="5:6" s="544" customFormat="1">
      <c r="E159" s="554"/>
      <c r="F159" s="554"/>
    </row>
    <row r="160" spans="5:6" s="544" customFormat="1">
      <c r="E160" s="554"/>
      <c r="F160" s="554"/>
    </row>
    <row r="161" spans="5:6" s="544" customFormat="1">
      <c r="E161" s="554"/>
      <c r="F161" s="554"/>
    </row>
    <row r="162" spans="5:6" s="544" customFormat="1">
      <c r="E162" s="554"/>
      <c r="F162" s="554"/>
    </row>
    <row r="163" spans="5:6" s="544" customFormat="1">
      <c r="E163" s="554"/>
      <c r="F163" s="554"/>
    </row>
  </sheetData>
  <pageMargins left="0.7" right="0.51432291666666663" top="0.86956521739130432" bottom="0.61458333333333337" header="0.3" footer="0.3"/>
  <pageSetup orientation="portrait" r:id="rId1"/>
  <headerFooter>
    <oddHeader>&amp;R&amp;7Informe de la Operación Mensual - Febrero 2018
INFSGI-MES-02-2018
08/03/2018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C5B26-9D46-405A-A707-C6AF37EEFDC1}">
  <sheetPr>
    <tabColor theme="4"/>
  </sheetPr>
  <dimension ref="A1:J152"/>
  <sheetViews>
    <sheetView showGridLines="0" view="pageBreakPreview" zoomScale="145" zoomScaleNormal="100" zoomScaleSheetLayoutView="145" zoomScalePageLayoutView="145" workbookViewId="0">
      <selection activeCell="K12" sqref="K12"/>
    </sheetView>
  </sheetViews>
  <sheetFormatPr defaultRowHeight="9"/>
  <cols>
    <col min="1" max="1" width="16.1640625" style="544" customWidth="1"/>
    <col min="2" max="2" width="19.6640625" style="544" customWidth="1"/>
    <col min="3" max="3" width="12.5" style="544" bestFit="1" customWidth="1"/>
    <col min="4" max="4" width="47.1640625" style="544" customWidth="1"/>
    <col min="5" max="5" width="11.5" style="544" customWidth="1"/>
    <col min="6" max="6" width="10.5" style="544" customWidth="1"/>
    <col min="7" max="8" width="9.33203125" style="544" customWidth="1"/>
    <col min="9" max="10" width="9.33203125" style="544"/>
    <col min="11" max="16384" width="9.33203125" style="553"/>
  </cols>
  <sheetData>
    <row r="1" spans="1:9" s="544" customFormat="1" ht="30" customHeight="1">
      <c r="A1" s="555" t="s">
        <v>299</v>
      </c>
      <c r="B1" s="556" t="s">
        <v>502</v>
      </c>
      <c r="C1" s="555" t="s">
        <v>490</v>
      </c>
      <c r="D1" s="557" t="s">
        <v>503</v>
      </c>
      <c r="E1" s="558" t="s">
        <v>504</v>
      </c>
      <c r="F1" s="558" t="s">
        <v>505</v>
      </c>
      <c r="G1" s="510"/>
      <c r="H1" s="545"/>
      <c r="I1" s="508"/>
    </row>
    <row r="2" spans="1:9" s="544" customFormat="1" ht="90.75" customHeight="1">
      <c r="A2" s="560" t="s">
        <v>659</v>
      </c>
      <c r="B2" s="560" t="s">
        <v>660</v>
      </c>
      <c r="C2" s="559">
        <v>43157.667361111111</v>
      </c>
      <c r="D2" s="762" t="s">
        <v>661</v>
      </c>
      <c r="E2" s="563">
        <v>23.91</v>
      </c>
      <c r="F2" s="563"/>
      <c r="G2" s="518"/>
      <c r="H2" s="515"/>
    </row>
    <row r="3" spans="1:9" s="544" customFormat="1" ht="111" customHeight="1">
      <c r="A3" s="560" t="s">
        <v>516</v>
      </c>
      <c r="B3" s="560" t="s">
        <v>662</v>
      </c>
      <c r="C3" s="559">
        <v>43158.697916666664</v>
      </c>
      <c r="D3" s="762" t="s">
        <v>663</v>
      </c>
      <c r="E3" s="563">
        <v>6.73</v>
      </c>
      <c r="F3" s="563"/>
      <c r="G3" s="518"/>
      <c r="H3" s="515"/>
    </row>
    <row r="4" spans="1:9" s="544" customFormat="1" ht="104.25" customHeight="1">
      <c r="A4" s="560" t="s">
        <v>516</v>
      </c>
      <c r="B4" s="560" t="s">
        <v>662</v>
      </c>
      <c r="C4" s="559">
        <v>43159.448611111111</v>
      </c>
      <c r="D4" s="762" t="s">
        <v>664</v>
      </c>
      <c r="E4" s="563">
        <v>5.45</v>
      </c>
      <c r="F4" s="563"/>
      <c r="G4" s="518"/>
      <c r="H4" s="515"/>
    </row>
    <row r="5" spans="1:9" s="544" customFormat="1" ht="93.75" customHeight="1">
      <c r="A5" s="560" t="s">
        <v>665</v>
      </c>
      <c r="B5" s="560" t="s">
        <v>666</v>
      </c>
      <c r="C5" s="559">
        <v>43159.291666666664</v>
      </c>
      <c r="D5" s="762" t="s">
        <v>667</v>
      </c>
      <c r="E5" s="563">
        <v>2.84</v>
      </c>
      <c r="F5" s="563"/>
      <c r="G5" s="518"/>
      <c r="H5" s="515"/>
    </row>
    <row r="6" spans="1:9" s="544" customFormat="1" ht="74.25" customHeight="1">
      <c r="A6" s="560" t="s">
        <v>99</v>
      </c>
      <c r="B6" s="560" t="s">
        <v>627</v>
      </c>
      <c r="C6" s="561">
        <v>43159.757638888892</v>
      </c>
      <c r="D6" s="760" t="s">
        <v>668</v>
      </c>
      <c r="E6" s="562">
        <v>0.04</v>
      </c>
      <c r="F6" s="562"/>
      <c r="G6" s="509"/>
      <c r="H6" s="515"/>
    </row>
    <row r="7" spans="1:9" s="544" customFormat="1" ht="146.25" customHeight="1">
      <c r="A7" s="560" t="s">
        <v>99</v>
      </c>
      <c r="B7" s="560" t="s">
        <v>527</v>
      </c>
      <c r="C7" s="561">
        <v>43159.661111111112</v>
      </c>
      <c r="D7" s="760" t="s">
        <v>669</v>
      </c>
      <c r="E7" s="562">
        <v>32.700000000000003</v>
      </c>
      <c r="F7" s="562"/>
      <c r="G7" s="509"/>
      <c r="H7" s="515"/>
    </row>
    <row r="8" spans="1:9" s="544" customFormat="1" ht="111" customHeight="1">
      <c r="E8" s="554"/>
      <c r="F8" s="554"/>
      <c r="G8" s="509"/>
      <c r="H8" s="515"/>
    </row>
    <row r="9" spans="1:9" s="544" customFormat="1">
      <c r="E9" s="554"/>
      <c r="F9" s="554"/>
    </row>
    <row r="10" spans="1:9" s="544" customFormat="1">
      <c r="E10" s="554"/>
      <c r="F10" s="554"/>
    </row>
    <row r="11" spans="1:9" s="544" customFormat="1">
      <c r="E11" s="554"/>
      <c r="F11" s="554"/>
    </row>
    <row r="12" spans="1:9" s="544" customFormat="1">
      <c r="E12" s="554"/>
      <c r="F12" s="554"/>
    </row>
    <row r="13" spans="1:9" s="544" customFormat="1">
      <c r="E13" s="554"/>
      <c r="F13" s="554"/>
    </row>
    <row r="14" spans="1:9" s="544" customFormat="1">
      <c r="E14" s="554"/>
      <c r="F14" s="554"/>
    </row>
    <row r="15" spans="1:9" s="544" customFormat="1">
      <c r="E15" s="554"/>
      <c r="F15" s="554"/>
    </row>
    <row r="16" spans="1:9" s="544" customFormat="1">
      <c r="E16" s="554"/>
      <c r="F16" s="554"/>
    </row>
    <row r="17" spans="5:6" s="544" customFormat="1">
      <c r="E17" s="554"/>
      <c r="F17" s="554"/>
    </row>
    <row r="18" spans="5:6" s="544" customFormat="1">
      <c r="E18" s="554"/>
      <c r="F18" s="554"/>
    </row>
    <row r="19" spans="5:6" s="544" customFormat="1">
      <c r="E19" s="554"/>
      <c r="F19" s="554"/>
    </row>
    <row r="20" spans="5:6" s="544" customFormat="1">
      <c r="E20" s="554"/>
      <c r="F20" s="554"/>
    </row>
    <row r="21" spans="5:6" s="544" customFormat="1">
      <c r="E21" s="554"/>
      <c r="F21" s="554"/>
    </row>
    <row r="22" spans="5:6" s="544" customFormat="1">
      <c r="E22" s="554"/>
      <c r="F22" s="554"/>
    </row>
    <row r="23" spans="5:6" s="544" customFormat="1">
      <c r="E23" s="554"/>
      <c r="F23" s="554"/>
    </row>
    <row r="24" spans="5:6" s="544" customFormat="1">
      <c r="E24" s="554"/>
      <c r="F24" s="554"/>
    </row>
    <row r="25" spans="5:6" s="544" customFormat="1">
      <c r="E25" s="554"/>
      <c r="F25" s="554"/>
    </row>
    <row r="26" spans="5:6" s="544" customFormat="1">
      <c r="E26" s="554"/>
      <c r="F26" s="554"/>
    </row>
    <row r="27" spans="5:6" s="544" customFormat="1">
      <c r="E27" s="554"/>
      <c r="F27" s="554"/>
    </row>
    <row r="28" spans="5:6" s="544" customFormat="1">
      <c r="E28" s="554"/>
      <c r="F28" s="554"/>
    </row>
    <row r="29" spans="5:6" s="544" customFormat="1">
      <c r="E29" s="554"/>
      <c r="F29" s="554"/>
    </row>
    <row r="30" spans="5:6" s="544" customFormat="1">
      <c r="E30" s="554"/>
      <c r="F30" s="554"/>
    </row>
    <row r="31" spans="5:6" s="544" customFormat="1">
      <c r="E31" s="554"/>
      <c r="F31" s="554"/>
    </row>
    <row r="32" spans="5:6" s="544" customFormat="1">
      <c r="E32" s="554"/>
      <c r="F32" s="554"/>
    </row>
    <row r="33" spans="5:6" s="544" customFormat="1">
      <c r="E33" s="554"/>
      <c r="F33" s="554"/>
    </row>
    <row r="34" spans="5:6" s="544" customFormat="1">
      <c r="E34" s="554"/>
      <c r="F34" s="554"/>
    </row>
    <row r="35" spans="5:6" s="544" customFormat="1">
      <c r="E35" s="554"/>
      <c r="F35" s="554"/>
    </row>
    <row r="36" spans="5:6" s="544" customFormat="1">
      <c r="E36" s="554"/>
      <c r="F36" s="554"/>
    </row>
    <row r="37" spans="5:6" s="544" customFormat="1">
      <c r="E37" s="554"/>
      <c r="F37" s="554"/>
    </row>
    <row r="38" spans="5:6" s="544" customFormat="1">
      <c r="E38" s="554"/>
      <c r="F38" s="554"/>
    </row>
    <row r="39" spans="5:6" s="544" customFormat="1">
      <c r="E39" s="554"/>
      <c r="F39" s="554"/>
    </row>
    <row r="40" spans="5:6" s="544" customFormat="1">
      <c r="E40" s="554"/>
      <c r="F40" s="554"/>
    </row>
    <row r="41" spans="5:6" s="544" customFormat="1">
      <c r="E41" s="554"/>
      <c r="F41" s="554"/>
    </row>
    <row r="42" spans="5:6" s="544" customFormat="1">
      <c r="E42" s="554"/>
      <c r="F42" s="554"/>
    </row>
    <row r="43" spans="5:6" s="544" customFormat="1">
      <c r="E43" s="554"/>
      <c r="F43" s="554"/>
    </row>
    <row r="44" spans="5:6" s="544" customFormat="1">
      <c r="E44" s="554"/>
      <c r="F44" s="554"/>
    </row>
    <row r="45" spans="5:6" s="544" customFormat="1">
      <c r="E45" s="554"/>
      <c r="F45" s="554"/>
    </row>
    <row r="46" spans="5:6" s="544" customFormat="1">
      <c r="E46" s="554"/>
      <c r="F46" s="554"/>
    </row>
    <row r="47" spans="5:6" s="544" customFormat="1">
      <c r="E47" s="554"/>
      <c r="F47" s="554"/>
    </row>
    <row r="48" spans="5:6" s="544" customFormat="1">
      <c r="E48" s="554"/>
      <c r="F48" s="554"/>
    </row>
    <row r="49" spans="5:6" s="544" customFormat="1">
      <c r="E49" s="554"/>
      <c r="F49" s="554"/>
    </row>
    <row r="50" spans="5:6" s="544" customFormat="1">
      <c r="E50" s="554"/>
      <c r="F50" s="554"/>
    </row>
    <row r="51" spans="5:6" s="544" customFormat="1">
      <c r="E51" s="554"/>
      <c r="F51" s="554"/>
    </row>
    <row r="52" spans="5:6" s="544" customFormat="1">
      <c r="E52" s="554"/>
      <c r="F52" s="554"/>
    </row>
    <row r="53" spans="5:6" s="544" customFormat="1">
      <c r="E53" s="554"/>
      <c r="F53" s="554"/>
    </row>
    <row r="54" spans="5:6" s="544" customFormat="1">
      <c r="E54" s="554"/>
      <c r="F54" s="554"/>
    </row>
    <row r="55" spans="5:6" s="544" customFormat="1">
      <c r="E55" s="554"/>
      <c r="F55" s="554"/>
    </row>
    <row r="56" spans="5:6" s="544" customFormat="1">
      <c r="E56" s="554"/>
      <c r="F56" s="554"/>
    </row>
    <row r="57" spans="5:6" s="544" customFormat="1">
      <c r="E57" s="554"/>
      <c r="F57" s="554"/>
    </row>
    <row r="58" spans="5:6" s="544" customFormat="1">
      <c r="E58" s="554"/>
      <c r="F58" s="554"/>
    </row>
    <row r="59" spans="5:6" s="544" customFormat="1">
      <c r="E59" s="554"/>
      <c r="F59" s="554"/>
    </row>
    <row r="60" spans="5:6" s="544" customFormat="1">
      <c r="E60" s="554"/>
      <c r="F60" s="554"/>
    </row>
    <row r="61" spans="5:6" s="544" customFormat="1">
      <c r="E61" s="554"/>
      <c r="F61" s="554"/>
    </row>
    <row r="62" spans="5:6" s="544" customFormat="1">
      <c r="E62" s="554"/>
      <c r="F62" s="554"/>
    </row>
    <row r="63" spans="5:6" s="544" customFormat="1">
      <c r="E63" s="554"/>
      <c r="F63" s="554"/>
    </row>
    <row r="64" spans="5:6" s="544" customFormat="1">
      <c r="E64" s="554"/>
      <c r="F64" s="554"/>
    </row>
    <row r="65" spans="5:6" s="544" customFormat="1">
      <c r="E65" s="554"/>
      <c r="F65" s="554"/>
    </row>
    <row r="66" spans="5:6" s="544" customFormat="1">
      <c r="E66" s="554"/>
      <c r="F66" s="554"/>
    </row>
    <row r="67" spans="5:6" s="544" customFormat="1">
      <c r="E67" s="554"/>
      <c r="F67" s="554"/>
    </row>
    <row r="68" spans="5:6" s="544" customFormat="1">
      <c r="E68" s="554"/>
      <c r="F68" s="554"/>
    </row>
    <row r="69" spans="5:6" s="544" customFormat="1">
      <c r="E69" s="554"/>
      <c r="F69" s="554"/>
    </row>
    <row r="70" spans="5:6" s="544" customFormat="1">
      <c r="E70" s="554"/>
      <c r="F70" s="554"/>
    </row>
    <row r="71" spans="5:6" s="544" customFormat="1">
      <c r="E71" s="554"/>
      <c r="F71" s="554"/>
    </row>
    <row r="72" spans="5:6" s="544" customFormat="1">
      <c r="E72" s="554"/>
      <c r="F72" s="554"/>
    </row>
    <row r="73" spans="5:6" s="544" customFormat="1">
      <c r="E73" s="554"/>
      <c r="F73" s="554"/>
    </row>
    <row r="74" spans="5:6" s="544" customFormat="1">
      <c r="E74" s="554"/>
      <c r="F74" s="554"/>
    </row>
    <row r="75" spans="5:6" s="544" customFormat="1">
      <c r="E75" s="554"/>
      <c r="F75" s="554"/>
    </row>
    <row r="76" spans="5:6" s="544" customFormat="1">
      <c r="E76" s="554"/>
      <c r="F76" s="554"/>
    </row>
    <row r="77" spans="5:6" s="544" customFormat="1">
      <c r="E77" s="554"/>
      <c r="F77" s="554"/>
    </row>
    <row r="78" spans="5:6" s="544" customFormat="1">
      <c r="E78" s="554"/>
      <c r="F78" s="554"/>
    </row>
    <row r="79" spans="5:6" s="544" customFormat="1">
      <c r="E79" s="554"/>
      <c r="F79" s="554"/>
    </row>
    <row r="80" spans="5:6" s="544" customFormat="1">
      <c r="E80" s="554"/>
      <c r="F80" s="554"/>
    </row>
    <row r="81" spans="5:6" s="544" customFormat="1">
      <c r="E81" s="554"/>
      <c r="F81" s="554"/>
    </row>
    <row r="82" spans="5:6" s="544" customFormat="1">
      <c r="E82" s="554"/>
      <c r="F82" s="554"/>
    </row>
    <row r="83" spans="5:6" s="544" customFormat="1">
      <c r="E83" s="554"/>
      <c r="F83" s="554"/>
    </row>
    <row r="84" spans="5:6" s="544" customFormat="1">
      <c r="E84" s="554"/>
      <c r="F84" s="554"/>
    </row>
    <row r="85" spans="5:6" s="544" customFormat="1">
      <c r="E85" s="554"/>
      <c r="F85" s="554"/>
    </row>
    <row r="86" spans="5:6" s="544" customFormat="1">
      <c r="E86" s="554"/>
      <c r="F86" s="554"/>
    </row>
    <row r="87" spans="5:6" s="544" customFormat="1">
      <c r="E87" s="554"/>
      <c r="F87" s="554"/>
    </row>
    <row r="88" spans="5:6" s="544" customFormat="1">
      <c r="E88" s="554"/>
      <c r="F88" s="554"/>
    </row>
    <row r="89" spans="5:6" s="544" customFormat="1">
      <c r="E89" s="554"/>
      <c r="F89" s="554"/>
    </row>
    <row r="90" spans="5:6" s="544" customFormat="1">
      <c r="E90" s="554"/>
      <c r="F90" s="554"/>
    </row>
    <row r="91" spans="5:6" s="544" customFormat="1">
      <c r="E91" s="554"/>
      <c r="F91" s="554"/>
    </row>
    <row r="92" spans="5:6" s="544" customFormat="1">
      <c r="E92" s="554"/>
      <c r="F92" s="554"/>
    </row>
    <row r="93" spans="5:6" s="544" customFormat="1">
      <c r="E93" s="554"/>
      <c r="F93" s="554"/>
    </row>
    <row r="94" spans="5:6" s="544" customFormat="1">
      <c r="E94" s="554"/>
      <c r="F94" s="554"/>
    </row>
    <row r="95" spans="5:6" s="544" customFormat="1">
      <c r="E95" s="554"/>
      <c r="F95" s="554"/>
    </row>
    <row r="96" spans="5:6" s="544" customFormat="1">
      <c r="E96" s="554"/>
      <c r="F96" s="554"/>
    </row>
    <row r="97" spans="5:6" s="544" customFormat="1">
      <c r="E97" s="554"/>
      <c r="F97" s="554"/>
    </row>
    <row r="98" spans="5:6" s="544" customFormat="1">
      <c r="E98" s="554"/>
      <c r="F98" s="554"/>
    </row>
    <row r="99" spans="5:6" s="544" customFormat="1">
      <c r="E99" s="554"/>
      <c r="F99" s="554"/>
    </row>
    <row r="100" spans="5:6" s="544" customFormat="1">
      <c r="E100" s="554"/>
      <c r="F100" s="554"/>
    </row>
    <row r="101" spans="5:6" s="544" customFormat="1">
      <c r="E101" s="554"/>
      <c r="F101" s="554"/>
    </row>
    <row r="102" spans="5:6" s="544" customFormat="1">
      <c r="E102" s="554"/>
      <c r="F102" s="554"/>
    </row>
    <row r="103" spans="5:6" s="544" customFormat="1">
      <c r="E103" s="554"/>
      <c r="F103" s="554"/>
    </row>
    <row r="104" spans="5:6" s="544" customFormat="1">
      <c r="E104" s="554"/>
      <c r="F104" s="554"/>
    </row>
    <row r="105" spans="5:6" s="544" customFormat="1">
      <c r="E105" s="554"/>
      <c r="F105" s="554"/>
    </row>
    <row r="106" spans="5:6" s="544" customFormat="1">
      <c r="E106" s="554"/>
      <c r="F106" s="554"/>
    </row>
    <row r="107" spans="5:6" s="544" customFormat="1">
      <c r="E107" s="554"/>
      <c r="F107" s="554"/>
    </row>
    <row r="108" spans="5:6" s="544" customFormat="1">
      <c r="E108" s="554"/>
      <c r="F108" s="554"/>
    </row>
    <row r="109" spans="5:6" s="544" customFormat="1">
      <c r="E109" s="554"/>
      <c r="F109" s="554"/>
    </row>
    <row r="110" spans="5:6" s="544" customFormat="1">
      <c r="E110" s="554"/>
      <c r="F110" s="554"/>
    </row>
    <row r="111" spans="5:6" s="544" customFormat="1">
      <c r="E111" s="554"/>
      <c r="F111" s="554"/>
    </row>
    <row r="112" spans="5:6" s="544" customFormat="1">
      <c r="E112" s="554"/>
      <c r="F112" s="554"/>
    </row>
    <row r="113" spans="5:6" s="544" customFormat="1">
      <c r="E113" s="554"/>
      <c r="F113" s="554"/>
    </row>
    <row r="114" spans="5:6" s="544" customFormat="1">
      <c r="E114" s="554"/>
      <c r="F114" s="554"/>
    </row>
    <row r="115" spans="5:6" s="544" customFormat="1">
      <c r="E115" s="554"/>
      <c r="F115" s="554"/>
    </row>
    <row r="116" spans="5:6" s="544" customFormat="1">
      <c r="E116" s="554"/>
      <c r="F116" s="554"/>
    </row>
    <row r="117" spans="5:6" s="544" customFormat="1">
      <c r="E117" s="554"/>
      <c r="F117" s="554"/>
    </row>
    <row r="118" spans="5:6" s="544" customFormat="1">
      <c r="E118" s="554"/>
      <c r="F118" s="554"/>
    </row>
    <row r="119" spans="5:6" s="544" customFormat="1">
      <c r="E119" s="554"/>
      <c r="F119" s="554"/>
    </row>
    <row r="120" spans="5:6" s="544" customFormat="1">
      <c r="E120" s="554"/>
      <c r="F120" s="554"/>
    </row>
    <row r="121" spans="5:6" s="544" customFormat="1">
      <c r="E121" s="554"/>
      <c r="F121" s="554"/>
    </row>
    <row r="122" spans="5:6" s="544" customFormat="1">
      <c r="E122" s="554"/>
      <c r="F122" s="554"/>
    </row>
    <row r="123" spans="5:6" s="544" customFormat="1">
      <c r="E123" s="554"/>
      <c r="F123" s="554"/>
    </row>
    <row r="124" spans="5:6" s="544" customFormat="1">
      <c r="E124" s="554"/>
      <c r="F124" s="554"/>
    </row>
    <row r="125" spans="5:6" s="544" customFormat="1">
      <c r="E125" s="554"/>
      <c r="F125" s="554"/>
    </row>
    <row r="126" spans="5:6" s="544" customFormat="1">
      <c r="E126" s="554"/>
      <c r="F126" s="554"/>
    </row>
    <row r="127" spans="5:6" s="544" customFormat="1">
      <c r="E127" s="554"/>
      <c r="F127" s="554"/>
    </row>
    <row r="128" spans="5:6" s="544" customFormat="1">
      <c r="E128" s="554"/>
      <c r="F128" s="554"/>
    </row>
    <row r="129" spans="5:6" s="544" customFormat="1">
      <c r="E129" s="554"/>
      <c r="F129" s="554"/>
    </row>
    <row r="130" spans="5:6" s="544" customFormat="1">
      <c r="E130" s="554"/>
      <c r="F130" s="554"/>
    </row>
    <row r="131" spans="5:6" s="544" customFormat="1">
      <c r="E131" s="554"/>
      <c r="F131" s="554"/>
    </row>
    <row r="132" spans="5:6" s="544" customFormat="1">
      <c r="E132" s="554"/>
      <c r="F132" s="554"/>
    </row>
    <row r="133" spans="5:6" s="544" customFormat="1">
      <c r="E133" s="554"/>
      <c r="F133" s="554"/>
    </row>
    <row r="134" spans="5:6" s="544" customFormat="1">
      <c r="E134" s="554"/>
      <c r="F134" s="554"/>
    </row>
    <row r="135" spans="5:6" s="544" customFormat="1">
      <c r="E135" s="554"/>
      <c r="F135" s="554"/>
    </row>
    <row r="136" spans="5:6" s="544" customFormat="1">
      <c r="E136" s="554"/>
      <c r="F136" s="554"/>
    </row>
    <row r="137" spans="5:6" s="544" customFormat="1">
      <c r="E137" s="554"/>
      <c r="F137" s="554"/>
    </row>
    <row r="138" spans="5:6" s="544" customFormat="1">
      <c r="E138" s="554"/>
      <c r="F138" s="554"/>
    </row>
    <row r="139" spans="5:6" s="544" customFormat="1">
      <c r="E139" s="554"/>
      <c r="F139" s="554"/>
    </row>
    <row r="140" spans="5:6" s="544" customFormat="1">
      <c r="E140" s="554"/>
      <c r="F140" s="554"/>
    </row>
    <row r="141" spans="5:6" s="544" customFormat="1">
      <c r="E141" s="554"/>
      <c r="F141" s="554"/>
    </row>
    <row r="142" spans="5:6" s="544" customFormat="1">
      <c r="E142" s="554"/>
      <c r="F142" s="554"/>
    </row>
    <row r="143" spans="5:6" s="544" customFormat="1">
      <c r="E143" s="554"/>
      <c r="F143" s="554"/>
    </row>
    <row r="144" spans="5:6" s="544" customFormat="1">
      <c r="E144" s="554"/>
      <c r="F144" s="554"/>
    </row>
    <row r="145" spans="5:6" s="544" customFormat="1">
      <c r="E145" s="554"/>
      <c r="F145" s="554"/>
    </row>
    <row r="146" spans="5:6" s="544" customFormat="1">
      <c r="E146" s="554"/>
      <c r="F146" s="554"/>
    </row>
    <row r="147" spans="5:6" s="544" customFormat="1">
      <c r="E147" s="554"/>
      <c r="F147" s="554"/>
    </row>
    <row r="148" spans="5:6" s="544" customFormat="1">
      <c r="E148" s="554"/>
      <c r="F148" s="554"/>
    </row>
    <row r="149" spans="5:6" s="544" customFormat="1">
      <c r="E149" s="554"/>
      <c r="F149" s="554"/>
    </row>
    <row r="150" spans="5:6" s="544" customFormat="1">
      <c r="E150" s="554"/>
      <c r="F150" s="554"/>
    </row>
    <row r="151" spans="5:6" s="544" customFormat="1">
      <c r="E151" s="554"/>
      <c r="F151" s="554"/>
    </row>
    <row r="152" spans="5:6" s="544" customFormat="1">
      <c r="E152" s="554"/>
      <c r="F152" s="554"/>
    </row>
  </sheetData>
  <pageMargins left="0.7" right="0.51432291666666663" top="0.86956521739130432" bottom="0.61458333333333337" header="0.3" footer="0.3"/>
  <pageSetup orientation="portrait" r:id="rId1"/>
  <headerFooter>
    <oddHeader>&amp;R&amp;7Informe de la Operación Mensual - Febrero 2018
INFSGI-MES-02-2018
08/03/2018
Versión: 01</oddHeader>
    <oddFooter>&amp;L&amp;7COES SINAC, 2018
&amp;C32&amp;R&amp;7Dirección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zoomScale="115" zoomScaleNormal="100" zoomScaleSheetLayoutView="115" workbookViewId="0">
      <selection activeCell="K12" sqref="K12"/>
    </sheetView>
  </sheetViews>
  <sheetFormatPr defaultRowHeight="11.25"/>
  <sheetData>
    <row r="4" spans="2:15">
      <c r="B4" s="564"/>
      <c r="C4" s="564"/>
      <c r="D4" s="564"/>
      <c r="E4" s="564"/>
      <c r="F4" s="564"/>
      <c r="G4" s="564"/>
      <c r="H4" s="564"/>
      <c r="I4" s="564"/>
      <c r="J4" s="564"/>
      <c r="K4" s="564"/>
      <c r="L4" s="564"/>
      <c r="M4" s="564"/>
      <c r="N4" s="564"/>
      <c r="O4" s="564"/>
    </row>
    <row r="5" spans="2:15">
      <c r="B5" s="564"/>
      <c r="C5" s="564"/>
      <c r="D5" s="564"/>
      <c r="E5" s="564"/>
      <c r="F5" s="564"/>
      <c r="G5" s="564"/>
      <c r="H5" s="564"/>
      <c r="I5" s="564"/>
      <c r="J5" s="564"/>
      <c r="K5" s="564"/>
      <c r="L5" s="564"/>
      <c r="M5" s="564"/>
      <c r="N5" s="564"/>
      <c r="O5" s="564"/>
    </row>
    <row r="6" spans="2:15">
      <c r="B6" s="564"/>
      <c r="C6" s="564"/>
      <c r="D6" s="564"/>
      <c r="E6" s="564"/>
      <c r="F6" s="564"/>
      <c r="G6" s="564"/>
      <c r="H6" s="564"/>
      <c r="I6" s="564"/>
      <c r="J6" s="564"/>
      <c r="K6" s="564"/>
      <c r="L6" s="564"/>
      <c r="M6" s="564"/>
      <c r="N6" s="564"/>
      <c r="O6" s="564"/>
    </row>
    <row r="7" spans="2:15">
      <c r="B7" s="565"/>
      <c r="C7" s="564"/>
      <c r="D7" s="564"/>
      <c r="E7" s="564"/>
      <c r="F7" s="564"/>
      <c r="G7" s="564"/>
      <c r="H7" s="564"/>
      <c r="I7" s="564"/>
      <c r="J7" s="564"/>
      <c r="K7" s="564"/>
      <c r="L7" s="564"/>
      <c r="M7" s="564"/>
      <c r="N7" s="564"/>
      <c r="O7" s="564"/>
    </row>
    <row r="8" spans="2:15">
      <c r="B8" s="565"/>
      <c r="C8" s="564"/>
      <c r="D8" s="564"/>
      <c r="E8" s="564"/>
      <c r="F8" s="564"/>
      <c r="G8" s="564"/>
      <c r="H8" s="564"/>
      <c r="I8" s="564"/>
      <c r="J8" s="564"/>
      <c r="K8" s="564"/>
      <c r="L8" s="564"/>
      <c r="M8" s="564"/>
      <c r="N8" s="564"/>
      <c r="O8" s="564"/>
    </row>
    <row r="9" spans="2:15">
      <c r="B9" s="565"/>
      <c r="C9" s="564"/>
      <c r="D9" s="564"/>
      <c r="E9" s="564"/>
      <c r="F9" s="564"/>
      <c r="G9" s="564"/>
      <c r="H9" s="564"/>
      <c r="I9" s="564"/>
      <c r="J9" s="564"/>
      <c r="K9" s="564"/>
      <c r="L9" s="564"/>
      <c r="M9" s="564"/>
      <c r="N9" s="564"/>
      <c r="O9" s="564"/>
    </row>
    <row r="10" spans="2:15">
      <c r="B10" s="564"/>
      <c r="C10" s="564"/>
      <c r="D10" s="564"/>
      <c r="E10" s="564"/>
      <c r="F10" s="564"/>
      <c r="G10" s="564"/>
      <c r="H10" s="564"/>
      <c r="I10" s="564"/>
      <c r="J10" s="564"/>
      <c r="K10" s="564"/>
      <c r="L10" s="564"/>
      <c r="M10" s="564"/>
      <c r="N10" s="564"/>
      <c r="O10" s="564"/>
    </row>
    <row r="11" spans="2:15">
      <c r="B11" s="564"/>
      <c r="C11" s="564"/>
      <c r="D11" s="564"/>
      <c r="E11" s="564"/>
      <c r="F11" s="564"/>
      <c r="G11" s="564"/>
      <c r="H11" s="564"/>
      <c r="I11" s="564"/>
      <c r="J11" s="564"/>
      <c r="K11" s="564"/>
      <c r="L11" s="564"/>
      <c r="M11" s="564"/>
      <c r="N11" s="564"/>
      <c r="O11" s="564"/>
    </row>
    <row r="12" spans="2:15">
      <c r="B12" s="564"/>
      <c r="C12" s="564"/>
      <c r="D12" s="564"/>
      <c r="E12" s="564"/>
      <c r="F12" s="564"/>
      <c r="G12" s="564"/>
      <c r="H12" s="564"/>
      <c r="I12" s="564"/>
      <c r="J12" s="564"/>
      <c r="K12" s="564"/>
      <c r="L12" s="564"/>
      <c r="M12" s="564"/>
      <c r="N12" s="564"/>
      <c r="O12" s="564"/>
    </row>
    <row r="13" spans="2:15" ht="12.75">
      <c r="B13" s="566"/>
      <c r="C13" s="564"/>
      <c r="D13" s="564"/>
      <c r="E13" s="564"/>
      <c r="F13" s="564"/>
      <c r="G13" s="564"/>
      <c r="H13" s="564"/>
      <c r="I13" s="564"/>
      <c r="J13" s="564"/>
      <c r="K13" s="564"/>
      <c r="L13" s="564"/>
      <c r="M13" s="564"/>
      <c r="N13" s="564"/>
      <c r="O13" s="564"/>
    </row>
    <row r="14" spans="2:15">
      <c r="B14" s="564"/>
      <c r="C14" s="564"/>
      <c r="D14" s="564"/>
      <c r="E14" s="564"/>
      <c r="F14" s="564"/>
      <c r="G14" s="564"/>
      <c r="H14" s="564"/>
      <c r="I14" s="564"/>
      <c r="J14" s="564"/>
      <c r="K14" s="564"/>
      <c r="L14" s="564"/>
      <c r="M14" s="564"/>
      <c r="N14" s="564"/>
      <c r="O14" s="564"/>
    </row>
    <row r="15" spans="2:15">
      <c r="B15" s="564"/>
      <c r="C15" s="564"/>
      <c r="D15" s="564"/>
      <c r="E15" s="564"/>
      <c r="F15" s="564"/>
      <c r="G15" s="564"/>
      <c r="H15" s="564"/>
      <c r="I15" s="564"/>
      <c r="J15" s="564"/>
      <c r="K15" s="564"/>
      <c r="L15" s="564"/>
      <c r="M15" s="564"/>
      <c r="N15" s="564"/>
      <c r="O15" s="564"/>
    </row>
    <row r="16" spans="2:15">
      <c r="B16" s="564"/>
      <c r="C16" s="564"/>
      <c r="D16" s="564"/>
      <c r="E16" s="564"/>
      <c r="F16" s="564"/>
      <c r="G16" s="564"/>
      <c r="H16" s="564"/>
      <c r="I16" s="564"/>
      <c r="J16" s="564"/>
      <c r="K16" s="564"/>
      <c r="L16" s="564"/>
      <c r="M16" s="564"/>
      <c r="N16" s="564"/>
      <c r="O16" s="564"/>
    </row>
    <row r="17" spans="2:15">
      <c r="B17" s="564"/>
      <c r="C17" s="564"/>
      <c r="D17" s="564"/>
      <c r="E17" s="564"/>
      <c r="F17" s="564"/>
      <c r="G17" s="564"/>
      <c r="H17" s="564"/>
      <c r="I17" s="564"/>
      <c r="J17" s="564"/>
      <c r="K17" s="564"/>
      <c r="L17" s="564"/>
      <c r="M17" s="564"/>
      <c r="N17" s="564"/>
      <c r="O17" s="564"/>
    </row>
    <row r="18" spans="2:15">
      <c r="B18" s="564"/>
      <c r="C18" s="564"/>
      <c r="D18" s="564"/>
      <c r="E18" s="564"/>
      <c r="F18" s="564"/>
      <c r="G18" s="564"/>
      <c r="H18" s="564"/>
      <c r="I18" s="564"/>
      <c r="J18" s="564"/>
      <c r="K18" s="564"/>
      <c r="L18" s="564"/>
      <c r="M18" s="564"/>
      <c r="N18" s="564"/>
      <c r="O18" s="564"/>
    </row>
    <row r="19" spans="2:15">
      <c r="B19" s="564"/>
      <c r="C19" s="564"/>
      <c r="D19" s="564"/>
      <c r="E19" s="564"/>
      <c r="F19" s="564"/>
      <c r="G19" s="564"/>
      <c r="H19" s="564"/>
      <c r="I19" s="564"/>
      <c r="J19" s="564" t="s">
        <v>8</v>
      </c>
      <c r="K19" s="564"/>
      <c r="L19" s="564"/>
      <c r="M19" s="564"/>
      <c r="N19" s="564"/>
      <c r="O19" s="564"/>
    </row>
    <row r="20" spans="2:15">
      <c r="B20" s="564"/>
      <c r="C20" s="564"/>
      <c r="D20" s="564"/>
      <c r="E20" s="564"/>
      <c r="F20" s="564"/>
      <c r="G20" s="564"/>
      <c r="H20" s="564"/>
      <c r="I20" s="564"/>
      <c r="J20" s="564"/>
      <c r="K20" s="564"/>
      <c r="L20" s="564"/>
      <c r="M20" s="564"/>
      <c r="N20" s="564"/>
      <c r="O20" s="564"/>
    </row>
    <row r="21" spans="2:15">
      <c r="B21" s="564"/>
      <c r="C21" s="564"/>
      <c r="D21" s="564"/>
      <c r="E21" s="564"/>
      <c r="F21" s="564"/>
      <c r="G21" s="564"/>
      <c r="H21" s="564"/>
      <c r="I21" s="564"/>
      <c r="J21" s="564"/>
      <c r="K21" s="564"/>
      <c r="L21" s="564"/>
      <c r="M21" s="564"/>
      <c r="N21" s="564"/>
      <c r="O21" s="564"/>
    </row>
    <row r="22" spans="2:15">
      <c r="B22" s="564"/>
      <c r="C22" s="564"/>
      <c r="D22" s="564"/>
      <c r="E22" s="564"/>
      <c r="F22" s="564"/>
      <c r="G22" s="564"/>
      <c r="H22" s="564"/>
      <c r="I22" s="564"/>
      <c r="J22" s="564"/>
      <c r="K22" s="564"/>
      <c r="L22" s="564"/>
      <c r="M22" s="564"/>
      <c r="N22" s="564"/>
      <c r="O22" s="564"/>
    </row>
    <row r="23" spans="2:15">
      <c r="B23" s="564"/>
      <c r="C23" s="564"/>
      <c r="D23" s="564"/>
      <c r="E23" s="564"/>
      <c r="F23" s="564"/>
      <c r="G23" s="564"/>
      <c r="H23" s="564"/>
      <c r="I23" s="564"/>
      <c r="J23" s="564"/>
      <c r="K23" s="564"/>
      <c r="L23" s="564"/>
      <c r="M23" s="564"/>
      <c r="N23" s="564"/>
      <c r="O23" s="564"/>
    </row>
    <row r="24" spans="2:15">
      <c r="B24" s="564"/>
      <c r="C24" s="564"/>
      <c r="D24" s="564"/>
      <c r="E24" s="564"/>
      <c r="F24" s="564"/>
      <c r="G24" s="564"/>
      <c r="H24" s="564"/>
      <c r="I24" s="564"/>
      <c r="J24" s="564"/>
      <c r="K24" s="564"/>
      <c r="L24" s="564"/>
      <c r="M24" s="564"/>
      <c r="N24" s="564"/>
      <c r="O24" s="564"/>
    </row>
    <row r="25" spans="2:15">
      <c r="B25" s="564"/>
      <c r="C25" s="564"/>
      <c r="D25" s="564"/>
      <c r="E25" s="564"/>
      <c r="F25" s="564"/>
      <c r="G25" s="564"/>
      <c r="H25" s="564"/>
      <c r="I25" s="564"/>
      <c r="J25" s="564"/>
      <c r="K25" s="564"/>
      <c r="L25" s="564"/>
      <c r="M25" s="564"/>
      <c r="N25" s="564"/>
      <c r="O25" s="564"/>
    </row>
    <row r="26" spans="2:15">
      <c r="B26" s="564"/>
      <c r="C26" s="564"/>
      <c r="D26" s="564"/>
      <c r="E26" s="564"/>
      <c r="F26" s="564"/>
      <c r="G26" s="564"/>
      <c r="H26" s="564"/>
      <c r="I26" s="564"/>
      <c r="J26" s="564"/>
      <c r="K26" s="564"/>
      <c r="L26" s="564"/>
      <c r="M26" s="564"/>
      <c r="N26" s="564"/>
      <c r="O26" s="564"/>
    </row>
    <row r="27" spans="2:15">
      <c r="B27" s="564"/>
      <c r="C27" s="564"/>
      <c r="D27" s="564"/>
      <c r="E27" s="564"/>
      <c r="F27" s="564"/>
      <c r="G27" s="564"/>
      <c r="H27" s="564"/>
      <c r="I27" s="564"/>
      <c r="J27" s="564"/>
      <c r="K27" s="564"/>
      <c r="L27" s="564"/>
      <c r="M27" s="564"/>
      <c r="N27" s="564"/>
      <c r="O27" s="564"/>
    </row>
    <row r="28" spans="2:15">
      <c r="B28" s="564"/>
      <c r="C28" s="564"/>
      <c r="D28" s="564"/>
      <c r="E28" s="564"/>
      <c r="F28" s="564"/>
      <c r="G28" s="564"/>
      <c r="H28" s="564"/>
      <c r="I28" s="564"/>
      <c r="J28" s="564"/>
      <c r="K28" s="564"/>
      <c r="L28" s="564"/>
      <c r="M28" s="564"/>
      <c r="N28" s="564"/>
      <c r="O28" s="564"/>
    </row>
    <row r="29" spans="2:15">
      <c r="B29" s="564"/>
      <c r="C29" s="564"/>
      <c r="D29" s="564"/>
      <c r="E29" s="564"/>
      <c r="F29" s="564"/>
      <c r="G29" s="564"/>
      <c r="H29" s="564"/>
      <c r="I29" s="564"/>
      <c r="J29" s="564"/>
      <c r="K29" s="564"/>
      <c r="L29" s="564"/>
      <c r="M29" s="564"/>
      <c r="N29" s="564"/>
      <c r="O29" s="564"/>
    </row>
    <row r="30" spans="2:15">
      <c r="B30" s="564"/>
      <c r="C30" s="564"/>
      <c r="D30" s="564"/>
      <c r="E30" s="564"/>
      <c r="F30" s="564"/>
      <c r="G30" s="564"/>
      <c r="H30" s="564"/>
      <c r="I30" s="564"/>
      <c r="J30" s="564"/>
      <c r="K30" s="564"/>
      <c r="L30" s="564"/>
      <c r="M30" s="564"/>
      <c r="N30" s="564"/>
      <c r="O30" s="564"/>
    </row>
    <row r="31" spans="2:15">
      <c r="B31" s="564"/>
      <c r="C31" s="564"/>
      <c r="D31" s="564"/>
      <c r="E31" s="564"/>
      <c r="F31" s="564"/>
      <c r="G31" s="564"/>
      <c r="H31" s="564"/>
      <c r="I31" s="564"/>
      <c r="J31" s="564"/>
      <c r="K31" s="564"/>
      <c r="L31" s="564"/>
      <c r="M31" s="564"/>
      <c r="N31" s="564"/>
      <c r="O31" s="564"/>
    </row>
    <row r="32" spans="2:15">
      <c r="B32" s="564"/>
      <c r="C32" s="564"/>
      <c r="D32" s="564"/>
      <c r="E32" s="564"/>
      <c r="F32" s="564"/>
      <c r="G32" s="564"/>
      <c r="H32" s="564"/>
      <c r="I32" s="564"/>
      <c r="J32" s="564"/>
      <c r="K32" s="564"/>
      <c r="L32" s="564"/>
      <c r="M32" s="564"/>
      <c r="N32" s="564"/>
      <c r="O32" s="564"/>
    </row>
    <row r="33" spans="2:15">
      <c r="B33" s="564"/>
      <c r="C33" s="564"/>
      <c r="D33" s="564"/>
      <c r="E33" s="564"/>
      <c r="F33" s="564"/>
      <c r="G33" s="564"/>
      <c r="H33" s="564"/>
      <c r="I33" s="564"/>
      <c r="J33" s="564"/>
      <c r="K33" s="564"/>
      <c r="L33" s="564"/>
      <c r="M33" s="564"/>
      <c r="N33" s="564"/>
      <c r="O33" s="564"/>
    </row>
    <row r="34" spans="2:15">
      <c r="B34" s="564"/>
      <c r="C34" s="564"/>
      <c r="D34" s="564"/>
      <c r="E34" s="564"/>
      <c r="F34" s="564"/>
      <c r="G34" s="564"/>
      <c r="H34" s="564"/>
      <c r="I34" s="564"/>
      <c r="J34" s="564"/>
      <c r="K34" s="564"/>
      <c r="L34" s="564"/>
      <c r="M34" s="564"/>
      <c r="N34" s="564"/>
      <c r="O34" s="564"/>
    </row>
    <row r="35" spans="2:15">
      <c r="B35" s="564"/>
      <c r="C35" s="564"/>
      <c r="D35" s="564"/>
      <c r="E35" s="564"/>
      <c r="F35" s="564"/>
      <c r="G35" s="564"/>
      <c r="H35" s="564"/>
      <c r="I35" s="564"/>
      <c r="J35" s="564"/>
      <c r="K35" s="564"/>
      <c r="L35" s="564"/>
      <c r="M35" s="564"/>
      <c r="N35" s="564"/>
      <c r="O35" s="564"/>
    </row>
    <row r="36" spans="2:15">
      <c r="B36" s="564"/>
      <c r="C36" s="564"/>
      <c r="D36" s="564"/>
      <c r="E36" s="564"/>
      <c r="F36" s="564"/>
      <c r="G36" s="564"/>
      <c r="H36" s="564"/>
      <c r="I36" s="564"/>
      <c r="J36" s="564"/>
      <c r="K36" s="564"/>
      <c r="L36" s="564"/>
      <c r="M36" s="564"/>
      <c r="N36" s="564"/>
      <c r="O36" s="564"/>
    </row>
    <row r="37" spans="2:15">
      <c r="B37" s="564"/>
      <c r="C37" s="564"/>
      <c r="D37" s="564"/>
      <c r="E37" s="564"/>
      <c r="F37" s="564"/>
      <c r="G37" s="564"/>
      <c r="H37" s="564"/>
      <c r="I37" s="564"/>
      <c r="J37" s="564"/>
      <c r="K37" s="564"/>
      <c r="L37" s="564"/>
      <c r="M37" s="564"/>
      <c r="N37" s="564"/>
      <c r="O37" s="564"/>
    </row>
    <row r="38" spans="2:15">
      <c r="B38" s="564"/>
      <c r="C38" s="564"/>
      <c r="D38" s="564"/>
      <c r="E38" s="564"/>
      <c r="F38" s="564"/>
      <c r="G38" s="564"/>
      <c r="H38" s="564"/>
      <c r="I38" s="564"/>
      <c r="J38" s="564"/>
      <c r="K38" s="564"/>
      <c r="L38" s="564"/>
      <c r="M38" s="564"/>
      <c r="N38" s="564"/>
      <c r="O38" s="564"/>
    </row>
    <row r="39" spans="2:15">
      <c r="B39" s="564"/>
      <c r="C39" s="564"/>
      <c r="D39" s="564"/>
      <c r="E39" s="564"/>
      <c r="F39" s="564"/>
      <c r="G39" s="564"/>
      <c r="H39" s="564"/>
      <c r="I39" s="564"/>
      <c r="J39" s="564"/>
      <c r="K39" s="564"/>
      <c r="L39" s="564"/>
      <c r="M39" s="564"/>
      <c r="N39" s="564"/>
      <c r="O39" s="564"/>
    </row>
    <row r="40" spans="2:15">
      <c r="B40" s="564"/>
      <c r="C40" s="564"/>
      <c r="D40" s="564"/>
      <c r="E40" s="564"/>
      <c r="F40" s="564"/>
      <c r="G40" s="564"/>
      <c r="H40" s="564"/>
      <c r="I40" s="564"/>
      <c r="J40" s="564"/>
      <c r="K40" s="564"/>
      <c r="L40" s="564"/>
      <c r="M40" s="564"/>
      <c r="N40" s="564"/>
      <c r="O40" s="564"/>
    </row>
    <row r="41" spans="2:15">
      <c r="B41" s="564"/>
      <c r="C41" s="564"/>
      <c r="D41" s="564"/>
      <c r="E41" s="564"/>
      <c r="F41" s="564"/>
      <c r="G41" s="564"/>
      <c r="H41" s="564"/>
      <c r="I41" s="564"/>
      <c r="J41" s="564"/>
      <c r="K41" s="564"/>
      <c r="L41" s="564"/>
      <c r="M41" s="564"/>
      <c r="N41" s="564"/>
      <c r="O41" s="564"/>
    </row>
    <row r="42" spans="2:15">
      <c r="B42" s="564"/>
      <c r="C42" s="564"/>
      <c r="D42" s="564"/>
      <c r="E42" s="564"/>
      <c r="F42" s="564"/>
      <c r="G42" s="564"/>
      <c r="H42" s="564"/>
      <c r="I42" s="564"/>
      <c r="J42" s="564"/>
      <c r="K42" s="564"/>
      <c r="L42" s="564"/>
      <c r="M42" s="564"/>
      <c r="N42" s="564"/>
      <c r="O42" s="564"/>
    </row>
    <row r="43" spans="2:15">
      <c r="B43" s="564"/>
      <c r="C43" s="564"/>
      <c r="D43" s="564"/>
      <c r="E43" s="564"/>
      <c r="F43" s="564"/>
      <c r="G43" s="564"/>
      <c r="H43" s="564"/>
      <c r="I43" s="564"/>
      <c r="J43" s="564"/>
      <c r="K43" s="564"/>
      <c r="L43" s="564"/>
      <c r="M43" s="564"/>
      <c r="N43" s="564"/>
      <c r="O43" s="564"/>
    </row>
    <row r="44" spans="2:15">
      <c r="B44" s="564"/>
      <c r="C44" s="564"/>
      <c r="D44" s="564"/>
      <c r="E44" s="564"/>
      <c r="F44" s="564"/>
      <c r="G44" s="564"/>
      <c r="H44" s="564"/>
      <c r="I44" s="564"/>
      <c r="J44" s="564"/>
      <c r="K44" s="564"/>
      <c r="L44" s="564"/>
      <c r="M44" s="564"/>
      <c r="N44" s="564"/>
      <c r="O44" s="564"/>
    </row>
    <row r="45" spans="2:15">
      <c r="B45" s="564"/>
      <c r="C45" s="564"/>
      <c r="D45" s="564"/>
      <c r="E45" s="564"/>
      <c r="F45" s="564"/>
      <c r="G45" s="564"/>
      <c r="H45" s="564"/>
      <c r="I45" s="564"/>
      <c r="J45" s="564"/>
      <c r="K45" s="564"/>
      <c r="L45" s="564"/>
      <c r="M45" s="564"/>
      <c r="N45" s="564"/>
      <c r="O45" s="564"/>
    </row>
    <row r="46" spans="2:15">
      <c r="B46" s="564"/>
      <c r="C46" s="564"/>
      <c r="D46" s="564"/>
      <c r="E46" s="564"/>
      <c r="F46" s="564"/>
      <c r="G46" s="564"/>
      <c r="H46" s="564"/>
      <c r="I46" s="564"/>
      <c r="J46" s="564"/>
      <c r="K46" s="564"/>
      <c r="L46" s="564"/>
      <c r="M46" s="564"/>
      <c r="N46" s="564"/>
      <c r="O46" s="564"/>
    </row>
    <row r="47" spans="2:15">
      <c r="B47" s="564"/>
      <c r="C47" s="564"/>
      <c r="D47" s="564"/>
      <c r="E47" s="564"/>
      <c r="F47" s="564"/>
      <c r="G47" s="564"/>
      <c r="H47" s="564"/>
      <c r="I47" s="564"/>
      <c r="J47" s="564"/>
      <c r="K47" s="564"/>
      <c r="L47" s="564"/>
      <c r="M47" s="564"/>
      <c r="N47" s="564"/>
      <c r="O47" s="564"/>
    </row>
    <row r="48" spans="2:15">
      <c r="B48" s="564"/>
      <c r="C48" s="564"/>
      <c r="D48" s="564"/>
      <c r="E48" s="564"/>
      <c r="F48" s="564"/>
      <c r="G48" s="564"/>
      <c r="H48" s="564"/>
      <c r="I48" s="564"/>
      <c r="J48" s="564"/>
      <c r="K48" s="564"/>
      <c r="L48" s="564"/>
      <c r="M48" s="564"/>
      <c r="N48" s="564"/>
      <c r="O48" s="564"/>
    </row>
    <row r="49" spans="2:15">
      <c r="B49" s="564"/>
      <c r="C49" s="564"/>
      <c r="D49" s="564"/>
      <c r="E49" s="564"/>
      <c r="F49" s="564"/>
      <c r="G49" s="564"/>
      <c r="H49" s="564"/>
      <c r="I49" s="564"/>
      <c r="J49" s="564"/>
      <c r="K49" s="564"/>
      <c r="L49" s="564"/>
      <c r="M49" s="564"/>
      <c r="N49" s="564"/>
      <c r="O49" s="564"/>
    </row>
    <row r="50" spans="2:15">
      <c r="B50" s="564"/>
      <c r="C50" s="564"/>
      <c r="D50" s="564"/>
      <c r="E50" s="564"/>
      <c r="F50" s="564"/>
      <c r="G50" s="564"/>
      <c r="H50" s="564"/>
      <c r="I50" s="564"/>
      <c r="J50" s="564"/>
      <c r="K50" s="564"/>
      <c r="L50" s="564"/>
      <c r="M50" s="564"/>
      <c r="N50" s="564"/>
      <c r="O50" s="564"/>
    </row>
    <row r="51" spans="2:15">
      <c r="B51" s="564"/>
      <c r="C51" s="564"/>
      <c r="D51" s="564"/>
      <c r="E51" s="564"/>
      <c r="F51" s="564"/>
      <c r="G51" s="564"/>
      <c r="H51" s="564"/>
      <c r="I51" s="564"/>
      <c r="J51" s="564"/>
      <c r="K51" s="564"/>
      <c r="L51" s="564"/>
      <c r="M51" s="564"/>
      <c r="N51" s="564"/>
      <c r="O51" s="564"/>
    </row>
    <row r="52" spans="2:15">
      <c r="B52" s="564"/>
      <c r="C52" s="564"/>
      <c r="D52" s="564"/>
      <c r="E52" s="564"/>
      <c r="F52" s="564"/>
      <c r="G52" s="564"/>
      <c r="H52" s="564"/>
      <c r="I52" s="564"/>
      <c r="J52" s="564"/>
      <c r="K52" s="564"/>
      <c r="L52" s="564"/>
      <c r="M52" s="564"/>
      <c r="N52" s="564"/>
      <c r="O52" s="564"/>
    </row>
    <row r="53" spans="2:15">
      <c r="B53" s="564"/>
      <c r="C53" s="564"/>
      <c r="D53" s="564"/>
      <c r="E53" s="564"/>
      <c r="F53" s="564"/>
      <c r="G53" s="564"/>
      <c r="H53" s="564"/>
      <c r="I53" s="564"/>
      <c r="J53" s="564"/>
      <c r="K53" s="564"/>
      <c r="L53" s="564"/>
      <c r="M53" s="564"/>
      <c r="N53" s="564"/>
      <c r="O53" s="564"/>
    </row>
    <row r="54" spans="2:15">
      <c r="B54" s="564"/>
      <c r="C54" s="564"/>
      <c r="D54" s="564"/>
      <c r="E54" s="564"/>
      <c r="F54" s="564"/>
      <c r="G54" s="564"/>
      <c r="H54" s="564"/>
      <c r="I54" s="564"/>
      <c r="J54" s="564"/>
      <c r="K54" s="564"/>
      <c r="L54" s="564"/>
      <c r="M54" s="564"/>
      <c r="N54" s="564"/>
      <c r="O54" s="564"/>
    </row>
    <row r="55" spans="2:15">
      <c r="B55" s="564"/>
      <c r="C55" s="564"/>
      <c r="D55" s="564"/>
      <c r="E55" s="564"/>
      <c r="F55" s="564"/>
      <c r="G55" s="564"/>
      <c r="H55" s="564"/>
      <c r="I55" s="564"/>
      <c r="J55" s="564"/>
      <c r="K55" s="564"/>
      <c r="L55" s="564"/>
      <c r="M55" s="564"/>
      <c r="N55" s="564"/>
      <c r="O55" s="564"/>
    </row>
    <row r="56" spans="2:15">
      <c r="B56" s="564"/>
      <c r="C56" s="564"/>
      <c r="D56" s="564"/>
      <c r="E56" s="564"/>
      <c r="F56" s="564"/>
      <c r="G56" s="564"/>
      <c r="H56" s="564"/>
      <c r="I56" s="564"/>
      <c r="J56" s="564"/>
      <c r="K56" s="564"/>
      <c r="L56" s="564"/>
      <c r="M56" s="564"/>
      <c r="N56" s="564"/>
      <c r="O56" s="564"/>
    </row>
    <row r="57" spans="2:15">
      <c r="B57" s="564"/>
      <c r="C57" s="564"/>
      <c r="D57" s="564"/>
      <c r="E57" s="564"/>
      <c r="F57" s="564"/>
      <c r="G57" s="564"/>
      <c r="H57" s="564"/>
      <c r="I57" s="564"/>
      <c r="J57" s="564"/>
      <c r="K57" s="564"/>
      <c r="L57" s="564"/>
      <c r="M57" s="564"/>
      <c r="N57" s="564"/>
      <c r="O57" s="564"/>
    </row>
    <row r="58" spans="2:15">
      <c r="B58" s="564"/>
      <c r="C58" s="564"/>
      <c r="D58" s="564"/>
      <c r="E58" s="564"/>
      <c r="F58" s="564"/>
      <c r="G58" s="564"/>
      <c r="H58" s="564"/>
      <c r="I58" s="564"/>
      <c r="J58" s="564"/>
      <c r="K58" s="564"/>
      <c r="L58" s="564"/>
      <c r="M58" s="564"/>
      <c r="N58" s="564"/>
      <c r="O58" s="564"/>
    </row>
    <row r="59" spans="2:15">
      <c r="B59" s="564"/>
      <c r="C59" s="564"/>
      <c r="D59" s="564"/>
      <c r="E59" s="564"/>
      <c r="F59" s="564"/>
      <c r="G59" s="564"/>
      <c r="H59" s="564"/>
      <c r="I59" s="564"/>
      <c r="J59" s="564"/>
      <c r="K59" s="564"/>
      <c r="L59" s="564"/>
      <c r="M59" s="564"/>
      <c r="N59" s="564"/>
      <c r="O59" s="564"/>
    </row>
    <row r="60" spans="2:15">
      <c r="B60" s="564"/>
      <c r="C60" s="564"/>
      <c r="D60" s="564"/>
      <c r="E60" s="564"/>
      <c r="F60" s="564"/>
      <c r="G60" s="564"/>
      <c r="H60" s="564"/>
      <c r="I60" s="564"/>
      <c r="J60" s="564"/>
      <c r="K60" s="564"/>
      <c r="L60" s="564"/>
      <c r="M60" s="564"/>
      <c r="N60" s="564"/>
      <c r="O60" s="564"/>
    </row>
    <row r="61" spans="2:15">
      <c r="B61" s="564"/>
      <c r="C61" s="564"/>
      <c r="D61" s="564"/>
      <c r="E61" s="564"/>
      <c r="F61" s="564"/>
      <c r="G61" s="564"/>
      <c r="H61" s="564"/>
      <c r="I61" s="564"/>
      <c r="J61" s="564"/>
      <c r="K61" s="564"/>
      <c r="L61" s="564"/>
      <c r="M61" s="564"/>
      <c r="N61" s="564"/>
      <c r="O61" s="564"/>
    </row>
    <row r="62" spans="2:15">
      <c r="B62" s="564"/>
      <c r="C62" s="564"/>
      <c r="D62" s="564"/>
      <c r="E62" s="564"/>
      <c r="F62" s="564"/>
      <c r="G62" s="564"/>
      <c r="H62" s="564"/>
      <c r="I62" s="564"/>
      <c r="J62" s="564"/>
      <c r="K62" s="564"/>
      <c r="L62" s="564"/>
      <c r="M62" s="564"/>
      <c r="N62" s="564"/>
      <c r="O62" s="564"/>
    </row>
    <row r="63" spans="2:15">
      <c r="B63" s="564"/>
      <c r="C63" s="564"/>
      <c r="D63" s="564"/>
      <c r="E63" s="564"/>
      <c r="F63" s="564"/>
      <c r="G63" s="564"/>
      <c r="H63" s="564"/>
      <c r="I63" s="564"/>
      <c r="J63" s="564"/>
      <c r="K63" s="564"/>
      <c r="L63" s="564"/>
      <c r="M63" s="564"/>
      <c r="N63" s="564"/>
      <c r="O63" s="564"/>
    </row>
    <row r="64" spans="2:15">
      <c r="B64" s="564"/>
      <c r="C64" s="564"/>
      <c r="D64" s="564"/>
      <c r="E64" s="564"/>
      <c r="F64" s="564"/>
      <c r="G64" s="564"/>
      <c r="H64" s="564"/>
      <c r="I64" s="564"/>
      <c r="J64" s="564"/>
      <c r="K64" s="564"/>
      <c r="L64" s="564"/>
      <c r="M64" s="564"/>
      <c r="N64" s="564"/>
      <c r="O64" s="564"/>
    </row>
    <row r="65" spans="2:15">
      <c r="B65" s="564"/>
      <c r="C65" s="564"/>
      <c r="D65" s="564"/>
      <c r="E65" s="564"/>
      <c r="F65" s="564"/>
      <c r="G65" s="564"/>
      <c r="H65" s="564"/>
      <c r="I65" s="564"/>
      <c r="J65" s="564"/>
      <c r="K65" s="564"/>
      <c r="L65" s="564"/>
      <c r="M65" s="564"/>
      <c r="N65" s="564"/>
      <c r="O65" s="56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60"/>
  <sheetViews>
    <sheetView showGridLines="0" view="pageBreakPreview" topLeftCell="A2" zoomScaleNormal="100" zoomScaleSheetLayoutView="100" zoomScalePageLayoutView="160" workbookViewId="0">
      <selection activeCell="K12" sqref="K12"/>
    </sheetView>
  </sheetViews>
  <sheetFormatPr defaultRowHeight="11.25"/>
  <cols>
    <col min="1" max="2" width="11.83203125" style="95" customWidth="1"/>
    <col min="3" max="3" width="12" style="95" customWidth="1"/>
    <col min="4" max="4" width="11.33203125" style="95" customWidth="1"/>
    <col min="5" max="5" width="11.1640625" style="95" customWidth="1"/>
    <col min="6" max="6" width="11" style="95" customWidth="1"/>
    <col min="7" max="7" width="9.33203125" style="95"/>
    <col min="8" max="8" width="13.33203125" style="95" customWidth="1"/>
    <col min="9" max="9" width="13.1640625" style="95" customWidth="1"/>
    <col min="10" max="10" width="11.6640625" style="95" customWidth="1"/>
    <col min="11" max="16384" width="9.33203125" style="95"/>
  </cols>
  <sheetData>
    <row r="2" spans="1:13" ht="27" customHeight="1">
      <c r="A2" s="839" t="s">
        <v>531</v>
      </c>
      <c r="B2" s="839"/>
      <c r="C2" s="839"/>
      <c r="D2" s="839"/>
      <c r="E2" s="839"/>
      <c r="F2" s="839"/>
      <c r="G2" s="839"/>
      <c r="H2" s="839"/>
      <c r="I2" s="839"/>
      <c r="J2" s="839"/>
      <c r="K2" s="347"/>
    </row>
    <row r="3" spans="1:13" ht="7.5" customHeight="1">
      <c r="A3" s="158"/>
      <c r="B3" s="300"/>
      <c r="C3" s="319"/>
      <c r="D3" s="320"/>
      <c r="E3" s="320"/>
      <c r="F3" s="321"/>
      <c r="G3" s="322"/>
      <c r="H3" s="322"/>
      <c r="I3" s="233"/>
      <c r="J3" s="321"/>
    </row>
    <row r="4" spans="1:13" ht="11.25" customHeight="1">
      <c r="A4" s="263" t="s">
        <v>246</v>
      </c>
      <c r="B4" s="300"/>
      <c r="C4" s="319"/>
      <c r="D4" s="320"/>
      <c r="E4" s="320"/>
      <c r="F4" s="321"/>
      <c r="G4" s="322"/>
      <c r="H4" s="322"/>
      <c r="I4" s="233"/>
      <c r="J4" s="321"/>
      <c r="K4" s="45"/>
    </row>
    <row r="5" spans="1:13" ht="11.25" customHeight="1">
      <c r="A5" s="158"/>
      <c r="B5" s="300"/>
      <c r="C5" s="319"/>
      <c r="D5" s="320"/>
      <c r="E5" s="320"/>
      <c r="F5" s="321"/>
      <c r="G5" s="322"/>
      <c r="H5" s="322"/>
      <c r="I5" s="233"/>
      <c r="J5" s="321"/>
      <c r="K5" s="45"/>
    </row>
    <row r="6" spans="1:13" ht="33.75">
      <c r="A6" s="325" t="s">
        <v>239</v>
      </c>
      <c r="B6" s="326" t="s">
        <v>240</v>
      </c>
      <c r="C6" s="326" t="s">
        <v>241</v>
      </c>
      <c r="D6" s="326" t="s">
        <v>242</v>
      </c>
      <c r="E6" s="326" t="s">
        <v>243</v>
      </c>
      <c r="F6" s="327" t="s">
        <v>244</v>
      </c>
      <c r="G6" s="328" t="s">
        <v>255</v>
      </c>
      <c r="H6" s="327" t="s">
        <v>259</v>
      </c>
      <c r="I6" s="328" t="s">
        <v>245</v>
      </c>
      <c r="J6" s="329" t="s">
        <v>256</v>
      </c>
      <c r="K6" s="324"/>
    </row>
    <row r="7" spans="1:13" s="323" customFormat="1" ht="21.75" customHeight="1">
      <c r="A7" s="330" t="s">
        <v>247</v>
      </c>
      <c r="B7" s="331" t="s">
        <v>248</v>
      </c>
      <c r="C7" s="331" t="s">
        <v>248</v>
      </c>
      <c r="D7" s="331" t="s">
        <v>254</v>
      </c>
      <c r="E7" s="331" t="s">
        <v>249</v>
      </c>
      <c r="F7" s="332" t="s">
        <v>260</v>
      </c>
      <c r="G7" s="332">
        <v>33</v>
      </c>
      <c r="H7" s="333">
        <v>144.48400000000001</v>
      </c>
      <c r="I7" s="333">
        <v>144.48400000000001</v>
      </c>
      <c r="J7" s="334" t="s">
        <v>250</v>
      </c>
      <c r="K7" s="346"/>
    </row>
    <row r="8" spans="1:13" ht="11.25" customHeight="1">
      <c r="A8" s="614" t="s">
        <v>44</v>
      </c>
      <c r="B8" s="615"/>
      <c r="C8" s="615"/>
      <c r="D8" s="615"/>
      <c r="E8" s="616"/>
      <c r="F8" s="617"/>
      <c r="G8" s="618"/>
      <c r="H8" s="335">
        <f>+SUM(H7:H7)</f>
        <v>144.48400000000001</v>
      </c>
      <c r="I8" s="335">
        <f>+SUM(I7:I7)</f>
        <v>144.48400000000001</v>
      </c>
      <c r="J8" s="336"/>
      <c r="K8" s="287"/>
    </row>
    <row r="9" spans="1:13" ht="15" customHeight="1">
      <c r="A9" s="372" t="str">
        <f>"Cuadro N° 1: Relación de ingresos a operación comercial en "&amp;'1. Resumen'!Q4&amp;" "&amp;'1. Resumen'!Q5</f>
        <v>Cuadro N° 1: Relación de ingresos a operación comercial en febrero 2018</v>
      </c>
      <c r="B9" s="153"/>
      <c r="C9" s="153"/>
      <c r="D9" s="153"/>
      <c r="E9" s="153"/>
      <c r="F9" s="153"/>
      <c r="G9" s="153"/>
      <c r="H9" s="153"/>
      <c r="I9" s="153"/>
      <c r="J9" s="153"/>
      <c r="K9" s="287"/>
    </row>
    <row r="10" spans="1:13" ht="11.25" customHeight="1">
      <c r="A10" s="374" t="s">
        <v>684</v>
      </c>
      <c r="B10" s="153"/>
      <c r="C10" s="153"/>
      <c r="D10" s="153"/>
      <c r="E10" s="153"/>
      <c r="F10" s="153"/>
      <c r="G10" s="153"/>
      <c r="H10" s="153"/>
      <c r="I10" s="153"/>
      <c r="J10" s="153"/>
      <c r="K10" s="287"/>
      <c r="L10" s="95" t="s">
        <v>257</v>
      </c>
      <c r="M10" s="95">
        <v>144.48400000000001</v>
      </c>
    </row>
    <row r="11" spans="1:13" ht="11.25" customHeight="1">
      <c r="A11" s="157"/>
      <c r="B11" s="159"/>
      <c r="C11" s="159"/>
      <c r="D11" s="159"/>
      <c r="E11" s="159"/>
      <c r="F11" s="159"/>
      <c r="G11" s="159"/>
      <c r="H11" s="159"/>
      <c r="I11" s="159"/>
      <c r="J11" s="159"/>
      <c r="K11" s="287"/>
    </row>
    <row r="12" spans="1:13" ht="11.25" customHeight="1">
      <c r="A12" s="338"/>
      <c r="B12" s="339"/>
      <c r="C12" s="337"/>
      <c r="D12" s="337"/>
      <c r="E12" s="337"/>
      <c r="F12" s="337"/>
      <c r="G12" s="337"/>
      <c r="H12" s="348"/>
      <c r="I12" s="348"/>
      <c r="J12" s="348"/>
      <c r="K12" s="287"/>
    </row>
    <row r="13" spans="1:13" ht="11.25" customHeight="1">
      <c r="A13" s="349"/>
      <c r="B13" s="337"/>
      <c r="C13" s="337"/>
      <c r="D13" s="337"/>
      <c r="E13" s="337"/>
      <c r="F13" s="337"/>
      <c r="G13" s="337"/>
      <c r="H13" s="350"/>
      <c r="I13" s="350"/>
      <c r="J13" s="350"/>
      <c r="K13" s="287"/>
    </row>
    <row r="14" spans="1:13" ht="11.25" customHeight="1">
      <c r="A14" s="349"/>
      <c r="B14" s="337"/>
      <c r="C14" s="337"/>
      <c r="D14" s="337"/>
      <c r="E14" s="337"/>
      <c r="F14" s="337"/>
      <c r="G14" s="337"/>
      <c r="H14" s="348"/>
      <c r="I14" s="348" t="s">
        <v>8</v>
      </c>
      <c r="J14" s="348"/>
      <c r="K14" s="287"/>
    </row>
    <row r="15" spans="1:13" ht="11.25" customHeight="1">
      <c r="A15" s="349"/>
      <c r="B15" s="337"/>
      <c r="C15" s="337"/>
      <c r="D15" s="337"/>
      <c r="E15" s="337"/>
      <c r="F15" s="337"/>
      <c r="G15" s="337"/>
      <c r="H15" s="348"/>
      <c r="I15" s="348"/>
      <c r="J15" s="348"/>
      <c r="K15" s="287"/>
    </row>
    <row r="16" spans="1:13" ht="11.25" customHeight="1">
      <c r="A16" s="351"/>
      <c r="B16" s="352"/>
      <c r="C16" s="352"/>
      <c r="D16" s="352"/>
      <c r="E16" s="352"/>
      <c r="F16" s="352"/>
      <c r="G16" s="352"/>
      <c r="H16" s="353"/>
      <c r="I16" s="353"/>
      <c r="J16" s="353"/>
      <c r="K16" s="287"/>
    </row>
    <row r="17" spans="1:11" ht="11.25" customHeight="1">
      <c r="A17" s="354"/>
      <c r="B17" s="246"/>
      <c r="C17" s="246"/>
      <c r="D17" s="159"/>
      <c r="E17" s="159"/>
      <c r="F17" s="159"/>
      <c r="G17" s="159"/>
      <c r="H17" s="340"/>
      <c r="I17" s="340"/>
      <c r="J17" s="340"/>
      <c r="K17" s="287"/>
    </row>
    <row r="18" spans="1:11" ht="11.25" customHeight="1">
      <c r="A18" s="308"/>
      <c r="B18" s="159"/>
      <c r="C18" s="159"/>
      <c r="D18" s="159"/>
      <c r="E18" s="159"/>
      <c r="F18" s="159"/>
      <c r="G18" s="159"/>
      <c r="H18" s="340"/>
      <c r="I18" s="340"/>
      <c r="J18" s="340"/>
      <c r="K18" s="287"/>
    </row>
    <row r="19" spans="1:11" ht="11.25" customHeight="1">
      <c r="A19" s="308"/>
      <c r="B19" s="159"/>
      <c r="C19" s="159"/>
      <c r="D19" s="159"/>
      <c r="E19" s="159"/>
      <c r="F19" s="159"/>
      <c r="G19" s="159"/>
      <c r="H19" s="190"/>
      <c r="I19" s="190"/>
      <c r="J19" s="190"/>
      <c r="K19" s="287"/>
    </row>
    <row r="20" spans="1:11" ht="11.25" customHeight="1">
      <c r="A20" s="308"/>
      <c r="B20" s="159"/>
      <c r="C20" s="159"/>
      <c r="D20" s="159"/>
      <c r="E20" s="159"/>
      <c r="F20" s="159"/>
      <c r="G20" s="159"/>
      <c r="H20" s="340"/>
      <c r="I20" s="340"/>
      <c r="J20" s="340"/>
      <c r="K20" s="287"/>
    </row>
    <row r="21" spans="1:11" ht="11.25" customHeight="1">
      <c r="A21" s="308"/>
      <c r="B21" s="159"/>
      <c r="C21" s="159"/>
      <c r="D21" s="159"/>
      <c r="E21" s="159"/>
      <c r="F21" s="159"/>
      <c r="G21" s="159"/>
      <c r="H21" s="355"/>
      <c r="I21" s="355"/>
      <c r="J21" s="355"/>
      <c r="K21" s="287"/>
    </row>
    <row r="22" spans="1:11" ht="11.25" customHeight="1">
      <c r="A22" s="341"/>
      <c r="B22" s="204"/>
      <c r="C22" s="204"/>
      <c r="D22" s="204"/>
      <c r="E22" s="204"/>
      <c r="F22" s="204"/>
      <c r="G22" s="204"/>
      <c r="H22" s="204"/>
      <c r="I22" s="204"/>
      <c r="J22" s="204"/>
      <c r="K22" s="287"/>
    </row>
    <row r="23" spans="1:11" ht="11.25" customHeight="1">
      <c r="A23" s="337"/>
      <c r="B23" s="159"/>
      <c r="C23" s="159"/>
      <c r="D23" s="159"/>
      <c r="E23" s="159"/>
      <c r="F23" s="159"/>
      <c r="G23" s="159"/>
      <c r="H23" s="159"/>
      <c r="I23" s="159"/>
      <c r="J23" s="159"/>
      <c r="K23" s="287"/>
    </row>
    <row r="24" spans="1:11" ht="11.25" customHeight="1">
      <c r="A24" s="342"/>
      <c r="B24" s="342"/>
      <c r="C24" s="342"/>
      <c r="D24" s="342"/>
      <c r="E24" s="342"/>
      <c r="F24" s="342"/>
      <c r="G24" s="342"/>
      <c r="H24" s="342"/>
      <c r="I24" s="342"/>
      <c r="J24" s="91"/>
      <c r="K24" s="287"/>
    </row>
    <row r="25" spans="1:11" ht="11.25" customHeight="1">
      <c r="A25" s="25"/>
      <c r="B25" s="838" t="str">
        <f>"Gráfico 2: Ingreso de Potencia Efectiva por tipo de Recurso Energético y Tecnología en "&amp;'1. Resumen'!Q4&amp;" "&amp;'1. Resumen'!Q5&amp;" (MW)"</f>
        <v>Gráfico 2: Ingreso de Potencia Efectiva por tipo de Recurso Energético y Tecnología en febrero 2018 (MW)</v>
      </c>
      <c r="C25" s="838"/>
      <c r="D25" s="838"/>
      <c r="E25" s="838"/>
      <c r="F25" s="838"/>
      <c r="G25" s="838"/>
      <c r="H25" s="838"/>
      <c r="I25" s="838"/>
      <c r="J25" s="838"/>
      <c r="K25" s="838"/>
    </row>
    <row r="26" spans="1:11" ht="11.25" customHeight="1"/>
    <row r="27" spans="1:11" ht="6.75" customHeight="1">
      <c r="K27" s="287"/>
    </row>
    <row r="28" spans="1:11" ht="11.25" customHeight="1">
      <c r="A28" s="84"/>
      <c r="B28" s="84"/>
      <c r="C28" s="84"/>
      <c r="D28" s="84"/>
      <c r="E28" s="25"/>
      <c r="F28" s="25"/>
      <c r="G28" s="84"/>
      <c r="H28" s="25"/>
      <c r="I28" s="25"/>
      <c r="J28" s="25"/>
      <c r="K28" s="287"/>
    </row>
    <row r="29" spans="1:11" ht="11.25" customHeight="1">
      <c r="A29" s="343" t="s">
        <v>544</v>
      </c>
      <c r="B29" s="153"/>
      <c r="C29" s="344"/>
      <c r="D29" s="153"/>
      <c r="E29" s="203"/>
      <c r="F29" s="203"/>
      <c r="G29" s="153"/>
      <c r="H29" s="203"/>
      <c r="I29" s="203"/>
      <c r="J29" s="203"/>
      <c r="K29" s="287"/>
    </row>
    <row r="30" spans="1:11" ht="11.25" customHeight="1">
      <c r="B30" s="153"/>
      <c r="C30" s="344"/>
      <c r="D30" s="153"/>
      <c r="E30" s="203"/>
      <c r="F30" s="203"/>
      <c r="G30" s="153"/>
      <c r="H30" s="203"/>
      <c r="I30" s="203"/>
      <c r="J30" s="203"/>
      <c r="K30" s="287"/>
    </row>
    <row r="31" spans="1:11" ht="33.75" customHeight="1">
      <c r="B31" s="837" t="s">
        <v>258</v>
      </c>
      <c r="C31" s="837"/>
      <c r="D31" s="359" t="str">
        <f>UPPER('1. Resumen'!Q4)&amp;" "&amp;'1. Resumen'!Q5</f>
        <v>FEBRERO 2018</v>
      </c>
      <c r="E31" s="359" t="str">
        <f>UPPER('1. Resumen'!Q4)&amp;" "&amp;'1. Resumen'!Q5-1</f>
        <v>FEBRERO 2017</v>
      </c>
      <c r="F31" s="359" t="s">
        <v>261</v>
      </c>
      <c r="G31" s="356"/>
      <c r="H31" s="357"/>
      <c r="I31" s="203"/>
      <c r="J31" s="203"/>
    </row>
    <row r="32" spans="1:11" ht="11.25" customHeight="1">
      <c r="B32" s="840" t="s">
        <v>251</v>
      </c>
      <c r="C32" s="841"/>
      <c r="D32" s="360">
        <v>4882.6042474999995</v>
      </c>
      <c r="E32" s="361">
        <v>4948.1372474999989</v>
      </c>
      <c r="F32" s="368">
        <f>+D32/E32-1</f>
        <v>-1.3243973786925434E-2</v>
      </c>
      <c r="G32" s="356"/>
      <c r="H32" s="357"/>
      <c r="I32" s="203"/>
      <c r="J32" s="203"/>
      <c r="K32" s="287"/>
    </row>
    <row r="33" spans="1:15" ht="11.25" customHeight="1">
      <c r="B33" s="842" t="s">
        <v>252</v>
      </c>
      <c r="C33" s="843"/>
      <c r="D33" s="362">
        <v>7286.2885000000006</v>
      </c>
      <c r="E33" s="363">
        <v>7480.9135000000024</v>
      </c>
      <c r="F33" s="369">
        <f>+D33/E33-1</f>
        <v>-2.60162077799726E-2</v>
      </c>
      <c r="G33" s="358"/>
      <c r="H33" s="358"/>
      <c r="M33" s="345"/>
      <c r="N33" s="345"/>
      <c r="O33" s="153"/>
    </row>
    <row r="34" spans="1:15" ht="11.25" customHeight="1">
      <c r="B34" s="844" t="s">
        <v>253</v>
      </c>
      <c r="C34" s="845"/>
      <c r="D34" s="364">
        <v>243.16</v>
      </c>
      <c r="E34" s="365">
        <v>243.16</v>
      </c>
      <c r="F34" s="370">
        <f t="shared" ref="F34" si="0">+D34/E34-1</f>
        <v>0</v>
      </c>
      <c r="G34" s="358"/>
      <c r="H34" s="358"/>
    </row>
    <row r="35" spans="1:15" ht="11.25" customHeight="1">
      <c r="B35" s="846" t="s">
        <v>86</v>
      </c>
      <c r="C35" s="847"/>
      <c r="D35" s="366">
        <v>240.48400000000001</v>
      </c>
      <c r="E35" s="367">
        <v>96</v>
      </c>
      <c r="F35" s="371">
        <f>+D35/E35-1</f>
        <v>1.5050416666666666</v>
      </c>
      <c r="G35" s="358"/>
      <c r="H35" s="358"/>
    </row>
    <row r="36" spans="1:15" ht="11.25" customHeight="1">
      <c r="B36" s="835" t="s">
        <v>223</v>
      </c>
      <c r="C36" s="836"/>
      <c r="D36" s="646">
        <f>+D32+D33+D34+D35</f>
        <v>12652.5367475</v>
      </c>
      <c r="E36" s="647">
        <f>+E32+E33+E34+E35</f>
        <v>12768.210747500001</v>
      </c>
      <c r="F36" s="648">
        <f>+D36/E36-1</f>
        <v>-9.0595309152967651E-3</v>
      </c>
      <c r="G36" s="358"/>
      <c r="H36" s="358"/>
    </row>
    <row r="37" spans="1:15" ht="11.25" customHeight="1">
      <c r="B37" s="372" t="str">
        <f>"Cuadro N° 2: Comparación de la potencia instalada en el SEIN al término de "&amp;'1. Resumen'!Q4&amp;" "&amp;'1. Resumen'!Q5-1&amp;" y "&amp;'1. Resumen'!Q4&amp;" "&amp;'1. Resumen'!Q5</f>
        <v>Cuadro N° 2: Comparación de la potencia instalada en el SEIN al término de febrero 2017 y febrero 2018</v>
      </c>
      <c r="C37" s="356"/>
      <c r="D37" s="356"/>
      <c r="E37" s="356"/>
      <c r="F37" s="356"/>
      <c r="G37" s="356"/>
      <c r="H37" s="356"/>
      <c r="I37" s="153"/>
      <c r="J37" s="153"/>
      <c r="K37" s="287"/>
    </row>
    <row r="38" spans="1:15" ht="11.25" customHeight="1">
      <c r="A38" s="153"/>
      <c r="C38" s="358"/>
      <c r="D38" s="356"/>
      <c r="E38" s="356"/>
      <c r="F38" s="356"/>
      <c r="G38" s="356"/>
      <c r="H38" s="356"/>
      <c r="I38" s="153"/>
      <c r="J38" s="153"/>
      <c r="K38" s="287"/>
    </row>
    <row r="39" spans="1:15" ht="11.25" customHeight="1">
      <c r="A39" s="153"/>
      <c r="B39" s="153"/>
      <c r="C39" s="153"/>
      <c r="D39" s="153"/>
      <c r="E39" s="153"/>
      <c r="F39" s="153"/>
      <c r="G39" s="153"/>
      <c r="H39" s="153"/>
      <c r="I39" s="153"/>
      <c r="J39" s="153"/>
      <c r="K39" s="287"/>
    </row>
    <row r="40" spans="1:15" ht="11.25" customHeight="1">
      <c r="A40" s="153"/>
      <c r="B40" s="153"/>
      <c r="C40" s="153"/>
      <c r="D40" s="153"/>
      <c r="E40" s="153"/>
      <c r="F40" s="153"/>
      <c r="G40" s="153"/>
      <c r="H40" s="153"/>
      <c r="I40" s="153"/>
      <c r="J40" s="153"/>
      <c r="K40" s="287"/>
    </row>
    <row r="41" spans="1:15" ht="11.25" customHeight="1">
      <c r="A41" s="153"/>
      <c r="B41" s="153"/>
      <c r="C41" s="153"/>
      <c r="D41" s="153"/>
      <c r="E41" s="153"/>
      <c r="F41" s="153"/>
      <c r="G41" s="153"/>
      <c r="H41" s="153"/>
      <c r="I41" s="153"/>
      <c r="J41" s="153"/>
      <c r="K41" s="287"/>
    </row>
    <row r="42" spans="1:15" ht="11.25" customHeight="1">
      <c r="A42" s="153"/>
      <c r="B42" s="153"/>
      <c r="C42" s="153"/>
      <c r="D42" s="153"/>
      <c r="E42" s="153"/>
      <c r="F42" s="153"/>
      <c r="G42" s="153"/>
      <c r="H42" s="153"/>
      <c r="I42" s="153"/>
      <c r="J42" s="153"/>
      <c r="K42" s="287"/>
    </row>
    <row r="43" spans="1:15" ht="11.25" customHeight="1">
      <c r="A43" s="153"/>
      <c r="B43" s="153"/>
      <c r="C43" s="153"/>
      <c r="D43" s="153"/>
      <c r="E43" s="153"/>
      <c r="F43" s="153"/>
      <c r="G43" s="153"/>
      <c r="H43" s="153"/>
      <c r="I43" s="153"/>
      <c r="J43" s="153"/>
      <c r="K43" s="287"/>
    </row>
    <row r="44" spans="1:15" ht="11.25" customHeight="1">
      <c r="A44" s="153"/>
      <c r="B44" s="153"/>
      <c r="C44" s="153"/>
      <c r="D44" s="153"/>
      <c r="E44" s="153"/>
      <c r="F44" s="153"/>
      <c r="G44" s="153"/>
      <c r="H44" s="153"/>
      <c r="I44" s="153"/>
      <c r="J44" s="153"/>
      <c r="K44" s="287"/>
    </row>
    <row r="45" spans="1:15">
      <c r="A45" s="158"/>
      <c r="B45" s="153"/>
      <c r="C45" s="153"/>
      <c r="D45" s="153"/>
      <c r="E45" s="153"/>
      <c r="F45" s="153"/>
      <c r="G45" s="153"/>
      <c r="H45" s="153"/>
      <c r="I45" s="153"/>
      <c r="J45" s="153"/>
    </row>
    <row r="46" spans="1:15">
      <c r="A46" s="153"/>
      <c r="B46" s="153"/>
      <c r="C46" s="153"/>
      <c r="D46" s="153"/>
      <c r="E46" s="153"/>
      <c r="F46" s="153"/>
      <c r="G46" s="153"/>
      <c r="H46" s="153"/>
      <c r="I46" s="153"/>
      <c r="J46" s="153"/>
    </row>
    <row r="47" spans="1:15">
      <c r="A47" s="153"/>
      <c r="B47" s="153"/>
      <c r="C47" s="153"/>
      <c r="D47" s="153"/>
      <c r="E47" s="153"/>
      <c r="F47" s="153"/>
      <c r="G47" s="153"/>
      <c r="H47" s="153"/>
      <c r="I47" s="153"/>
      <c r="J47" s="153"/>
    </row>
    <row r="48" spans="1:15">
      <c r="A48" s="153"/>
      <c r="B48" s="153"/>
      <c r="C48" s="153"/>
      <c r="D48" s="153"/>
      <c r="E48" s="153"/>
      <c r="F48" s="153"/>
      <c r="G48" s="153"/>
      <c r="H48" s="153"/>
      <c r="I48" s="153"/>
      <c r="J48" s="153"/>
    </row>
    <row r="49" spans="1:10">
      <c r="A49" s="153"/>
      <c r="B49" s="153"/>
      <c r="C49" s="153"/>
      <c r="D49" s="153"/>
      <c r="E49" s="153"/>
      <c r="F49" s="153"/>
      <c r="G49" s="153"/>
      <c r="H49" s="153"/>
      <c r="I49" s="153"/>
      <c r="J49" s="153"/>
    </row>
    <row r="50" spans="1:10">
      <c r="A50" s="153"/>
      <c r="B50" s="153"/>
      <c r="C50" s="153"/>
      <c r="D50" s="153"/>
      <c r="E50" s="153"/>
      <c r="F50" s="153"/>
      <c r="G50" s="153"/>
      <c r="H50" s="153"/>
      <c r="I50" s="153"/>
      <c r="J50" s="153"/>
    </row>
    <row r="51" spans="1:10">
      <c r="A51" s="153"/>
      <c r="B51" s="153"/>
      <c r="C51" s="153"/>
      <c r="D51" s="153"/>
      <c r="E51" s="153"/>
      <c r="F51" s="153"/>
      <c r="G51" s="153"/>
      <c r="H51" s="153"/>
      <c r="I51" s="153"/>
      <c r="J51" s="153"/>
    </row>
    <row r="52" spans="1:10">
      <c r="A52" s="153"/>
      <c r="B52" s="153"/>
      <c r="C52" s="153"/>
      <c r="D52" s="153"/>
      <c r="E52" s="153"/>
      <c r="F52" s="153"/>
      <c r="G52" s="153"/>
      <c r="H52" s="153"/>
      <c r="I52" s="153"/>
      <c r="J52" s="153"/>
    </row>
    <row r="53" spans="1:10">
      <c r="A53" s="153"/>
      <c r="B53" s="153"/>
      <c r="C53" s="153"/>
      <c r="D53" s="153"/>
      <c r="E53" s="153"/>
      <c r="F53" s="153"/>
      <c r="G53" s="153"/>
      <c r="H53" s="153"/>
      <c r="I53" s="153"/>
      <c r="J53" s="153"/>
    </row>
    <row r="54" spans="1:10">
      <c r="A54" s="153"/>
      <c r="B54" s="153"/>
      <c r="C54" s="153"/>
      <c r="D54" s="153"/>
      <c r="E54" s="153"/>
      <c r="F54" s="153"/>
      <c r="G54" s="153"/>
      <c r="H54" s="153"/>
      <c r="I54" s="153"/>
      <c r="J54" s="153"/>
    </row>
    <row r="55" spans="1:10">
      <c r="A55" s="153"/>
      <c r="B55" s="153"/>
      <c r="C55" s="153"/>
      <c r="D55" s="153"/>
      <c r="E55" s="153"/>
      <c r="F55" s="153"/>
      <c r="G55" s="153"/>
      <c r="H55" s="153"/>
      <c r="I55" s="153"/>
      <c r="J55" s="153"/>
    </row>
    <row r="56" spans="1:10">
      <c r="A56" s="153"/>
      <c r="B56" s="153"/>
      <c r="C56" s="153"/>
      <c r="D56" s="153"/>
      <c r="E56" s="153"/>
      <c r="F56" s="153"/>
      <c r="G56" s="153"/>
      <c r="H56" s="153"/>
      <c r="I56" s="153"/>
      <c r="J56" s="153"/>
    </row>
    <row r="57" spans="1:10">
      <c r="A57" s="373" t="str">
        <f>"Gráfico N° 3: Comparación de la potencia instalada en el SEIN al término de "&amp;'1. Resumen'!Q4&amp;" "&amp;'1. Resumen'!Q5-1&amp;" y "&amp;'1. Resumen'!Q4&amp;" "&amp;'1. Resumen'!Q5</f>
        <v>Gráfico N° 3: Comparación de la potencia instalada en el SEIN al término de febrero 2017 y febrero 2018</v>
      </c>
      <c r="B57" s="153"/>
      <c r="C57" s="153"/>
      <c r="D57" s="153"/>
      <c r="E57" s="153"/>
      <c r="F57" s="153"/>
      <c r="G57" s="153"/>
      <c r="H57" s="153"/>
      <c r="I57" s="153"/>
      <c r="J57" s="153"/>
    </row>
    <row r="58" spans="1:10">
      <c r="A58" s="153"/>
      <c r="C58" s="153"/>
      <c r="D58" s="153"/>
      <c r="E58" s="153"/>
      <c r="F58" s="153"/>
      <c r="G58" s="153"/>
      <c r="H58" s="153"/>
      <c r="I58" s="153"/>
      <c r="J58" s="153"/>
    </row>
    <row r="59" spans="1:10">
      <c r="A59" s="153"/>
      <c r="B59" s="153"/>
      <c r="D59" s="153"/>
      <c r="E59" s="153"/>
      <c r="F59" s="153"/>
      <c r="G59" s="153"/>
      <c r="H59" s="153"/>
      <c r="I59" s="153"/>
      <c r="J59" s="153"/>
    </row>
    <row r="60" spans="1:10">
      <c r="A60" s="153"/>
      <c r="B60" s="153"/>
      <c r="C60" s="153"/>
      <c r="D60" s="153"/>
      <c r="E60" s="153"/>
      <c r="F60" s="153"/>
      <c r="G60" s="153"/>
      <c r="H60" s="153"/>
      <c r="I60" s="153"/>
      <c r="J60" s="153"/>
    </row>
  </sheetData>
  <mergeCells count="8">
    <mergeCell ref="B36:C36"/>
    <mergeCell ref="B31:C31"/>
    <mergeCell ref="B25:K25"/>
    <mergeCell ref="A2:J2"/>
    <mergeCell ref="B32:C32"/>
    <mergeCell ref="B33:C33"/>
    <mergeCell ref="B34:C34"/>
    <mergeCell ref="B35:C35"/>
  </mergeCells>
  <conditionalFormatting sqref="A15:A16 A12">
    <cfRule type="containsText" dxfId="5" priority="5" stopIfTrue="1" operator="containsText" text=" 0%">
      <formula>NOT(ISERROR(SEARCH(" 0%",A12)))</formula>
    </cfRule>
    <cfRule type="containsText" dxfId="4" priority="6" stopIfTrue="1" operator="containsText" text="0.0%">
      <formula>NOT(ISERROR(SEARCH("0.0%",A12)))</formula>
    </cfRule>
  </conditionalFormatting>
  <conditionalFormatting sqref="A13">
    <cfRule type="containsText" dxfId="3" priority="3" stopIfTrue="1" operator="containsText" text=" 0%">
      <formula>NOT(ISERROR(SEARCH(" 0%",A13)))</formula>
    </cfRule>
    <cfRule type="containsText" dxfId="2" priority="4" stopIfTrue="1" operator="containsText" text="0.0%">
      <formula>NOT(ISERROR(SEARCH("0.0%",A13)))</formula>
    </cfRule>
  </conditionalFormatting>
  <conditionalFormatting sqref="A14">
    <cfRule type="containsText" dxfId="1" priority="1" stopIfTrue="1" operator="containsText" text=" 0%">
      <formula>NOT(ISERROR(SEARCH(" 0%",A14)))</formula>
    </cfRule>
    <cfRule type="containsText" dxfId="0" priority="2" stopIfTrue="1" operator="containsText" text="0.0%">
      <formula>NOT(ISERROR(SEARCH("0.0%",A14)))</formula>
    </cfRule>
  </conditionalFormatting>
  <pageMargins left="0.7" right="0.57471264367816088" top="0.86956521739130432" bottom="0.61458333333333337" header="0.3" footer="0.3"/>
  <pageSetup orientation="portrait" r:id="rId1"/>
  <headerFooter>
    <oddHeader>&amp;R&amp;7Informe de la Operación Mensual - Febrero 2018
INFSGI-MES-02-2018
08/03/2018
Versión: 01</oddHeader>
    <oddFooter>&amp;L&amp;7COES SINAC, 2018
&amp;C2&amp;R&amp;7Dirección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87"/>
  <sheetViews>
    <sheetView showGridLines="0" view="pageBreakPreview" zoomScale="115" zoomScaleNormal="100" zoomScaleSheetLayoutView="115" zoomScalePageLayoutView="160" workbookViewId="0">
      <selection activeCell="K12" sqref="K12"/>
    </sheetView>
  </sheetViews>
  <sheetFormatPr defaultRowHeight="11.25"/>
  <cols>
    <col min="1" max="1" width="21" style="95" customWidth="1"/>
    <col min="2" max="4" width="10.5" style="95" bestFit="1" customWidth="1"/>
    <col min="5" max="5" width="10" style="95" customWidth="1"/>
    <col min="6" max="6" width="8.6640625" style="95" customWidth="1"/>
    <col min="7" max="8" width="10.5" style="95" bestFit="1" customWidth="1"/>
    <col min="9" max="9" width="10.1640625" style="95" customWidth="1"/>
    <col min="10" max="10" width="9.83203125" style="95" customWidth="1"/>
    <col min="11" max="11" width="9.6640625" style="95" customWidth="1"/>
    <col min="12" max="16384" width="9.33203125" style="95"/>
  </cols>
  <sheetData>
    <row r="1" spans="1:11" ht="11.25" customHeight="1">
      <c r="A1" s="61"/>
      <c r="B1" s="61"/>
      <c r="C1" s="61"/>
      <c r="D1" s="61"/>
      <c r="E1" s="61"/>
      <c r="F1" s="61"/>
      <c r="G1" s="61"/>
      <c r="H1" s="61"/>
      <c r="I1" s="61"/>
      <c r="J1" s="61"/>
      <c r="K1" s="61"/>
    </row>
    <row r="2" spans="1:11" ht="16.5" customHeight="1">
      <c r="A2" s="852" t="s">
        <v>264</v>
      </c>
      <c r="B2" s="852"/>
      <c r="C2" s="852"/>
      <c r="D2" s="852"/>
      <c r="E2" s="852"/>
      <c r="F2" s="852"/>
      <c r="G2" s="852"/>
      <c r="H2" s="852"/>
      <c r="I2" s="852"/>
      <c r="J2" s="852"/>
      <c r="K2" s="852"/>
    </row>
    <row r="3" spans="1:11" ht="11.25" customHeight="1">
      <c r="A3" s="103"/>
      <c r="B3" s="104"/>
      <c r="C3" s="105"/>
      <c r="D3" s="106"/>
      <c r="E3" s="106"/>
      <c r="F3" s="106"/>
      <c r="G3" s="106"/>
      <c r="H3" s="103"/>
      <c r="I3" s="103"/>
      <c r="J3" s="103"/>
      <c r="K3" s="107"/>
    </row>
    <row r="4" spans="1:11" ht="11.25" customHeight="1">
      <c r="A4" s="853" t="str">
        <f>+"3.1. PRODUCCIÓN POR TIPO DE GENERACIÓN (GWh)"</f>
        <v>3.1. PRODUCCIÓN POR TIPO DE GENERACIÓN (GWh)</v>
      </c>
      <c r="B4" s="853"/>
      <c r="C4" s="853"/>
      <c r="D4" s="853"/>
      <c r="E4" s="853"/>
      <c r="F4" s="853"/>
      <c r="G4" s="853"/>
      <c r="H4" s="853"/>
      <c r="I4" s="853"/>
      <c r="J4" s="853"/>
      <c r="K4" s="853"/>
    </row>
    <row r="5" spans="1:11" ht="11.25" customHeight="1">
      <c r="A5" s="93"/>
      <c r="B5" s="108"/>
      <c r="C5" s="109"/>
      <c r="D5" s="110"/>
      <c r="E5" s="110"/>
      <c r="F5" s="110"/>
      <c r="G5" s="110"/>
      <c r="H5" s="111"/>
      <c r="I5" s="103"/>
      <c r="J5" s="103"/>
      <c r="K5" s="112"/>
    </row>
    <row r="6" spans="1:11" ht="18" customHeight="1">
      <c r="A6" s="850" t="s">
        <v>32</v>
      </c>
      <c r="B6" s="854" t="s">
        <v>33</v>
      </c>
      <c r="C6" s="855"/>
      <c r="D6" s="855"/>
      <c r="E6" s="855" t="s">
        <v>34</v>
      </c>
      <c r="F6" s="855"/>
      <c r="G6" s="856" t="str">
        <f>"Generación Acumulada a "&amp;'1. Resumen'!Q4</f>
        <v>Generación Acumulada a febrero</v>
      </c>
      <c r="H6" s="856"/>
      <c r="I6" s="856"/>
      <c r="J6" s="856"/>
      <c r="K6" s="857"/>
    </row>
    <row r="7" spans="1:11" ht="32.25" customHeight="1">
      <c r="A7" s="851"/>
      <c r="B7" s="161">
        <f>+C7-30</f>
        <v>43072</v>
      </c>
      <c r="C7" s="161">
        <f>+D7-30</f>
        <v>43102</v>
      </c>
      <c r="D7" s="161">
        <f>+'1. Resumen'!Q6</f>
        <v>43132</v>
      </c>
      <c r="E7" s="161">
        <f>+D7-365</f>
        <v>42767</v>
      </c>
      <c r="F7" s="162" t="s">
        <v>35</v>
      </c>
      <c r="G7" s="163">
        <v>2018</v>
      </c>
      <c r="H7" s="163">
        <v>2017</v>
      </c>
      <c r="I7" s="162" t="s">
        <v>43</v>
      </c>
      <c r="J7" s="163">
        <v>2016</v>
      </c>
      <c r="K7" s="164" t="s">
        <v>36</v>
      </c>
    </row>
    <row r="8" spans="1:11" ht="15" customHeight="1">
      <c r="A8" s="137" t="s">
        <v>37</v>
      </c>
      <c r="B8" s="695">
        <v>2518.1680651151491</v>
      </c>
      <c r="C8" s="689">
        <v>2939.1774245275028</v>
      </c>
      <c r="D8" s="696">
        <v>2764.6728744500001</v>
      </c>
      <c r="E8" s="695">
        <v>2591.7975482355673</v>
      </c>
      <c r="F8" s="381">
        <f>IF(E8=0,"",D8/E8-1)</f>
        <v>6.6700937475661304E-2</v>
      </c>
      <c r="G8" s="703">
        <v>5703.8502989775025</v>
      </c>
      <c r="H8" s="689">
        <v>5460.3550577695269</v>
      </c>
      <c r="I8" s="385">
        <f>IF(H8=0,"",G8/H8-1)</f>
        <v>4.4593298170511275E-2</v>
      </c>
      <c r="J8" s="689">
        <v>4298.6414537870287</v>
      </c>
      <c r="K8" s="381">
        <f>IF(J8=0,"",H8/J8-1)</f>
        <v>0.27025133788700817</v>
      </c>
    </row>
    <row r="9" spans="1:11" ht="15" customHeight="1">
      <c r="A9" s="138" t="s">
        <v>38</v>
      </c>
      <c r="B9" s="697">
        <v>1537.8745376180818</v>
      </c>
      <c r="C9" s="690">
        <v>1169.0374754100008</v>
      </c>
      <c r="D9" s="698">
        <v>1046.218760365</v>
      </c>
      <c r="E9" s="697">
        <v>1185.5397305229492</v>
      </c>
      <c r="F9" s="382">
        <f t="shared" ref="F9:F15" si="0">IF(E9=0,"",D9/E9-1)</f>
        <v>-0.11751691366471018</v>
      </c>
      <c r="G9" s="704">
        <v>2215.2562357749998</v>
      </c>
      <c r="H9" s="690">
        <v>2510.8897713439965</v>
      </c>
      <c r="I9" s="386">
        <f t="shared" ref="I9:I15" si="1">IF(H9=0,"",G9/H9-1)</f>
        <v>-0.11774054717294646</v>
      </c>
      <c r="J9" s="690">
        <v>3391.1096351957549</v>
      </c>
      <c r="K9" s="382">
        <f t="shared" ref="K9:K13" si="2">IF(J9=0,"",H9/J9-1)</f>
        <v>-0.25956691423836753</v>
      </c>
    </row>
    <row r="10" spans="1:11" ht="15" customHeight="1">
      <c r="A10" s="139" t="s">
        <v>39</v>
      </c>
      <c r="B10" s="699">
        <v>92.030563942929874</v>
      </c>
      <c r="C10" s="691">
        <v>87.37300737999999</v>
      </c>
      <c r="D10" s="700">
        <v>62.462496864999991</v>
      </c>
      <c r="E10" s="699">
        <v>56.178714554427003</v>
      </c>
      <c r="F10" s="383">
        <f t="shared" si="0"/>
        <v>0.11185343702524797</v>
      </c>
      <c r="G10" s="705">
        <v>149.83550424499998</v>
      </c>
      <c r="H10" s="691">
        <v>116.55151657847537</v>
      </c>
      <c r="I10" s="387">
        <f t="shared" si="1"/>
        <v>0.28557318380421193</v>
      </c>
      <c r="J10" s="691">
        <v>89.574163277960253</v>
      </c>
      <c r="K10" s="383">
        <f>IF(J10=0,"",H10/J10-1)</f>
        <v>0.30117337760444252</v>
      </c>
    </row>
    <row r="11" spans="1:11" ht="15" customHeight="1">
      <c r="A11" s="138" t="s">
        <v>30</v>
      </c>
      <c r="B11" s="697">
        <v>62.632254656498645</v>
      </c>
      <c r="C11" s="690">
        <v>59.658878850000001</v>
      </c>
      <c r="D11" s="698">
        <v>46.187362507500005</v>
      </c>
      <c r="E11" s="697">
        <v>18.18949984</v>
      </c>
      <c r="F11" s="382">
        <f>IF(E11=0,"",D11/E11-1)</f>
        <v>1.5392321346808404</v>
      </c>
      <c r="G11" s="704">
        <v>105.84624135749999</v>
      </c>
      <c r="H11" s="690">
        <v>35.836086751442998</v>
      </c>
      <c r="I11" s="386">
        <f t="shared" si="1"/>
        <v>1.9536216409911979</v>
      </c>
      <c r="J11" s="690">
        <v>40.6380799874999</v>
      </c>
      <c r="K11" s="382">
        <f>IF(J11=0,"",H11/J11-1)</f>
        <v>-0.118164865011683</v>
      </c>
    </row>
    <row r="12" spans="1:11" ht="15" customHeight="1">
      <c r="A12" s="174" t="s">
        <v>44</v>
      </c>
      <c r="B12" s="701">
        <f>+B8+B9+B10+B11</f>
        <v>4210.7054213326601</v>
      </c>
      <c r="C12" s="692">
        <f>+C8+C9+C10+C11</f>
        <v>4255.2467861675041</v>
      </c>
      <c r="D12" s="702">
        <f>+D8+D9+D10+D11</f>
        <v>3919.5414941875001</v>
      </c>
      <c r="E12" s="701">
        <f>+E8+E9+E10+E11</f>
        <v>3851.7054931529437</v>
      </c>
      <c r="F12" s="384">
        <f t="shared" si="0"/>
        <v>1.7611938699660712E-2</v>
      </c>
      <c r="G12" s="701">
        <f>+G8+G9+G10+G11</f>
        <v>8174.7882803550019</v>
      </c>
      <c r="H12" s="692">
        <f>+H8+H9+H10+H11</f>
        <v>8123.6324324434418</v>
      </c>
      <c r="I12" s="388">
        <f>IF(H12=0,"",G12/H12-1)</f>
        <v>6.297164271891198E-3</v>
      </c>
      <c r="J12" s="692">
        <f>+J8+J9+J10+J11</f>
        <v>7819.9633322482432</v>
      </c>
      <c r="K12" s="384">
        <f t="shared" si="2"/>
        <v>3.8832547838545173E-2</v>
      </c>
    </row>
    <row r="13" spans="1:11" ht="15" customHeight="1">
      <c r="A13" s="133"/>
      <c r="B13" s="133"/>
      <c r="C13" s="133"/>
      <c r="D13" s="133"/>
      <c r="E13" s="133"/>
      <c r="F13" s="135"/>
      <c r="G13" s="133"/>
      <c r="H13" s="133"/>
      <c r="I13" s="135"/>
      <c r="J13" s="134"/>
      <c r="K13" s="135" t="str">
        <f t="shared" si="2"/>
        <v/>
      </c>
    </row>
    <row r="14" spans="1:11" ht="15" customHeight="1">
      <c r="A14" s="140" t="s">
        <v>40</v>
      </c>
      <c r="B14" s="379">
        <v>0</v>
      </c>
      <c r="C14" s="380">
        <v>0</v>
      </c>
      <c r="D14" s="694">
        <v>2.1206869999999993</v>
      </c>
      <c r="E14" s="379">
        <v>0.40202100000000002</v>
      </c>
      <c r="F14" s="141">
        <f t="shared" si="0"/>
        <v>4.2750652329107171</v>
      </c>
      <c r="G14" s="379">
        <v>2.1206869999999993</v>
      </c>
      <c r="H14" s="380">
        <v>0.40202100000000002</v>
      </c>
      <c r="I14" s="144">
        <f t="shared" si="1"/>
        <v>4.2750652329107171</v>
      </c>
      <c r="J14" s="380">
        <v>0</v>
      </c>
      <c r="K14" s="141" t="str">
        <f>IF(J14=0,"",H14/J14-1)</f>
        <v/>
      </c>
    </row>
    <row r="15" spans="1:11" ht="15" customHeight="1">
      <c r="A15" s="139" t="s">
        <v>41</v>
      </c>
      <c r="B15" s="376">
        <v>0</v>
      </c>
      <c r="C15" s="377">
        <v>0</v>
      </c>
      <c r="D15" s="378">
        <v>0</v>
      </c>
      <c r="E15" s="376">
        <v>0</v>
      </c>
      <c r="F15" s="142" t="str">
        <f t="shared" si="0"/>
        <v/>
      </c>
      <c r="G15" s="376">
        <v>0</v>
      </c>
      <c r="H15" s="377">
        <v>0</v>
      </c>
      <c r="I15" s="136" t="str">
        <f t="shared" si="1"/>
        <v/>
      </c>
      <c r="J15" s="377">
        <v>34.381777999999997</v>
      </c>
      <c r="K15" s="142">
        <f>IF(J15=0,"",H15/J15-1)</f>
        <v>-1</v>
      </c>
    </row>
    <row r="16" spans="1:11" ht="23.25" customHeight="1">
      <c r="A16" s="146" t="s">
        <v>42</v>
      </c>
      <c r="B16" s="389">
        <f>+B15-B14</f>
        <v>0</v>
      </c>
      <c r="C16" s="389">
        <f t="shared" ref="C16:E16" si="3">+C15-C14</f>
        <v>0</v>
      </c>
      <c r="D16" s="389">
        <f t="shared" si="3"/>
        <v>-2.1206869999999993</v>
      </c>
      <c r="E16" s="389">
        <f t="shared" si="3"/>
        <v>-0.40202100000000002</v>
      </c>
      <c r="F16" s="143"/>
      <c r="G16" s="389">
        <f t="shared" ref="G16" si="4">+G15-G14</f>
        <v>-2.1206869999999993</v>
      </c>
      <c r="H16" s="390">
        <f t="shared" ref="H16" si="5">+H15-H14</f>
        <v>-0.40202100000000002</v>
      </c>
      <c r="I16" s="145"/>
      <c r="J16" s="390">
        <f t="shared" ref="J16" si="6">+J15-J14</f>
        <v>34.381777999999997</v>
      </c>
      <c r="K16" s="143"/>
    </row>
    <row r="17" spans="1:11" ht="11.25" customHeight="1">
      <c r="A17" s="391" t="s">
        <v>263</v>
      </c>
      <c r="B17" s="130"/>
      <c r="C17" s="130"/>
      <c r="D17" s="130"/>
      <c r="E17" s="130"/>
      <c r="F17" s="130"/>
      <c r="G17" s="130"/>
      <c r="H17" s="130"/>
      <c r="I17" s="130"/>
      <c r="J17" s="130"/>
      <c r="K17" s="130"/>
    </row>
    <row r="18" spans="1:11" ht="11.25" customHeight="1">
      <c r="A18" s="131"/>
      <c r="B18" s="130"/>
      <c r="C18" s="130"/>
      <c r="D18" s="130"/>
      <c r="E18" s="130"/>
      <c r="F18" s="130"/>
      <c r="G18" s="130"/>
      <c r="H18" s="130"/>
      <c r="I18" s="130"/>
      <c r="J18" s="130"/>
      <c r="K18" s="130"/>
    </row>
    <row r="19" spans="1:11" ht="11.25" customHeight="1">
      <c r="A19" s="2"/>
      <c r="B19" s="115"/>
      <c r="C19" s="115"/>
      <c r="D19" s="115"/>
      <c r="E19" s="115"/>
      <c r="F19" s="115"/>
      <c r="G19" s="115"/>
      <c r="H19" s="115"/>
      <c r="I19" s="115"/>
      <c r="J19" s="115"/>
      <c r="K19" s="115"/>
    </row>
    <row r="20" spans="1:11" ht="11.25" customHeight="1">
      <c r="A20" s="2"/>
      <c r="B20" s="115"/>
      <c r="C20" s="115"/>
      <c r="D20" s="115"/>
      <c r="E20" s="115"/>
      <c r="F20" s="115"/>
      <c r="G20" s="115"/>
      <c r="H20" s="115"/>
      <c r="I20" s="115"/>
      <c r="J20" s="115"/>
      <c r="K20" s="115"/>
    </row>
    <row r="21" spans="1:11" ht="11.25" customHeight="1">
      <c r="A21" s="93"/>
      <c r="B21" s="93"/>
      <c r="C21" s="93"/>
      <c r="D21" s="93"/>
      <c r="E21" s="93"/>
      <c r="F21" s="93"/>
      <c r="G21" s="93"/>
      <c r="H21" s="93"/>
      <c r="I21" s="93"/>
      <c r="J21" s="93"/>
      <c r="K21" s="93"/>
    </row>
    <row r="22" spans="1:11" ht="11.25" customHeight="1">
      <c r="A22" s="2"/>
      <c r="B22" s="115"/>
      <c r="C22" s="115"/>
      <c r="D22" s="115"/>
      <c r="E22" s="115"/>
      <c r="F22" s="115"/>
      <c r="G22" s="115"/>
      <c r="H22" s="115"/>
      <c r="I22" s="115"/>
      <c r="J22" s="115"/>
      <c r="K22" s="115"/>
    </row>
    <row r="23" spans="1:11" ht="11.25" customHeight="1">
      <c r="A23" s="2"/>
      <c r="B23" s="115"/>
      <c r="C23" s="115"/>
      <c r="D23" s="115"/>
      <c r="E23" s="115"/>
      <c r="F23" s="115"/>
      <c r="G23" s="115"/>
      <c r="H23" s="115"/>
      <c r="I23" s="115"/>
      <c r="J23" s="115"/>
      <c r="K23" s="115"/>
    </row>
    <row r="24" spans="1:11" ht="11.25" customHeight="1">
      <c r="A24" s="2"/>
      <c r="B24" s="115"/>
      <c r="C24" s="115"/>
      <c r="D24" s="115"/>
      <c r="E24" s="115"/>
      <c r="F24" s="115"/>
      <c r="G24" s="115"/>
      <c r="H24" s="115"/>
      <c r="I24" s="115"/>
      <c r="J24" s="115"/>
      <c r="K24" s="115"/>
    </row>
    <row r="25" spans="1:11" ht="11.25" customHeight="1">
      <c r="A25" s="2"/>
      <c r="B25" s="115"/>
      <c r="C25" s="115"/>
      <c r="D25" s="115"/>
      <c r="E25" s="115"/>
      <c r="F25" s="115"/>
      <c r="G25" s="115"/>
      <c r="H25" s="115"/>
      <c r="I25" s="115"/>
      <c r="J25" s="115"/>
      <c r="K25" s="115"/>
    </row>
    <row r="26" spans="1:11" ht="11.25" customHeight="1">
      <c r="A26" s="2"/>
      <c r="B26" s="115"/>
      <c r="C26" s="115"/>
      <c r="D26" s="115"/>
      <c r="E26" s="115"/>
      <c r="F26" s="115"/>
      <c r="G26" s="115"/>
      <c r="H26" s="115"/>
      <c r="I26" s="115"/>
      <c r="J26" s="115"/>
      <c r="K26" s="115"/>
    </row>
    <row r="27" spans="1:11" ht="11.25" customHeight="1">
      <c r="A27" s="2"/>
      <c r="B27" s="115"/>
      <c r="C27" s="115"/>
      <c r="D27" s="115"/>
      <c r="E27" s="115"/>
      <c r="F27" s="115"/>
      <c r="G27" s="115"/>
      <c r="H27" s="115"/>
      <c r="I27" s="115"/>
      <c r="J27" s="115"/>
      <c r="K27" s="115"/>
    </row>
    <row r="28" spans="1:11" ht="11.25" customHeight="1">
      <c r="A28" s="2"/>
      <c r="B28" s="115"/>
      <c r="C28" s="115"/>
      <c r="D28" s="115"/>
      <c r="E28" s="115"/>
      <c r="F28" s="115"/>
      <c r="G28" s="115"/>
      <c r="H28" s="115"/>
      <c r="I28" s="115"/>
      <c r="J28" s="115"/>
      <c r="K28" s="115"/>
    </row>
    <row r="29" spans="1:11" ht="11.25" customHeight="1">
      <c r="A29" s="2"/>
      <c r="B29" s="115"/>
      <c r="C29" s="115"/>
      <c r="D29" s="115"/>
      <c r="E29" s="115"/>
      <c r="F29" s="115"/>
      <c r="G29" s="115"/>
      <c r="H29" s="115"/>
      <c r="I29" s="115"/>
      <c r="J29" s="115"/>
      <c r="K29" s="115"/>
    </row>
    <row r="30" spans="1:11" ht="11.25" customHeight="1">
      <c r="A30" s="2"/>
      <c r="B30" s="115"/>
      <c r="C30" s="115"/>
      <c r="D30" s="115"/>
      <c r="E30" s="115"/>
      <c r="F30" s="115"/>
      <c r="G30" s="115"/>
      <c r="H30" s="115"/>
      <c r="I30" s="115"/>
      <c r="J30" s="115"/>
      <c r="K30" s="115"/>
    </row>
    <row r="31" spans="1:11" ht="11.25" customHeight="1">
      <c r="A31" s="2"/>
      <c r="B31" s="115"/>
      <c r="C31" s="115"/>
      <c r="D31" s="115"/>
      <c r="E31" s="115"/>
      <c r="F31" s="115"/>
      <c r="G31" s="115"/>
      <c r="H31" s="115"/>
      <c r="I31" s="115"/>
      <c r="J31" s="115"/>
      <c r="K31" s="115"/>
    </row>
    <row r="32" spans="1:11" ht="11.25" customHeight="1">
      <c r="A32" s="2"/>
      <c r="B32" s="115"/>
      <c r="C32" s="115"/>
      <c r="D32" s="115"/>
      <c r="E32" s="115"/>
      <c r="F32" s="115"/>
      <c r="G32" s="115"/>
      <c r="H32" s="115"/>
      <c r="I32" s="115"/>
      <c r="J32" s="115"/>
      <c r="K32" s="115"/>
    </row>
    <row r="33" spans="1:11" ht="11.25" customHeight="1">
      <c r="A33" s="2"/>
      <c r="B33" s="115"/>
      <c r="C33" s="115"/>
      <c r="D33" s="115"/>
      <c r="E33" s="115"/>
      <c r="F33" s="115"/>
      <c r="G33" s="115"/>
      <c r="H33" s="115"/>
      <c r="I33" s="115"/>
      <c r="J33" s="115"/>
      <c r="K33" s="115"/>
    </row>
    <row r="34" spans="1:11" ht="11.25" customHeight="1">
      <c r="A34" s="2"/>
      <c r="B34" s="115"/>
      <c r="C34" s="115"/>
      <c r="D34" s="115"/>
      <c r="E34" s="115"/>
      <c r="F34" s="115"/>
      <c r="G34" s="115"/>
      <c r="H34" s="115"/>
      <c r="I34" s="115"/>
      <c r="J34" s="115"/>
      <c r="K34" s="115"/>
    </row>
    <row r="35" spans="1:11" ht="11.25" customHeight="1">
      <c r="A35" s="2"/>
      <c r="B35" s="115"/>
      <c r="C35" s="115"/>
      <c r="D35" s="115"/>
      <c r="E35" s="115"/>
      <c r="F35" s="115"/>
      <c r="G35" s="115"/>
      <c r="H35" s="115"/>
      <c r="I35" s="115"/>
      <c r="J35" s="115"/>
      <c r="K35" s="115"/>
    </row>
    <row r="36" spans="1:11" ht="11.25" customHeight="1">
      <c r="A36" s="2"/>
      <c r="B36" s="115"/>
      <c r="C36" s="115"/>
      <c r="D36" s="115"/>
      <c r="E36" s="115"/>
      <c r="F36" s="115"/>
      <c r="G36" s="115"/>
      <c r="H36" s="115"/>
      <c r="I36" s="115"/>
      <c r="J36" s="115"/>
      <c r="K36" s="115"/>
    </row>
    <row r="37" spans="1:11" ht="11.25" customHeight="1">
      <c r="A37" s="2"/>
      <c r="B37" s="115"/>
      <c r="C37" s="115"/>
      <c r="D37" s="115"/>
      <c r="E37" s="115"/>
      <c r="F37" s="115"/>
      <c r="G37" s="115"/>
      <c r="H37" s="115"/>
      <c r="I37" s="115"/>
      <c r="J37" s="115"/>
      <c r="K37" s="115"/>
    </row>
    <row r="38" spans="1:11" ht="11.25" customHeight="1">
      <c r="A38" s="2"/>
      <c r="B38" s="115"/>
      <c r="C38" s="115"/>
      <c r="D38" s="115"/>
      <c r="E38" s="115"/>
      <c r="F38" s="115"/>
      <c r="G38" s="115"/>
      <c r="H38" s="115"/>
      <c r="I38" s="115"/>
      <c r="J38" s="115"/>
      <c r="K38" s="115"/>
    </row>
    <row r="39" spans="1:11" ht="11.25" customHeight="1">
      <c r="A39" s="2"/>
      <c r="B39" s="115"/>
      <c r="C39" s="115"/>
      <c r="D39" s="115"/>
      <c r="E39" s="115"/>
      <c r="F39" s="115"/>
      <c r="G39" s="115"/>
      <c r="H39" s="115"/>
      <c r="I39" s="115"/>
      <c r="J39" s="115"/>
      <c r="K39" s="115"/>
    </row>
    <row r="40" spans="1:11" ht="11.25" customHeight="1">
      <c r="A40" s="2"/>
      <c r="B40" s="115"/>
      <c r="C40" s="115"/>
      <c r="D40" s="115"/>
      <c r="E40" s="115"/>
      <c r="F40" s="115"/>
      <c r="G40" s="115"/>
      <c r="H40" s="115"/>
      <c r="I40" s="115"/>
      <c r="J40" s="115"/>
      <c r="K40" s="115"/>
    </row>
    <row r="41" spans="1:11" ht="11.25" customHeight="1">
      <c r="A41" s="2"/>
      <c r="B41" s="115"/>
      <c r="C41" s="115"/>
      <c r="D41" s="115"/>
      <c r="E41" s="115"/>
      <c r="F41" s="115"/>
      <c r="G41" s="115"/>
      <c r="H41" s="115"/>
      <c r="I41" s="115"/>
      <c r="J41" s="115"/>
      <c r="K41" s="115"/>
    </row>
    <row r="42" spans="1:11" ht="11.25" customHeight="1">
      <c r="A42" s="116"/>
      <c r="B42" s="848"/>
      <c r="C42" s="848"/>
      <c r="D42" s="848"/>
      <c r="E42" s="113"/>
      <c r="F42" s="113"/>
      <c r="G42" s="849"/>
      <c r="H42" s="849"/>
      <c r="I42" s="849"/>
      <c r="J42" s="849"/>
      <c r="K42" s="849"/>
    </row>
    <row r="43" spans="1:11" ht="11.25" customHeight="1">
      <c r="A43" s="117"/>
      <c r="B43" s="118"/>
      <c r="C43" s="118"/>
      <c r="D43" s="118"/>
      <c r="E43" s="118"/>
      <c r="F43" s="118"/>
      <c r="G43" s="119"/>
      <c r="H43" s="119"/>
      <c r="I43" s="120"/>
      <c r="J43" s="119"/>
      <c r="K43" s="119"/>
    </row>
    <row r="44" spans="1:11" ht="11.25" customHeight="1">
      <c r="A44" s="116"/>
      <c r="B44" s="121"/>
      <c r="C44" s="114"/>
      <c r="D44" s="114"/>
      <c r="E44" s="114"/>
      <c r="F44" s="114"/>
      <c r="G44" s="114"/>
      <c r="H44" s="114"/>
      <c r="I44" s="114"/>
      <c r="J44" s="114"/>
      <c r="K44" s="114"/>
    </row>
    <row r="45" spans="1:11" ht="11.25" customHeight="1">
      <c r="A45" s="2"/>
      <c r="B45" s="90"/>
      <c r="C45" s="90"/>
      <c r="D45" s="90"/>
      <c r="E45" s="90"/>
      <c r="F45" s="90"/>
      <c r="G45" s="90"/>
      <c r="H45" s="90"/>
      <c r="I45" s="122"/>
      <c r="J45" s="90"/>
      <c r="K45" s="123"/>
    </row>
    <row r="46" spans="1:11" ht="11.25" customHeight="1">
      <c r="A46" s="2"/>
      <c r="B46" s="90"/>
      <c r="C46" s="90"/>
      <c r="D46" s="90"/>
      <c r="E46" s="90"/>
      <c r="F46" s="90"/>
      <c r="G46" s="90"/>
      <c r="H46" s="90"/>
      <c r="I46" s="122"/>
      <c r="J46" s="90"/>
      <c r="K46" s="123"/>
    </row>
    <row r="47" spans="1:11" ht="11.25" customHeight="1">
      <c r="A47" s="2"/>
      <c r="B47" s="90"/>
      <c r="C47" s="90"/>
      <c r="D47" s="90"/>
      <c r="E47" s="90"/>
      <c r="F47" s="90"/>
      <c r="G47" s="90"/>
      <c r="H47" s="90"/>
      <c r="I47" s="122"/>
      <c r="J47" s="90"/>
      <c r="K47" s="123"/>
    </row>
    <row r="48" spans="1:11" ht="11.25" customHeight="1">
      <c r="A48" s="2"/>
      <c r="B48" s="90"/>
      <c r="C48" s="90"/>
      <c r="D48" s="90"/>
      <c r="E48" s="90"/>
      <c r="F48" s="90"/>
      <c r="G48" s="90"/>
      <c r="H48" s="90"/>
      <c r="I48" s="122"/>
      <c r="J48" s="90"/>
      <c r="K48" s="123"/>
    </row>
    <row r="49" spans="1:11" ht="11.25" customHeight="1">
      <c r="A49" s="2"/>
      <c r="B49" s="90"/>
      <c r="C49" s="90"/>
      <c r="D49" s="90"/>
      <c r="E49" s="90"/>
      <c r="F49" s="90"/>
      <c r="G49" s="90"/>
      <c r="H49" s="90"/>
      <c r="I49" s="122"/>
      <c r="J49" s="90"/>
      <c r="K49" s="123"/>
    </row>
    <row r="50" spans="1:11" ht="11.25" customHeight="1">
      <c r="A50" s="2"/>
      <c r="B50" s="90"/>
      <c r="C50" s="90"/>
      <c r="D50" s="90"/>
      <c r="E50" s="90"/>
      <c r="F50" s="90"/>
      <c r="G50" s="90"/>
      <c r="H50" s="90"/>
      <c r="I50" s="122"/>
      <c r="J50" s="90"/>
      <c r="K50" s="123"/>
    </row>
    <row r="51" spans="1:11" ht="11.25" customHeight="1">
      <c r="A51" s="2"/>
      <c r="B51" s="90"/>
      <c r="C51" s="90"/>
      <c r="D51" s="90"/>
      <c r="E51" s="90"/>
      <c r="F51" s="90"/>
      <c r="G51" s="90"/>
      <c r="H51" s="90"/>
      <c r="I51" s="122"/>
      <c r="J51" s="90"/>
      <c r="K51" s="123"/>
    </row>
    <row r="52" spans="1:11" ht="11.25" customHeight="1">
      <c r="A52" s="2"/>
      <c r="B52" s="90"/>
      <c r="C52" s="90"/>
      <c r="D52" s="90"/>
      <c r="E52" s="90"/>
      <c r="F52" s="90"/>
      <c r="G52" s="90"/>
      <c r="H52" s="90"/>
      <c r="I52" s="122"/>
      <c r="J52" s="90"/>
      <c r="K52" s="123"/>
    </row>
    <row r="53" spans="1:11" ht="12.75">
      <c r="A53" s="2"/>
      <c r="B53" s="90"/>
      <c r="C53" s="90"/>
      <c r="D53" s="90"/>
      <c r="E53" s="90"/>
      <c r="F53" s="90"/>
      <c r="G53" s="90"/>
      <c r="H53" s="90"/>
      <c r="I53" s="122"/>
      <c r="J53" s="90"/>
      <c r="K53" s="123"/>
    </row>
    <row r="54" spans="1:11" ht="12.75">
      <c r="A54" s="2"/>
      <c r="B54" s="90"/>
      <c r="C54" s="90"/>
      <c r="D54" s="90"/>
      <c r="E54" s="90"/>
      <c r="F54" s="90"/>
      <c r="G54" s="90"/>
      <c r="H54" s="90"/>
      <c r="I54" s="122"/>
      <c r="J54" s="90"/>
      <c r="K54" s="123"/>
    </row>
    <row r="55" spans="1:11" ht="12.75">
      <c r="A55" s="2"/>
      <c r="B55" s="90"/>
      <c r="C55" s="90"/>
      <c r="D55" s="90"/>
      <c r="E55" s="90"/>
      <c r="F55" s="90"/>
      <c r="G55" s="90"/>
      <c r="H55" s="90"/>
      <c r="I55" s="122"/>
      <c r="J55" s="90"/>
      <c r="K55" s="123"/>
    </row>
    <row r="56" spans="1:11" ht="12.75">
      <c r="A56" s="2"/>
      <c r="B56" s="90"/>
      <c r="C56" s="90"/>
      <c r="D56" s="90"/>
      <c r="E56" s="90"/>
      <c r="F56" s="90"/>
      <c r="G56" s="90"/>
      <c r="H56" s="90"/>
      <c r="I56" s="122"/>
      <c r="J56" s="90"/>
      <c r="K56" s="123"/>
    </row>
    <row r="57" spans="1:11" ht="12.75">
      <c r="A57" s="2"/>
      <c r="B57" s="90"/>
      <c r="C57" s="90"/>
      <c r="D57" s="90"/>
      <c r="E57" s="90"/>
      <c r="F57" s="90"/>
      <c r="G57" s="90"/>
      <c r="H57" s="90"/>
      <c r="I57" s="122"/>
      <c r="J57" s="90"/>
      <c r="K57" s="123"/>
    </row>
    <row r="58" spans="1:11" ht="12.75">
      <c r="A58" s="392" t="str">
        <f>"Gráfico N° 4: Comparación de la producción de energía eléctrica por tipo de generación acumulada a "&amp;'1. Resumen'!Q4</f>
        <v>Gráfico N° 4: Comparación de la producción de energía eléctrica por tipo de generación acumulada a febrero</v>
      </c>
      <c r="B58" s="90"/>
      <c r="C58" s="90"/>
      <c r="D58" s="90"/>
      <c r="E58" s="90"/>
      <c r="F58" s="90"/>
      <c r="G58" s="90"/>
      <c r="H58" s="90"/>
      <c r="I58" s="122"/>
      <c r="J58" s="90"/>
      <c r="K58" s="123"/>
    </row>
    <row r="59" spans="1:11" ht="12.75">
      <c r="B59" s="90"/>
      <c r="C59" s="90"/>
      <c r="D59" s="90"/>
      <c r="E59" s="90"/>
      <c r="F59" s="90"/>
      <c r="G59" s="90"/>
      <c r="H59" s="90"/>
      <c r="I59" s="122"/>
      <c r="J59" s="90"/>
      <c r="K59" s="123"/>
    </row>
    <row r="60" spans="1:11" ht="12.75">
      <c r="A60" s="2"/>
      <c r="B60" s="90"/>
      <c r="C60" s="90"/>
      <c r="D60" s="90"/>
      <c r="E60" s="90"/>
      <c r="F60" s="90"/>
      <c r="G60" s="90"/>
      <c r="H60" s="90"/>
      <c r="I60" s="122"/>
      <c r="J60" s="90"/>
      <c r="K60" s="123"/>
    </row>
    <row r="61" spans="1:11" ht="12.75">
      <c r="A61" s="2"/>
      <c r="B61" s="90"/>
      <c r="C61" s="90"/>
      <c r="D61" s="90"/>
      <c r="E61" s="90"/>
      <c r="F61" s="90"/>
      <c r="G61" s="90"/>
      <c r="H61" s="90"/>
      <c r="I61" s="122"/>
      <c r="J61" s="90"/>
      <c r="K61" s="123"/>
    </row>
    <row r="63" spans="1:11" ht="12.75">
      <c r="A63" s="124"/>
      <c r="B63" s="125"/>
      <c r="C63" s="125"/>
      <c r="D63" s="125"/>
      <c r="E63" s="125"/>
      <c r="F63" s="125"/>
      <c r="G63" s="125"/>
      <c r="H63" s="122"/>
      <c r="I63" s="122"/>
      <c r="J63" s="125"/>
      <c r="K63" s="123"/>
    </row>
    <row r="64" spans="1:11" ht="12.75">
      <c r="A64" s="2"/>
      <c r="B64" s="90"/>
      <c r="C64" s="90"/>
      <c r="D64" s="90"/>
      <c r="E64" s="90"/>
      <c r="F64" s="90"/>
      <c r="G64" s="90"/>
      <c r="H64" s="90"/>
      <c r="I64" s="122"/>
      <c r="J64" s="90"/>
      <c r="K64" s="126"/>
    </row>
    <row r="65" spans="1:11" ht="12.75">
      <c r="A65" s="2"/>
      <c r="B65" s="90"/>
      <c r="C65" s="90"/>
      <c r="D65" s="90"/>
      <c r="E65" s="90"/>
      <c r="F65" s="90"/>
      <c r="G65" s="90"/>
      <c r="H65" s="90"/>
      <c r="I65" s="127"/>
      <c r="J65" s="90"/>
      <c r="K65" s="126"/>
    </row>
    <row r="66" spans="1:11" ht="12.75">
      <c r="A66" s="2"/>
      <c r="B66" s="90"/>
      <c r="C66" s="90"/>
      <c r="D66" s="90"/>
      <c r="E66" s="90"/>
      <c r="F66" s="90"/>
      <c r="G66" s="90"/>
      <c r="H66" s="128"/>
      <c r="I66" s="128"/>
      <c r="J66" s="90"/>
      <c r="K66" s="126"/>
    </row>
    <row r="67" spans="1:11" ht="12.75">
      <c r="A67" s="2"/>
      <c r="B67" s="90"/>
      <c r="C67" s="90"/>
      <c r="D67" s="90"/>
      <c r="E67" s="90"/>
      <c r="F67" s="90"/>
      <c r="G67" s="90"/>
      <c r="H67" s="128"/>
      <c r="I67" s="128"/>
      <c r="J67" s="90"/>
      <c r="K67" s="126"/>
    </row>
    <row r="68" spans="1:11" ht="12.75">
      <c r="A68" s="124"/>
      <c r="B68" s="125"/>
      <c r="C68" s="125"/>
      <c r="D68" s="125"/>
      <c r="E68" s="125"/>
      <c r="F68" s="125"/>
      <c r="G68" s="125"/>
      <c r="H68" s="129"/>
      <c r="I68" s="122"/>
      <c r="J68" s="125"/>
      <c r="K68" s="123"/>
    </row>
    <row r="69" spans="1:11" ht="12.75">
      <c r="A69" s="124"/>
      <c r="B69" s="125"/>
      <c r="C69" s="125"/>
      <c r="D69" s="125"/>
      <c r="E69" s="125"/>
      <c r="F69" s="125"/>
      <c r="G69" s="125"/>
      <c r="H69" s="122"/>
      <c r="I69" s="122"/>
      <c r="J69" s="125"/>
      <c r="K69" s="123"/>
    </row>
    <row r="70" spans="1:11">
      <c r="A70" s="61"/>
      <c r="B70" s="61"/>
      <c r="C70" s="61"/>
      <c r="D70" s="61"/>
      <c r="E70" s="61"/>
      <c r="F70" s="61"/>
      <c r="G70" s="61"/>
      <c r="H70" s="61"/>
      <c r="I70" s="61"/>
      <c r="J70" s="61"/>
      <c r="K70" s="61"/>
    </row>
    <row r="71" spans="1:11">
      <c r="A71" s="61"/>
      <c r="B71" s="61"/>
      <c r="C71" s="61"/>
      <c r="D71" s="61"/>
      <c r="E71" s="61"/>
      <c r="F71" s="61"/>
      <c r="G71" s="61"/>
      <c r="H71" s="61"/>
      <c r="I71" s="61"/>
      <c r="J71" s="61"/>
      <c r="K71" s="61"/>
    </row>
    <row r="72" spans="1:11">
      <c r="A72" s="61"/>
      <c r="B72" s="61"/>
      <c r="C72" s="61"/>
      <c r="D72" s="61"/>
      <c r="E72" s="61"/>
      <c r="F72" s="61"/>
      <c r="G72" s="61"/>
      <c r="H72" s="61"/>
      <c r="I72" s="61"/>
      <c r="J72" s="61"/>
      <c r="K72" s="61"/>
    </row>
    <row r="73" spans="1:11">
      <c r="A73" s="61"/>
      <c r="B73" s="61"/>
      <c r="C73" s="61"/>
      <c r="D73" s="61"/>
      <c r="E73" s="61"/>
      <c r="F73" s="61"/>
      <c r="G73" s="61"/>
      <c r="H73" s="61"/>
      <c r="I73" s="61"/>
      <c r="J73" s="61"/>
      <c r="K73" s="61"/>
    </row>
    <row r="74" spans="1:11">
      <c r="A74" s="61"/>
      <c r="B74" s="61"/>
      <c r="C74" s="61"/>
      <c r="D74" s="61"/>
      <c r="E74" s="61"/>
      <c r="F74" s="61"/>
      <c r="G74" s="61"/>
      <c r="H74" s="61"/>
      <c r="I74" s="61"/>
      <c r="J74" s="61"/>
      <c r="K74" s="61"/>
    </row>
    <row r="75" spans="1:11">
      <c r="A75" s="61"/>
      <c r="B75" s="61"/>
      <c r="C75" s="61"/>
      <c r="D75" s="61"/>
      <c r="E75" s="61"/>
      <c r="F75" s="61"/>
      <c r="G75" s="61"/>
      <c r="H75" s="61"/>
      <c r="I75" s="61"/>
      <c r="J75" s="61"/>
      <c r="K75" s="61"/>
    </row>
    <row r="76" spans="1:11">
      <c r="A76" s="61"/>
      <c r="B76" s="61"/>
      <c r="C76" s="61"/>
      <c r="D76" s="61"/>
      <c r="E76" s="61"/>
      <c r="F76" s="61"/>
      <c r="G76" s="61"/>
      <c r="H76" s="61"/>
      <c r="I76" s="61"/>
      <c r="J76" s="61"/>
      <c r="K76" s="61"/>
    </row>
    <row r="77" spans="1:11">
      <c r="A77" s="61"/>
      <c r="B77" s="61"/>
      <c r="C77" s="61"/>
      <c r="D77" s="61"/>
      <c r="E77" s="61"/>
      <c r="F77" s="61"/>
      <c r="G77" s="61"/>
      <c r="H77" s="61"/>
      <c r="I77" s="61"/>
      <c r="J77" s="61"/>
      <c r="K77" s="61"/>
    </row>
    <row r="78" spans="1:11">
      <c r="A78" s="61"/>
      <c r="B78" s="61"/>
      <c r="C78" s="61"/>
      <c r="D78" s="61"/>
      <c r="E78" s="61"/>
      <c r="F78" s="61"/>
      <c r="G78" s="61"/>
      <c r="H78" s="61"/>
      <c r="I78" s="61"/>
      <c r="J78" s="61"/>
      <c r="K78" s="61"/>
    </row>
    <row r="79" spans="1:11">
      <c r="A79" s="61"/>
      <c r="B79" s="61"/>
      <c r="C79" s="61"/>
      <c r="D79" s="61"/>
      <c r="E79" s="61"/>
      <c r="F79" s="61"/>
      <c r="G79" s="61"/>
      <c r="H79" s="61"/>
      <c r="I79" s="61"/>
      <c r="J79" s="61"/>
      <c r="K79" s="61"/>
    </row>
    <row r="80" spans="1:11">
      <c r="A80" s="61"/>
      <c r="B80" s="61"/>
      <c r="C80" s="61"/>
      <c r="D80" s="61"/>
      <c r="E80" s="61"/>
      <c r="F80" s="61"/>
      <c r="G80" s="61"/>
      <c r="H80" s="61"/>
      <c r="I80" s="61"/>
      <c r="J80" s="61"/>
      <c r="K80" s="61"/>
    </row>
    <row r="81" spans="1:11">
      <c r="A81" s="61"/>
      <c r="B81" s="61"/>
      <c r="C81" s="61"/>
      <c r="D81" s="61"/>
      <c r="E81" s="61"/>
      <c r="F81" s="61"/>
      <c r="G81" s="61"/>
      <c r="H81" s="61"/>
      <c r="I81" s="61"/>
      <c r="J81" s="61"/>
      <c r="K81" s="61"/>
    </row>
    <row r="82" spans="1:11">
      <c r="A82" s="61"/>
      <c r="B82" s="61"/>
      <c r="C82" s="61"/>
      <c r="D82" s="61"/>
      <c r="E82" s="61"/>
      <c r="F82" s="61"/>
      <c r="G82" s="61"/>
      <c r="H82" s="61"/>
      <c r="I82" s="61"/>
      <c r="J82" s="61"/>
      <c r="K82" s="61"/>
    </row>
    <row r="83" spans="1:11">
      <c r="A83" s="61"/>
      <c r="B83" s="61"/>
      <c r="C83" s="61"/>
      <c r="D83" s="61"/>
      <c r="E83" s="61"/>
      <c r="F83" s="61"/>
      <c r="G83" s="61"/>
      <c r="H83" s="61"/>
      <c r="I83" s="61"/>
      <c r="J83" s="61"/>
      <c r="K83" s="61"/>
    </row>
    <row r="84" spans="1:11">
      <c r="A84" s="61"/>
      <c r="B84" s="61"/>
      <c r="C84" s="61"/>
      <c r="D84" s="61"/>
      <c r="E84" s="61"/>
      <c r="F84" s="61"/>
      <c r="G84" s="61"/>
      <c r="H84" s="61"/>
      <c r="I84" s="61"/>
      <c r="J84" s="61"/>
      <c r="K84" s="61"/>
    </row>
    <row r="85" spans="1:11">
      <c r="A85" s="61"/>
      <c r="B85" s="61"/>
      <c r="C85" s="61"/>
      <c r="D85" s="61"/>
      <c r="E85" s="61"/>
      <c r="F85" s="61"/>
      <c r="G85" s="61"/>
      <c r="H85" s="61"/>
      <c r="I85" s="61"/>
      <c r="J85" s="61"/>
      <c r="K85" s="61"/>
    </row>
    <row r="86" spans="1:11">
      <c r="A86" s="61"/>
      <c r="B86" s="61"/>
      <c r="C86" s="61"/>
      <c r="D86" s="61"/>
      <c r="E86" s="61"/>
      <c r="F86" s="61"/>
      <c r="G86" s="61"/>
      <c r="H86" s="61"/>
      <c r="I86" s="61"/>
      <c r="J86" s="61"/>
      <c r="K86" s="61"/>
    </row>
    <row r="87" spans="1:11">
      <c r="A87" s="61"/>
      <c r="B87" s="61"/>
      <c r="C87" s="61"/>
      <c r="D87" s="61"/>
      <c r="E87" s="61"/>
      <c r="F87" s="61"/>
      <c r="G87" s="61"/>
      <c r="H87" s="61"/>
      <c r="I87" s="61"/>
      <c r="J87" s="61"/>
      <c r="K87" s="61"/>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4" orientation="portrait" r:id="rId1"/>
  <headerFooter>
    <oddHeader>&amp;R&amp;7Informe de la Operación Mensual - Febrero 2018
INFSGI-MES-02-2018
08/03/2018
Versión: 01</oddHeader>
    <oddFooter>&amp;L&amp;7COES SINAC, 2018
&amp;C3&amp;R&amp;7Dirección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zoomScale="130" zoomScaleNormal="100" zoomScaleSheetLayoutView="130" zoomScalePageLayoutView="145" workbookViewId="0">
      <selection activeCell="K12" sqref="K12"/>
    </sheetView>
  </sheetViews>
  <sheetFormatPr defaultRowHeight="11.25"/>
  <cols>
    <col min="1" max="1" width="18.33203125" style="3" customWidth="1"/>
    <col min="2" max="6" width="9.5" style="3" bestFit="1" customWidth="1"/>
    <col min="7" max="8" width="9.83203125" style="3" bestFit="1" customWidth="1"/>
    <col min="9" max="9" width="9.5" style="3" bestFit="1" customWidth="1"/>
    <col min="10" max="11" width="9.33203125" style="3" customWidth="1"/>
    <col min="12" max="16384" width="9.33203125" style="3"/>
  </cols>
  <sheetData>
    <row r="1" spans="1:12" ht="11.25" customHeight="1"/>
    <row r="2" spans="1:12" ht="11.25" customHeight="1">
      <c r="A2" s="858" t="str">
        <f>+"3.2. PRODUCCIÓN POR TIPO DE RECURSO ENERGÉTICO (GWh)"</f>
        <v>3.2. PRODUCCIÓN POR TIPO DE RECURSO ENERGÉTICO (GWh)</v>
      </c>
      <c r="B2" s="858"/>
      <c r="C2" s="858"/>
      <c r="D2" s="858"/>
      <c r="E2" s="858"/>
      <c r="F2" s="858"/>
      <c r="G2" s="858"/>
      <c r="H2" s="858"/>
      <c r="I2" s="858"/>
      <c r="J2" s="858"/>
      <c r="K2" s="858"/>
    </row>
    <row r="3" spans="1:12" ht="18.75" customHeight="1">
      <c r="A3" s="147"/>
      <c r="B3" s="148"/>
      <c r="C3" s="149"/>
      <c r="D3" s="150"/>
      <c r="E3" s="150"/>
      <c r="F3" s="150"/>
      <c r="G3" s="151"/>
      <c r="H3" s="151"/>
      <c r="I3" s="151"/>
      <c r="J3" s="147"/>
      <c r="K3" s="147"/>
      <c r="L3" s="45"/>
    </row>
    <row r="4" spans="1:12" ht="14.25" customHeight="1">
      <c r="A4" s="862" t="s">
        <v>45</v>
      </c>
      <c r="B4" s="859" t="s">
        <v>33</v>
      </c>
      <c r="C4" s="860"/>
      <c r="D4" s="860"/>
      <c r="E4" s="860" t="s">
        <v>34</v>
      </c>
      <c r="F4" s="860"/>
      <c r="G4" s="861" t="str">
        <f>+'3. Tipo Generación'!G6:K6</f>
        <v>Generación Acumulada a febrero</v>
      </c>
      <c r="H4" s="861"/>
      <c r="I4" s="861"/>
      <c r="J4" s="861"/>
      <c r="K4" s="861"/>
      <c r="L4" s="152"/>
    </row>
    <row r="5" spans="1:12" ht="26.25" customHeight="1">
      <c r="A5" s="862"/>
      <c r="B5" s="397">
        <f>+'3. Tipo Generación'!B7</f>
        <v>43072</v>
      </c>
      <c r="C5" s="397">
        <f>+'3. Tipo Generación'!C7</f>
        <v>43102</v>
      </c>
      <c r="D5" s="397">
        <f>+'3. Tipo Generación'!D7</f>
        <v>43132</v>
      </c>
      <c r="E5" s="397">
        <f>+'3. Tipo Generación'!E7</f>
        <v>42767</v>
      </c>
      <c r="F5" s="398" t="s">
        <v>35</v>
      </c>
      <c r="G5" s="399">
        <v>2018</v>
      </c>
      <c r="H5" s="399">
        <v>2017</v>
      </c>
      <c r="I5" s="398" t="s">
        <v>43</v>
      </c>
      <c r="J5" s="399">
        <v>2016</v>
      </c>
      <c r="K5" s="398" t="s">
        <v>36</v>
      </c>
      <c r="L5" s="26"/>
    </row>
    <row r="6" spans="1:12" ht="11.25" customHeight="1">
      <c r="A6" s="165" t="s">
        <v>46</v>
      </c>
      <c r="B6" s="587">
        <v>2518.1680651151491</v>
      </c>
      <c r="C6" s="588">
        <v>2939.1774245275028</v>
      </c>
      <c r="D6" s="589">
        <v>2764.6728744500001</v>
      </c>
      <c r="E6" s="587">
        <v>2591.7975482355673</v>
      </c>
      <c r="F6" s="168">
        <f>IF(E6=0,"",D6/E6-1)</f>
        <v>6.6700937475661304E-2</v>
      </c>
      <c r="G6" s="587">
        <v>5703.8502989775025</v>
      </c>
      <c r="H6" s="588">
        <v>5460.3550577695269</v>
      </c>
      <c r="I6" s="168">
        <f t="shared" ref="I6:I16" si="0">IF(H6=0,"",G6/H6-1)</f>
        <v>4.4593298170511275E-2</v>
      </c>
      <c r="J6" s="587">
        <v>4298.6414537870287</v>
      </c>
      <c r="K6" s="168">
        <f>IF(J6=0,"",H6/J6-1)</f>
        <v>0.27025133788700817</v>
      </c>
      <c r="L6" s="31"/>
    </row>
    <row r="7" spans="1:12" ht="11.25" customHeight="1">
      <c r="A7" s="166" t="s">
        <v>52</v>
      </c>
      <c r="B7" s="590">
        <v>1452.0148022819646</v>
      </c>
      <c r="C7" s="393">
        <v>1103.3222815800002</v>
      </c>
      <c r="D7" s="591">
        <v>884.20280764999995</v>
      </c>
      <c r="E7" s="590">
        <v>950.03958396332393</v>
      </c>
      <c r="F7" s="169">
        <f t="shared" ref="F7:F19" si="1">IF(E7=0,"",D7/E7-1)</f>
        <v>-6.9298982299947576E-2</v>
      </c>
      <c r="G7" s="590">
        <v>1987.52508923</v>
      </c>
      <c r="H7" s="393">
        <v>2150.2490754097703</v>
      </c>
      <c r="I7" s="169">
        <f t="shared" si="0"/>
        <v>-7.5676807882714803E-2</v>
      </c>
      <c r="J7" s="590">
        <v>2824.8906249034972</v>
      </c>
      <c r="K7" s="169">
        <f t="shared" ref="K7:K19" si="2">IF(J7=0,"",H7/J7-1)</f>
        <v>-0.23882041433613865</v>
      </c>
      <c r="L7" s="34"/>
    </row>
    <row r="8" spans="1:12" ht="11.25" customHeight="1">
      <c r="A8" s="167" t="s">
        <v>53</v>
      </c>
      <c r="B8" s="592">
        <v>64.111384065986002</v>
      </c>
      <c r="C8" s="394">
        <v>39.576842617499999</v>
      </c>
      <c r="D8" s="593">
        <v>40.139846787499998</v>
      </c>
      <c r="E8" s="592">
        <v>22.322919697546926</v>
      </c>
      <c r="F8" s="170">
        <f t="shared" si="1"/>
        <v>0.79814501558731954</v>
      </c>
      <c r="G8" s="592">
        <v>79.716689404999997</v>
      </c>
      <c r="H8" s="394">
        <v>52.133962388949747</v>
      </c>
      <c r="I8" s="170">
        <f t="shared" si="0"/>
        <v>0.52907405752639769</v>
      </c>
      <c r="J8" s="592">
        <v>89.913481854151001</v>
      </c>
      <c r="K8" s="170">
        <f t="shared" si="2"/>
        <v>-0.42017635938605469</v>
      </c>
      <c r="L8" s="29"/>
    </row>
    <row r="9" spans="1:12" ht="11.25" customHeight="1">
      <c r="A9" s="166" t="s">
        <v>54</v>
      </c>
      <c r="B9" s="590">
        <v>7.5640972110342997</v>
      </c>
      <c r="C9" s="393">
        <v>9.3588819924999989</v>
      </c>
      <c r="D9" s="591">
        <v>47.557086605000002</v>
      </c>
      <c r="E9" s="590">
        <v>2.090280714151</v>
      </c>
      <c r="F9" s="169">
        <f t="shared" si="1"/>
        <v>21.751531066159242</v>
      </c>
      <c r="G9" s="590">
        <v>56.915968597500004</v>
      </c>
      <c r="H9" s="393">
        <v>2.090280714151</v>
      </c>
      <c r="I9" s="169">
        <f t="shared" si="0"/>
        <v>26.228863669929286</v>
      </c>
      <c r="J9" s="590">
        <v>115.4461213700322</v>
      </c>
      <c r="K9" s="169">
        <f t="shared" si="2"/>
        <v>-0.9818938853090512</v>
      </c>
      <c r="L9" s="29"/>
    </row>
    <row r="10" spans="1:12" ht="11.25" customHeight="1">
      <c r="A10" s="167" t="s">
        <v>55</v>
      </c>
      <c r="B10" s="592">
        <v>0</v>
      </c>
      <c r="C10" s="394">
        <v>0</v>
      </c>
      <c r="D10" s="593">
        <v>0</v>
      </c>
      <c r="E10" s="592">
        <v>3.7484421875240002</v>
      </c>
      <c r="F10" s="170">
        <f t="shared" si="1"/>
        <v>-1</v>
      </c>
      <c r="G10" s="592">
        <v>0</v>
      </c>
      <c r="H10" s="394">
        <v>9.7034091828799998</v>
      </c>
      <c r="I10" s="170">
        <f t="shared" si="0"/>
        <v>-1</v>
      </c>
      <c r="J10" s="592">
        <v>16.321305017836</v>
      </c>
      <c r="K10" s="170">
        <f t="shared" si="2"/>
        <v>-0.40547589961243491</v>
      </c>
      <c r="L10" s="29"/>
    </row>
    <row r="11" spans="1:12" ht="11.25" customHeight="1">
      <c r="A11" s="166" t="s">
        <v>26</v>
      </c>
      <c r="B11" s="590">
        <v>1.4045599313964749</v>
      </c>
      <c r="C11" s="393">
        <v>0</v>
      </c>
      <c r="D11" s="591">
        <v>20.235010845000001</v>
      </c>
      <c r="E11" s="590">
        <v>80.772747453247092</v>
      </c>
      <c r="F11" s="169">
        <f t="shared" si="1"/>
        <v>-0.74948220181921588</v>
      </c>
      <c r="G11" s="590">
        <v>20.235010845000001</v>
      </c>
      <c r="H11" s="393">
        <v>149.62773490930186</v>
      </c>
      <c r="I11" s="169">
        <f t="shared" si="0"/>
        <v>-0.8647643041761901</v>
      </c>
      <c r="J11" s="590">
        <v>89.054315965921504</v>
      </c>
      <c r="K11" s="169">
        <f t="shared" si="2"/>
        <v>0.68018510148974753</v>
      </c>
      <c r="L11" s="31"/>
    </row>
    <row r="12" spans="1:12" ht="11.25" customHeight="1">
      <c r="A12" s="167" t="s">
        <v>47</v>
      </c>
      <c r="B12" s="592">
        <v>0.1620308757974</v>
      </c>
      <c r="C12" s="394">
        <v>8.2213869999999994E-2</v>
      </c>
      <c r="D12" s="593">
        <v>1.6140355500000001</v>
      </c>
      <c r="E12" s="592">
        <v>20.24601634846892</v>
      </c>
      <c r="F12" s="170">
        <f t="shared" si="1"/>
        <v>-0.92027885771602369</v>
      </c>
      <c r="G12" s="592">
        <v>1.69624942</v>
      </c>
      <c r="H12" s="394">
        <v>20.947398869992597</v>
      </c>
      <c r="I12" s="170">
        <f t="shared" si="0"/>
        <v>-0.91902338660147931</v>
      </c>
      <c r="J12" s="592">
        <v>57.218693789935394</v>
      </c>
      <c r="K12" s="170">
        <f t="shared" si="2"/>
        <v>-0.633906377749623</v>
      </c>
      <c r="L12" s="34"/>
    </row>
    <row r="13" spans="1:12" ht="11.25" customHeight="1">
      <c r="A13" s="166" t="s">
        <v>48</v>
      </c>
      <c r="B13" s="590">
        <v>2.4424055327E-2</v>
      </c>
      <c r="C13" s="393">
        <v>0</v>
      </c>
      <c r="D13" s="591">
        <v>1.2727732775</v>
      </c>
      <c r="E13" s="590">
        <v>0.13194221612900001</v>
      </c>
      <c r="F13" s="169">
        <f>IF(E13=0,"",D13/E13-1)</f>
        <v>8.6464445940153727</v>
      </c>
      <c r="G13" s="590">
        <v>1.2727732775</v>
      </c>
      <c r="H13" s="393">
        <v>0.16153103818100001</v>
      </c>
      <c r="I13" s="169">
        <f t="shared" si="0"/>
        <v>6.8794347627099519</v>
      </c>
      <c r="J13" s="590">
        <v>2.4482585346077701</v>
      </c>
      <c r="K13" s="169">
        <f t="shared" si="2"/>
        <v>-0.93402206674758781</v>
      </c>
      <c r="L13" s="29"/>
    </row>
    <row r="14" spans="1:12" ht="11.25" customHeight="1">
      <c r="A14" s="167" t="s">
        <v>49</v>
      </c>
      <c r="B14" s="592">
        <v>2.9909580708510997</v>
      </c>
      <c r="C14" s="394">
        <v>5.9202385999999985</v>
      </c>
      <c r="D14" s="593">
        <v>40.702907707500003</v>
      </c>
      <c r="E14" s="592">
        <v>97.605430591429098</v>
      </c>
      <c r="F14" s="170">
        <f t="shared" si="1"/>
        <v>-0.58298521444078144</v>
      </c>
      <c r="G14" s="592">
        <v>46.623146307500001</v>
      </c>
      <c r="H14" s="394">
        <v>106.767567644569</v>
      </c>
      <c r="I14" s="170">
        <f t="shared" si="0"/>
        <v>-0.56332107833804712</v>
      </c>
      <c r="J14" s="592">
        <v>172.17849812815712</v>
      </c>
      <c r="K14" s="170">
        <f t="shared" si="2"/>
        <v>-0.37990185298806001</v>
      </c>
      <c r="L14" s="29"/>
    </row>
    <row r="15" spans="1:12" ht="11.25" customHeight="1">
      <c r="A15" s="166" t="s">
        <v>50</v>
      </c>
      <c r="B15" s="590">
        <v>5.4871707007249997</v>
      </c>
      <c r="C15" s="393">
        <v>6.8479127750000002</v>
      </c>
      <c r="D15" s="591">
        <v>6.6318301625</v>
      </c>
      <c r="E15" s="590">
        <v>5.7077746261290008</v>
      </c>
      <c r="F15" s="169">
        <f t="shared" si="1"/>
        <v>0.16189418764729524</v>
      </c>
      <c r="G15" s="590">
        <v>13.479742937499999</v>
      </c>
      <c r="H15" s="393">
        <v>12.830361061200001</v>
      </c>
      <c r="I15" s="169">
        <f>IF(H15=0,"",G15/H15-1)</f>
        <v>5.0612907400071405E-2</v>
      </c>
      <c r="J15" s="590">
        <v>15.104226123116401</v>
      </c>
      <c r="K15" s="169">
        <f t="shared" si="2"/>
        <v>-0.15054495631764553</v>
      </c>
      <c r="L15" s="29"/>
    </row>
    <row r="16" spans="1:12" ht="11.25" customHeight="1">
      <c r="A16" s="167" t="s">
        <v>51</v>
      </c>
      <c r="B16" s="592">
        <v>4.1151104249999992</v>
      </c>
      <c r="C16" s="394">
        <v>3.9291039749999999</v>
      </c>
      <c r="D16" s="593">
        <v>3.8624617800000007</v>
      </c>
      <c r="E16" s="592">
        <v>2.8745927249999998</v>
      </c>
      <c r="F16" s="170">
        <f t="shared" si="1"/>
        <v>0.34365531033618013</v>
      </c>
      <c r="G16" s="592">
        <v>7.7915657550000006</v>
      </c>
      <c r="H16" s="394">
        <v>6.3784501249999996</v>
      </c>
      <c r="I16" s="170">
        <f t="shared" si="0"/>
        <v>0.22154529741658857</v>
      </c>
      <c r="J16" s="592">
        <v>8.5341095085000003</v>
      </c>
      <c r="K16" s="170">
        <f t="shared" si="2"/>
        <v>-0.25259335861028698</v>
      </c>
      <c r="L16" s="29"/>
    </row>
    <row r="17" spans="1:12" ht="11.25" customHeight="1">
      <c r="A17" s="166" t="s">
        <v>30</v>
      </c>
      <c r="B17" s="590">
        <v>62.632254656498645</v>
      </c>
      <c r="C17" s="393">
        <v>59.658878850000001</v>
      </c>
      <c r="D17" s="591">
        <v>46.187362507500005</v>
      </c>
      <c r="E17" s="590">
        <v>18.18949984</v>
      </c>
      <c r="F17" s="169">
        <f t="shared" si="1"/>
        <v>1.5392321346808404</v>
      </c>
      <c r="G17" s="590">
        <v>105.84624135749999</v>
      </c>
      <c r="H17" s="393">
        <v>35.836086751442998</v>
      </c>
      <c r="I17" s="169">
        <f>IF(H17=0,"",G17/H17-1)</f>
        <v>1.9536216409911979</v>
      </c>
      <c r="J17" s="590">
        <v>40.6380799874999</v>
      </c>
      <c r="K17" s="169">
        <f t="shared" si="2"/>
        <v>-0.118164865011683</v>
      </c>
      <c r="L17" s="29"/>
    </row>
    <row r="18" spans="1:12" ht="11.25" customHeight="1">
      <c r="A18" s="167" t="s">
        <v>29</v>
      </c>
      <c r="B18" s="592">
        <v>92.030563942929874</v>
      </c>
      <c r="C18" s="394">
        <v>87.37300737999999</v>
      </c>
      <c r="D18" s="593">
        <v>62.462496864999991</v>
      </c>
      <c r="E18" s="592">
        <v>56.178714554427003</v>
      </c>
      <c r="F18" s="170">
        <f t="shared" si="1"/>
        <v>0.11185343702524797</v>
      </c>
      <c r="G18" s="592">
        <v>149.83550424499998</v>
      </c>
      <c r="H18" s="394">
        <v>116.55151657847537</v>
      </c>
      <c r="I18" s="170">
        <f>IF(H18=0,"",G18/H18-1)</f>
        <v>0.28557318380421193</v>
      </c>
      <c r="J18" s="592">
        <v>89.574163277960253</v>
      </c>
      <c r="K18" s="170">
        <f t="shared" si="2"/>
        <v>0.30117337760444252</v>
      </c>
      <c r="L18" s="29"/>
    </row>
    <row r="19" spans="1:12" ht="11.25" customHeight="1">
      <c r="A19" s="175" t="s">
        <v>44</v>
      </c>
      <c r="B19" s="594">
        <f>SUM(B6:B18)</f>
        <v>4210.7054213326592</v>
      </c>
      <c r="C19" s="595">
        <f>SUM(C6:C18)</f>
        <v>4255.2467861675023</v>
      </c>
      <c r="D19" s="596">
        <f>SUM(D6:D18)</f>
        <v>3919.541494187501</v>
      </c>
      <c r="E19" s="594">
        <f>SUM(E6:E18)</f>
        <v>3851.7054931529433</v>
      </c>
      <c r="F19" s="176">
        <f t="shared" si="1"/>
        <v>1.7611938699661156E-2</v>
      </c>
      <c r="G19" s="594">
        <f>SUM(G6:G18)</f>
        <v>8174.7882803550028</v>
      </c>
      <c r="H19" s="595">
        <f>SUM(H6:H18)</f>
        <v>8123.6324324434408</v>
      </c>
      <c r="I19" s="176">
        <f>IF(H19=0,"",G19/H19-1)</f>
        <v>6.29716427189142E-3</v>
      </c>
      <c r="J19" s="594">
        <f>SUM(J6:J18)</f>
        <v>7819.9633322482414</v>
      </c>
      <c r="K19" s="176">
        <f t="shared" si="2"/>
        <v>3.8832547838545173E-2</v>
      </c>
      <c r="L19" s="39"/>
    </row>
    <row r="20" spans="1:12" ht="11.25" customHeight="1">
      <c r="A20" s="29"/>
      <c r="B20" s="29"/>
      <c r="C20" s="29"/>
      <c r="D20" s="29"/>
      <c r="E20" s="29"/>
      <c r="F20" s="29"/>
      <c r="G20" s="29"/>
      <c r="H20" s="29"/>
      <c r="I20" s="29"/>
      <c r="J20" s="29"/>
      <c r="K20" s="29"/>
      <c r="L20" s="29"/>
    </row>
    <row r="21" spans="1:12" ht="11.25" customHeight="1">
      <c r="A21" s="171" t="s">
        <v>40</v>
      </c>
      <c r="B21" s="379">
        <v>0</v>
      </c>
      <c r="C21" s="380">
        <v>0</v>
      </c>
      <c r="D21" s="694">
        <v>2.1206870000000002</v>
      </c>
      <c r="E21" s="379">
        <v>0.40202100000000002</v>
      </c>
      <c r="F21" s="141">
        <f t="shared" ref="F21:F22" si="3">IF(E21=0,"",D21/E21-1)</f>
        <v>4.2750652329107188</v>
      </c>
      <c r="G21" s="379">
        <v>2.1206869999999993</v>
      </c>
      <c r="H21" s="693">
        <v>0.40202100000000002</v>
      </c>
      <c r="I21" s="144">
        <f t="shared" ref="I21:I22" si="4">IF(H21=0,"",G21/H21-1)</f>
        <v>4.2750652329107171</v>
      </c>
      <c r="J21" s="380">
        <v>0</v>
      </c>
      <c r="K21" s="141" t="str">
        <f>IF(J21=0,"",H21/J21-1)</f>
        <v/>
      </c>
      <c r="L21" s="29"/>
    </row>
    <row r="22" spans="1:12" ht="11.25" customHeight="1">
      <c r="A22" s="172" t="s">
        <v>41</v>
      </c>
      <c r="B22" s="376">
        <v>0</v>
      </c>
      <c r="C22" s="377">
        <v>0</v>
      </c>
      <c r="D22" s="378">
        <v>0</v>
      </c>
      <c r="E22" s="376">
        <v>0</v>
      </c>
      <c r="F22" s="142" t="str">
        <f t="shared" si="3"/>
        <v/>
      </c>
      <c r="G22" s="376">
        <v>0</v>
      </c>
      <c r="H22" s="377">
        <v>0</v>
      </c>
      <c r="I22" s="136" t="str">
        <f t="shared" si="4"/>
        <v/>
      </c>
      <c r="J22" s="377">
        <v>34.381777999999997</v>
      </c>
      <c r="K22" s="142">
        <f>IF(J22=0,"",H22/J22-1)</f>
        <v>-1</v>
      </c>
      <c r="L22" s="29"/>
    </row>
    <row r="23" spans="1:12" ht="23.25" customHeight="1">
      <c r="A23" s="173" t="s">
        <v>42</v>
      </c>
      <c r="B23" s="389">
        <f>+B22-B21</f>
        <v>0</v>
      </c>
      <c r="C23" s="389">
        <f t="shared" ref="C23:E23" si="5">+C22-C21</f>
        <v>0</v>
      </c>
      <c r="D23" s="389">
        <f t="shared" si="5"/>
        <v>-2.1206870000000002</v>
      </c>
      <c r="E23" s="389">
        <f t="shared" si="5"/>
        <v>-0.40202100000000002</v>
      </c>
      <c r="F23" s="143"/>
      <c r="G23" s="389">
        <f t="shared" ref="G23:H23" si="6">+G22-G21</f>
        <v>-2.1206869999999993</v>
      </c>
      <c r="H23" s="390">
        <f t="shared" si="6"/>
        <v>-0.40202100000000002</v>
      </c>
      <c r="I23" s="145"/>
      <c r="J23" s="390">
        <f t="shared" ref="J23" si="7">+J22-J21</f>
        <v>34.381777999999997</v>
      </c>
      <c r="K23" s="143"/>
      <c r="L23" s="39"/>
    </row>
    <row r="24" spans="1:12" ht="11.25" customHeight="1">
      <c r="A24" s="372" t="s">
        <v>265</v>
      </c>
      <c r="B24" s="154"/>
      <c r="C24" s="154"/>
      <c r="D24" s="154"/>
      <c r="E24" s="154"/>
      <c r="F24" s="154"/>
      <c r="G24" s="154"/>
      <c r="H24" s="155"/>
      <c r="I24" s="155"/>
      <c r="J24" s="154"/>
      <c r="K24" s="156"/>
      <c r="L24" s="29"/>
    </row>
    <row r="25" spans="1:12" ht="11.25" customHeight="1">
      <c r="A25" s="157"/>
      <c r="B25" s="154"/>
      <c r="C25" s="154"/>
      <c r="D25" s="154"/>
      <c r="E25" s="154"/>
      <c r="F25" s="154"/>
      <c r="G25" s="154"/>
      <c r="H25" s="155"/>
      <c r="I25" s="155"/>
      <c r="J25" s="154"/>
      <c r="K25" s="156"/>
      <c r="L25" s="29"/>
    </row>
    <row r="26" spans="1:12" ht="11.25" customHeight="1">
      <c r="A26" s="158"/>
      <c r="B26" s="158"/>
      <c r="C26" s="158"/>
      <c r="D26" s="158"/>
      <c r="E26" s="158"/>
      <c r="F26" s="158"/>
      <c r="G26" s="158"/>
      <c r="H26" s="158"/>
      <c r="I26" s="158"/>
      <c r="J26" s="158"/>
      <c r="K26" s="158"/>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2" ht="11.25" customHeight="1">
      <c r="A33" s="157"/>
      <c r="B33" s="159"/>
      <c r="C33" s="159"/>
      <c r="D33" s="159"/>
      <c r="E33" s="159"/>
      <c r="F33" s="159"/>
      <c r="G33" s="159"/>
      <c r="H33" s="159"/>
      <c r="I33" s="159"/>
      <c r="J33" s="159"/>
      <c r="K33" s="159"/>
      <c r="L33" s="29"/>
    </row>
    <row r="34" spans="1:12" ht="11.25" customHeight="1">
      <c r="A34" s="157"/>
      <c r="B34" s="159"/>
      <c r="C34" s="159"/>
      <c r="D34" s="159"/>
      <c r="E34" s="159"/>
      <c r="F34" s="159"/>
      <c r="G34" s="159"/>
      <c r="H34" s="159"/>
      <c r="I34" s="159"/>
      <c r="J34" s="159"/>
      <c r="K34" s="159"/>
      <c r="L34" s="29"/>
    </row>
    <row r="35" spans="1:12" ht="11.25" customHeight="1">
      <c r="A35" s="157"/>
      <c r="B35" s="159"/>
      <c r="C35" s="159"/>
      <c r="D35" s="159"/>
      <c r="E35" s="159"/>
      <c r="F35" s="159"/>
      <c r="G35" s="159"/>
      <c r="H35" s="159"/>
      <c r="I35" s="159"/>
      <c r="J35" s="159"/>
      <c r="K35" s="159"/>
      <c r="L35" s="29"/>
    </row>
    <row r="36" spans="1:12" ht="11.25" customHeight="1">
      <c r="A36" s="157"/>
      <c r="B36" s="159"/>
      <c r="C36" s="159"/>
      <c r="D36" s="159"/>
      <c r="E36" s="159"/>
      <c r="F36" s="159"/>
      <c r="G36" s="159"/>
      <c r="H36" s="159"/>
      <c r="I36" s="159"/>
      <c r="J36" s="159"/>
      <c r="K36" s="159"/>
      <c r="L36" s="29"/>
    </row>
    <row r="37" spans="1:12" ht="11.25" customHeight="1">
      <c r="A37" s="157"/>
      <c r="B37" s="159"/>
      <c r="C37" s="159"/>
      <c r="D37" s="159"/>
      <c r="E37" s="159"/>
      <c r="F37" s="159"/>
      <c r="G37" s="159"/>
      <c r="H37" s="159"/>
      <c r="I37" s="159"/>
      <c r="J37" s="159"/>
      <c r="K37" s="159"/>
      <c r="L37" s="29"/>
    </row>
    <row r="38" spans="1:12" ht="11.25" customHeight="1">
      <c r="A38" s="157"/>
      <c r="B38" s="159"/>
      <c r="C38" s="159"/>
      <c r="D38" s="159"/>
      <c r="E38" s="159"/>
      <c r="F38" s="159"/>
      <c r="G38" s="159"/>
      <c r="H38" s="159"/>
      <c r="I38" s="159"/>
      <c r="J38" s="159"/>
      <c r="K38" s="159"/>
      <c r="L38" s="29"/>
    </row>
    <row r="39" spans="1:12" ht="11.25" customHeight="1">
      <c r="A39" s="157"/>
      <c r="B39" s="159"/>
      <c r="C39" s="159"/>
      <c r="D39" s="159"/>
      <c r="E39" s="159"/>
      <c r="F39" s="159"/>
      <c r="G39" s="159"/>
      <c r="H39" s="159"/>
      <c r="I39" s="159"/>
      <c r="J39" s="159"/>
      <c r="K39" s="159"/>
      <c r="L39" s="29"/>
    </row>
    <row r="40" spans="1:12" ht="11.25" customHeight="1">
      <c r="A40" s="157"/>
      <c r="B40" s="159"/>
      <c r="C40" s="159"/>
      <c r="D40" s="159"/>
      <c r="E40" s="159"/>
      <c r="F40" s="159"/>
      <c r="G40" s="159"/>
      <c r="H40" s="159"/>
      <c r="I40" s="159"/>
      <c r="J40" s="159"/>
      <c r="K40" s="159"/>
      <c r="L40" s="48"/>
    </row>
    <row r="41" spans="1:12" ht="11.25" customHeight="1">
      <c r="A41" s="157"/>
      <c r="B41" s="159"/>
      <c r="C41" s="159"/>
      <c r="D41" s="159"/>
      <c r="E41" s="159"/>
      <c r="F41" s="159"/>
      <c r="G41" s="159"/>
      <c r="H41" s="159"/>
      <c r="I41" s="159"/>
      <c r="J41" s="159"/>
      <c r="K41" s="159"/>
      <c r="L41" s="29"/>
    </row>
    <row r="42" spans="1:12" ht="11.25" customHeight="1">
      <c r="A42" s="157"/>
      <c r="B42" s="159"/>
      <c r="C42" s="159"/>
      <c r="D42" s="159"/>
      <c r="E42" s="159"/>
      <c r="F42" s="159"/>
      <c r="G42" s="159"/>
      <c r="H42" s="159"/>
      <c r="I42" s="159"/>
      <c r="J42" s="159"/>
      <c r="K42" s="159"/>
      <c r="L42" s="29"/>
    </row>
    <row r="43" spans="1:12" ht="11.25" customHeight="1">
      <c r="A43" s="157"/>
      <c r="B43" s="159"/>
      <c r="C43" s="159"/>
      <c r="D43" s="159"/>
      <c r="E43" s="159"/>
      <c r="F43" s="159"/>
      <c r="G43" s="159"/>
      <c r="H43" s="159"/>
      <c r="I43" s="159"/>
      <c r="J43" s="159"/>
      <c r="K43" s="159"/>
      <c r="L43" s="29"/>
    </row>
    <row r="44" spans="1:12" ht="11.25" customHeight="1">
      <c r="A44" s="157"/>
      <c r="B44" s="159"/>
      <c r="C44" s="159"/>
      <c r="D44" s="159"/>
      <c r="E44" s="159"/>
      <c r="F44" s="159"/>
      <c r="G44" s="159"/>
      <c r="H44" s="159"/>
      <c r="I44" s="159"/>
      <c r="J44" s="159"/>
      <c r="K44" s="159"/>
      <c r="L44" s="29"/>
    </row>
    <row r="45" spans="1:12" ht="11.25" customHeight="1">
      <c r="A45" s="157"/>
      <c r="B45" s="159"/>
      <c r="C45" s="159"/>
      <c r="D45" s="159"/>
      <c r="E45" s="159"/>
      <c r="F45" s="159"/>
      <c r="G45" s="159"/>
      <c r="H45" s="159"/>
      <c r="I45" s="159"/>
      <c r="J45" s="159"/>
      <c r="K45" s="159"/>
      <c r="L45" s="29"/>
    </row>
    <row r="46" spans="1:12" ht="11.25" customHeight="1">
      <c r="A46" s="157"/>
      <c r="B46" s="159"/>
      <c r="C46" s="159"/>
      <c r="D46" s="159"/>
      <c r="E46" s="159"/>
      <c r="F46" s="159"/>
      <c r="G46" s="159"/>
      <c r="H46" s="159"/>
      <c r="I46" s="159"/>
      <c r="J46" s="159"/>
      <c r="K46" s="159"/>
      <c r="L46" s="29"/>
    </row>
    <row r="47" spans="1:12" ht="11.25" customHeight="1">
      <c r="A47" s="157"/>
      <c r="B47" s="159"/>
      <c r="C47" s="159"/>
      <c r="D47" s="159"/>
      <c r="E47" s="159"/>
      <c r="F47" s="159"/>
      <c r="G47" s="159"/>
      <c r="H47" s="159"/>
      <c r="I47" s="159"/>
      <c r="J47" s="159"/>
      <c r="K47" s="159"/>
      <c r="L47" s="160"/>
    </row>
    <row r="48" spans="1:12" ht="11.25" customHeight="1">
      <c r="A48" s="157"/>
      <c r="B48" s="159"/>
      <c r="C48" s="159"/>
      <c r="D48" s="159"/>
      <c r="E48" s="159"/>
      <c r="F48" s="159"/>
      <c r="G48" s="159"/>
      <c r="H48" s="159"/>
      <c r="I48" s="159"/>
      <c r="J48" s="159"/>
      <c r="K48" s="159"/>
    </row>
    <row r="49" spans="1:11" ht="11.25" customHeight="1">
      <c r="A49" s="157"/>
      <c r="B49" s="159"/>
      <c r="C49" s="159"/>
      <c r="D49" s="159"/>
      <c r="E49" s="159"/>
      <c r="F49" s="159"/>
      <c r="G49" s="159"/>
      <c r="H49" s="159"/>
      <c r="I49" s="159"/>
      <c r="J49" s="159"/>
      <c r="K49" s="159"/>
    </row>
    <row r="50" spans="1:11" ht="11.25" customHeight="1">
      <c r="A50" s="157"/>
      <c r="B50" s="159"/>
      <c r="C50" s="159"/>
      <c r="D50" s="159"/>
      <c r="E50" s="159"/>
      <c r="F50" s="159"/>
      <c r="G50" s="159"/>
      <c r="H50" s="159"/>
      <c r="I50" s="159"/>
      <c r="J50" s="159"/>
      <c r="K50" s="159"/>
    </row>
    <row r="51" spans="1:11" ht="11.25" customHeight="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A60" s="157"/>
      <c r="B60" s="159"/>
      <c r="C60" s="159"/>
      <c r="D60" s="159"/>
      <c r="E60" s="159"/>
      <c r="F60" s="159"/>
      <c r="G60" s="159"/>
      <c r="H60" s="159"/>
      <c r="I60" s="159"/>
      <c r="J60" s="159"/>
      <c r="K60" s="159"/>
    </row>
    <row r="61" spans="1:11">
      <c r="A61" s="157"/>
      <c r="B61" s="159"/>
      <c r="C61" s="159"/>
      <c r="D61" s="159"/>
      <c r="E61" s="159"/>
      <c r="F61" s="159"/>
      <c r="G61" s="159"/>
      <c r="H61" s="159"/>
      <c r="I61" s="159"/>
      <c r="J61" s="159"/>
      <c r="K61" s="159"/>
    </row>
    <row r="62" spans="1:11">
      <c r="B62" s="159"/>
      <c r="C62" s="159"/>
      <c r="D62" s="159"/>
      <c r="E62" s="159"/>
      <c r="F62" s="159"/>
      <c r="G62" s="159"/>
      <c r="H62" s="159"/>
      <c r="I62" s="159"/>
      <c r="J62" s="159"/>
      <c r="K62" s="159"/>
    </row>
    <row r="63" spans="1:11">
      <c r="A63" s="372" t="str">
        <f>"Gráfico N° 5: Comparación de la producción de energía eléctrica (GWh) por tipo de recurso energético acumulada a "&amp;'1. Resumen'!Q4</f>
        <v>Gráfico N° 5: Comparación de la producción de energía eléctrica (GWh) por tipo de recurso energético acumulada a febrero</v>
      </c>
    </row>
  </sheetData>
  <mergeCells count="5">
    <mergeCell ref="A2:K2"/>
    <mergeCell ref="B4:D4"/>
    <mergeCell ref="E4:F4"/>
    <mergeCell ref="G4:K4"/>
    <mergeCell ref="A4:A5"/>
  </mergeCells>
  <pageMargins left="0.7" right="0.7" top="0.86956521739130432" bottom="0.61458333333333337" header="0.3" footer="0.3"/>
  <pageSetup orientation="portrait" r:id="rId1"/>
  <headerFooter>
    <oddHeader>&amp;R&amp;7Informe de la Operación Mensual - Febrero 2018
INFSGI-MES-02-2018
08/03/2018
Versión: 01</oddHeader>
    <oddFooter>&amp;L&amp;7COES SINAC, 2018
&amp;C4&amp;R&amp;7Dirección Ejecutiva
Sub Dirección de Gestión de Información</oddFooter>
  </headerFooter>
  <ignoredErrors>
    <ignoredError sqref="K19 F19:J19 B19:E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P61"/>
  <sheetViews>
    <sheetView showGridLines="0" view="pageBreakPreview" zoomScale="130" zoomScaleNormal="100" zoomScaleSheetLayoutView="130" zoomScalePageLayoutView="160" workbookViewId="0">
      <selection activeCell="K12" sqref="K12"/>
    </sheetView>
  </sheetViews>
  <sheetFormatPr defaultRowHeight="11.25"/>
  <cols>
    <col min="1" max="1" width="21.6640625" style="3" customWidth="1"/>
    <col min="2" max="2" width="10" style="3" customWidth="1"/>
    <col min="3" max="8" width="9.1640625" style="3" customWidth="1"/>
    <col min="9" max="9" width="9.83203125" style="3" customWidth="1"/>
    <col min="10" max="10" width="9.1640625" style="3" customWidth="1"/>
    <col min="11" max="11" width="9.6640625" style="3" customWidth="1"/>
    <col min="12" max="16384" width="9.33203125" style="3"/>
  </cols>
  <sheetData>
    <row r="1" spans="1:12" ht="11.25" customHeight="1"/>
    <row r="2" spans="1:12" ht="11.25" customHeight="1">
      <c r="A2" s="864" t="s">
        <v>273</v>
      </c>
      <c r="B2" s="864"/>
      <c r="C2" s="864"/>
      <c r="D2" s="864"/>
      <c r="E2" s="864"/>
      <c r="F2" s="864"/>
      <c r="G2" s="864"/>
      <c r="H2" s="864"/>
      <c r="I2" s="864"/>
      <c r="J2" s="864"/>
      <c r="K2" s="864"/>
      <c r="L2" s="45"/>
    </row>
    <row r="3" spans="1:12" ht="11.25" customHeight="1">
      <c r="A3" s="92"/>
      <c r="B3" s="91"/>
      <c r="C3" s="91"/>
      <c r="D3" s="91"/>
      <c r="E3" s="91"/>
      <c r="F3" s="91"/>
      <c r="G3" s="91"/>
      <c r="H3" s="91"/>
      <c r="I3" s="91"/>
      <c r="J3" s="91"/>
      <c r="K3" s="91"/>
      <c r="L3" s="45"/>
    </row>
    <row r="4" spans="1:12" ht="15.75" customHeight="1">
      <c r="A4" s="862" t="s">
        <v>269</v>
      </c>
      <c r="B4" s="859" t="s">
        <v>33</v>
      </c>
      <c r="C4" s="860"/>
      <c r="D4" s="860"/>
      <c r="E4" s="860" t="s">
        <v>34</v>
      </c>
      <c r="F4" s="860"/>
      <c r="G4" s="861" t="str">
        <f>+'4. Tipo Recurso'!G4:K4</f>
        <v>Generación Acumulada a febrero</v>
      </c>
      <c r="H4" s="861"/>
      <c r="I4" s="861"/>
      <c r="J4" s="861"/>
      <c r="K4" s="861"/>
      <c r="L4" s="29"/>
    </row>
    <row r="5" spans="1:12" ht="29.25" customHeight="1">
      <c r="A5" s="862"/>
      <c r="B5" s="397">
        <f>+'4. Tipo Recurso'!B5</f>
        <v>43072</v>
      </c>
      <c r="C5" s="397">
        <f>+'4. Tipo Recurso'!C5</f>
        <v>43102</v>
      </c>
      <c r="D5" s="397">
        <f>+'4. Tipo Recurso'!D5</f>
        <v>43132</v>
      </c>
      <c r="E5" s="397">
        <f>+'4. Tipo Recurso'!E5</f>
        <v>42767</v>
      </c>
      <c r="F5" s="397" t="s">
        <v>35</v>
      </c>
      <c r="G5" s="399">
        <v>2018</v>
      </c>
      <c r="H5" s="399">
        <v>2017</v>
      </c>
      <c r="I5" s="398" t="s">
        <v>43</v>
      </c>
      <c r="J5" s="399">
        <v>2016</v>
      </c>
      <c r="K5" s="398" t="s">
        <v>36</v>
      </c>
      <c r="L5" s="31"/>
    </row>
    <row r="6" spans="1:12" ht="11.25" customHeight="1">
      <c r="A6" s="165" t="s">
        <v>46</v>
      </c>
      <c r="B6" s="706">
        <v>93.013492120131772</v>
      </c>
      <c r="C6" s="707">
        <v>108.19996422</v>
      </c>
      <c r="D6" s="708">
        <v>109.10575714000001</v>
      </c>
      <c r="E6" s="706">
        <v>115.05738655577741</v>
      </c>
      <c r="F6" s="406">
        <f t="shared" ref="F6:F11" si="0">IF(E6=0,"",D6/E6-1)</f>
        <v>-5.1727486552044843E-2</v>
      </c>
      <c r="G6" s="706">
        <v>217.30572136000001</v>
      </c>
      <c r="H6" s="707">
        <v>239.96144392806588</v>
      </c>
      <c r="I6" s="410">
        <f t="shared" ref="I6:I11" si="1">IF(H6=0,"",G6/H6-1)</f>
        <v>-9.4414011672881326E-2</v>
      </c>
      <c r="J6" s="707">
        <v>177.61203547444751</v>
      </c>
      <c r="K6" s="406">
        <f t="shared" ref="K6:K11" si="2">IF(J6=0,"",H6/J6-1)</f>
        <v>0.35104269982080338</v>
      </c>
      <c r="L6" s="400"/>
    </row>
    <row r="7" spans="1:12" ht="11.25" customHeight="1">
      <c r="A7" s="166" t="s">
        <v>39</v>
      </c>
      <c r="B7" s="709">
        <v>92.030563942929874</v>
      </c>
      <c r="C7" s="710">
        <v>87.37300737999999</v>
      </c>
      <c r="D7" s="711">
        <v>62.462496864999991</v>
      </c>
      <c r="E7" s="709">
        <v>56.178714554427003</v>
      </c>
      <c r="F7" s="407">
        <f t="shared" si="0"/>
        <v>0.11185343702524797</v>
      </c>
      <c r="G7" s="709">
        <v>149.83550424499998</v>
      </c>
      <c r="H7" s="710">
        <v>116.55151657847537</v>
      </c>
      <c r="I7" s="386">
        <f t="shared" si="1"/>
        <v>0.28557318380421193</v>
      </c>
      <c r="J7" s="710">
        <v>89.574163277960253</v>
      </c>
      <c r="K7" s="407">
        <f t="shared" si="2"/>
        <v>0.30117337760444252</v>
      </c>
      <c r="L7" s="400"/>
    </row>
    <row r="8" spans="1:12" ht="11.25" customHeight="1">
      <c r="A8" s="404" t="s">
        <v>30</v>
      </c>
      <c r="B8" s="712">
        <v>62.632254656498645</v>
      </c>
      <c r="C8" s="713">
        <v>59.658878850000001</v>
      </c>
      <c r="D8" s="714">
        <v>46.187362507500005</v>
      </c>
      <c r="E8" s="712">
        <v>18.18949984</v>
      </c>
      <c r="F8" s="408">
        <f t="shared" si="0"/>
        <v>1.5392321346808404</v>
      </c>
      <c r="G8" s="712">
        <v>105.84624135749999</v>
      </c>
      <c r="H8" s="713">
        <v>35.836086751442998</v>
      </c>
      <c r="I8" s="403">
        <f t="shared" si="1"/>
        <v>1.9536216409911979</v>
      </c>
      <c r="J8" s="713">
        <v>40.6380799874999</v>
      </c>
      <c r="K8" s="408">
        <f t="shared" si="2"/>
        <v>-0.118164865011683</v>
      </c>
      <c r="L8" s="400"/>
    </row>
    <row r="9" spans="1:12" ht="11.25" customHeight="1">
      <c r="A9" s="166" t="s">
        <v>50</v>
      </c>
      <c r="B9" s="709">
        <v>5.4871707007249997</v>
      </c>
      <c r="C9" s="710">
        <v>6.8479127750000002</v>
      </c>
      <c r="D9" s="711">
        <v>6.6318301625</v>
      </c>
      <c r="E9" s="709">
        <v>5.7077746261290008</v>
      </c>
      <c r="F9" s="407">
        <f t="shared" si="0"/>
        <v>0.16189418764729524</v>
      </c>
      <c r="G9" s="709">
        <v>13.479742937499999</v>
      </c>
      <c r="H9" s="710">
        <v>12.830361061200001</v>
      </c>
      <c r="I9" s="386">
        <f t="shared" si="1"/>
        <v>5.0612907400071405E-2</v>
      </c>
      <c r="J9" s="710">
        <v>15.104226123116401</v>
      </c>
      <c r="K9" s="407">
        <f t="shared" si="2"/>
        <v>-0.15054495631764553</v>
      </c>
      <c r="L9" s="44"/>
    </row>
    <row r="10" spans="1:12" ht="11.25" customHeight="1">
      <c r="A10" s="405" t="s">
        <v>51</v>
      </c>
      <c r="B10" s="715">
        <v>4.1151104249999992</v>
      </c>
      <c r="C10" s="716">
        <v>3.9291039749999999</v>
      </c>
      <c r="D10" s="717">
        <v>3.8624617800000007</v>
      </c>
      <c r="E10" s="715">
        <v>2.8745927249999998</v>
      </c>
      <c r="F10" s="409">
        <f t="shared" si="0"/>
        <v>0.34365531033618013</v>
      </c>
      <c r="G10" s="715">
        <v>7.7915657550000006</v>
      </c>
      <c r="H10" s="716">
        <v>6.3784501249999996</v>
      </c>
      <c r="I10" s="411">
        <f t="shared" si="1"/>
        <v>0.22154529741658857</v>
      </c>
      <c r="J10" s="716">
        <v>8.5341095085000003</v>
      </c>
      <c r="K10" s="409">
        <f t="shared" si="2"/>
        <v>-0.25259335861028698</v>
      </c>
      <c r="L10" s="401"/>
    </row>
    <row r="11" spans="1:12" ht="11.25" customHeight="1">
      <c r="A11" s="412" t="s">
        <v>266</v>
      </c>
      <c r="B11" s="718">
        <f>+SUM(B6:B10)</f>
        <v>257.27859184528529</v>
      </c>
      <c r="C11" s="719">
        <f>+SUM(C6:C10)</f>
        <v>266.0088672</v>
      </c>
      <c r="D11" s="720">
        <f>+SUM(D6:D10)</f>
        <v>228.249908455</v>
      </c>
      <c r="E11" s="721">
        <f>+SUM(E6:E10)</f>
        <v>198.00796830133342</v>
      </c>
      <c r="F11" s="413">
        <f t="shared" si="0"/>
        <v>0.15273092498804708</v>
      </c>
      <c r="G11" s="718">
        <f>+SUM(G6:G10)</f>
        <v>494.25877565500002</v>
      </c>
      <c r="H11" s="719">
        <f>+SUM(H6:H10)</f>
        <v>411.55785844418426</v>
      </c>
      <c r="I11" s="414">
        <f t="shared" si="1"/>
        <v>0.20094602864212274</v>
      </c>
      <c r="J11" s="719">
        <f>+SUM(J6:J10)</f>
        <v>331.46261437152413</v>
      </c>
      <c r="K11" s="413">
        <f t="shared" si="2"/>
        <v>0.24164186427035284</v>
      </c>
      <c r="L11" s="29"/>
    </row>
    <row r="12" spans="1:12" ht="24.75" customHeight="1">
      <c r="A12" s="415" t="s">
        <v>267</v>
      </c>
      <c r="B12" s="416">
        <f>B11/'4. Tipo Recurso'!B19</f>
        <v>6.1101066472576557E-2</v>
      </c>
      <c r="C12" s="414">
        <f>C11/'4. Tipo Recurso'!C19</f>
        <v>6.2513146843730188E-2</v>
      </c>
      <c r="D12" s="413">
        <f>D11/'4. Tipo Recurso'!D19</f>
        <v>5.8233828827551404E-2</v>
      </c>
      <c r="E12" s="416">
        <f>E11/'4. Tipo Recurso'!E19</f>
        <v>5.1407868190682285E-2</v>
      </c>
      <c r="F12" s="417"/>
      <c r="G12" s="416">
        <f>G11/'4. Tipo Recurso'!G19</f>
        <v>6.0461354924966459E-2</v>
      </c>
      <c r="H12" s="414">
        <f>H11/'4. Tipo Recurso'!H19</f>
        <v>5.0661802077669231E-2</v>
      </c>
      <c r="I12" s="417"/>
      <c r="J12" s="416">
        <f>J11/'4. Tipo Recurso'!J19</f>
        <v>4.2386722327025096E-2</v>
      </c>
      <c r="K12" s="417"/>
      <c r="L12" s="29"/>
    </row>
    <row r="13" spans="1:12" ht="11.25" customHeight="1">
      <c r="A13" s="418" t="s">
        <v>268</v>
      </c>
      <c r="B13" s="155"/>
      <c r="C13" s="155"/>
      <c r="D13" s="155"/>
      <c r="E13" s="155"/>
      <c r="F13" s="155"/>
      <c r="G13" s="155"/>
      <c r="H13" s="155"/>
      <c r="I13" s="155"/>
      <c r="J13" s="155"/>
      <c r="K13" s="156"/>
      <c r="L13" s="29"/>
    </row>
    <row r="14" spans="1:12" ht="23.25" customHeight="1">
      <c r="A14" s="865" t="s">
        <v>56</v>
      </c>
      <c r="B14" s="865"/>
      <c r="C14" s="865"/>
      <c r="D14" s="865"/>
      <c r="E14" s="865"/>
      <c r="F14" s="865"/>
      <c r="G14" s="865"/>
      <c r="H14" s="865"/>
      <c r="I14" s="865"/>
      <c r="J14" s="865"/>
      <c r="K14" s="865"/>
      <c r="L14" s="29"/>
    </row>
    <row r="15" spans="1:12" ht="11.25" customHeight="1">
      <c r="L15" s="29"/>
    </row>
    <row r="16" spans="1:12" ht="11.25" customHeight="1">
      <c r="A16" s="157"/>
      <c r="B16" s="177"/>
      <c r="C16" s="177"/>
      <c r="D16" s="177"/>
      <c r="E16" s="177"/>
      <c r="F16" s="177"/>
      <c r="G16" s="177"/>
      <c r="H16" s="177"/>
      <c r="I16" s="177"/>
      <c r="J16" s="177"/>
      <c r="K16" s="177"/>
      <c r="L16" s="29"/>
    </row>
    <row r="17" spans="1:12" ht="11.25" customHeight="1">
      <c r="A17" s="177"/>
      <c r="B17" s="177"/>
      <c r="C17" s="177"/>
      <c r="D17" s="177"/>
      <c r="E17" s="177"/>
      <c r="F17" s="177"/>
      <c r="G17" s="177"/>
      <c r="H17" s="177"/>
      <c r="I17" s="177"/>
      <c r="J17" s="177"/>
      <c r="K17" s="177"/>
      <c r="L17" s="29"/>
    </row>
    <row r="18" spans="1:12" ht="11.25" customHeight="1">
      <c r="A18" s="177"/>
      <c r="B18" s="177"/>
      <c r="C18" s="177"/>
      <c r="D18" s="177"/>
      <c r="E18" s="177"/>
      <c r="F18" s="177"/>
      <c r="G18" s="177"/>
      <c r="H18" s="177"/>
      <c r="I18" s="177"/>
      <c r="J18" s="177"/>
      <c r="K18" s="177"/>
      <c r="L18" s="39"/>
    </row>
    <row r="19" spans="1:12" ht="11.25" customHeight="1">
      <c r="A19" s="157"/>
      <c r="B19" s="159"/>
      <c r="C19" s="159"/>
      <c r="D19" s="159"/>
      <c r="E19" s="159"/>
      <c r="F19" s="159"/>
      <c r="G19" s="159"/>
      <c r="H19" s="159"/>
      <c r="I19" s="159"/>
      <c r="J19" s="159"/>
      <c r="K19" s="159"/>
      <c r="L19" s="29"/>
    </row>
    <row r="20" spans="1:12" ht="11.25" customHeight="1">
      <c r="A20" s="157"/>
      <c r="B20" s="159"/>
      <c r="C20" s="159"/>
      <c r="D20" s="159"/>
      <c r="E20" s="159"/>
      <c r="F20" s="159"/>
      <c r="G20" s="159"/>
      <c r="H20" s="159"/>
      <c r="I20" s="159"/>
      <c r="J20" s="159"/>
      <c r="K20" s="159"/>
      <c r="L20" s="29"/>
    </row>
    <row r="21" spans="1:12" ht="11.25" customHeight="1">
      <c r="A21" s="157"/>
      <c r="B21" s="159"/>
      <c r="C21" s="159"/>
      <c r="D21" s="159"/>
      <c r="E21" s="159"/>
      <c r="F21" s="159"/>
      <c r="G21" s="159"/>
      <c r="H21" s="159"/>
      <c r="I21" s="159"/>
      <c r="J21" s="159"/>
      <c r="K21" s="159"/>
      <c r="L21" s="29"/>
    </row>
    <row r="22" spans="1:12" ht="11.25" customHeight="1">
      <c r="A22" s="157"/>
      <c r="B22" s="159"/>
      <c r="C22" s="159"/>
      <c r="D22" s="159"/>
      <c r="E22" s="159"/>
      <c r="F22" s="159"/>
      <c r="G22" s="159"/>
      <c r="H22" s="159"/>
      <c r="I22" s="159"/>
      <c r="J22" s="159"/>
      <c r="K22" s="159"/>
      <c r="L22" s="39"/>
    </row>
    <row r="23" spans="1:12" ht="11.25" customHeight="1">
      <c r="A23" s="157"/>
      <c r="B23" s="159"/>
      <c r="C23" s="159"/>
      <c r="D23" s="159"/>
      <c r="E23" s="159"/>
      <c r="F23" s="159"/>
      <c r="G23" s="159"/>
      <c r="H23" s="159"/>
      <c r="I23" s="159"/>
      <c r="J23" s="159"/>
      <c r="K23" s="159"/>
      <c r="L23" s="29"/>
    </row>
    <row r="24" spans="1:12" ht="11.25" customHeight="1">
      <c r="A24" s="157"/>
      <c r="B24" s="159"/>
      <c r="C24" s="159"/>
      <c r="D24" s="159"/>
      <c r="E24" s="159"/>
      <c r="F24" s="159"/>
      <c r="G24" s="159"/>
      <c r="H24" s="159"/>
      <c r="I24" s="159"/>
      <c r="J24" s="159"/>
      <c r="K24" s="159"/>
      <c r="L24" s="29"/>
    </row>
    <row r="25" spans="1:12" ht="11.25" customHeight="1">
      <c r="A25" s="157"/>
      <c r="B25" s="159"/>
      <c r="C25" s="159"/>
      <c r="D25" s="159"/>
      <c r="E25" s="159"/>
      <c r="F25" s="159"/>
      <c r="G25" s="159"/>
      <c r="H25" s="159"/>
      <c r="I25" s="159"/>
      <c r="J25" s="159"/>
      <c r="K25" s="159"/>
      <c r="L25" s="29"/>
    </row>
    <row r="26" spans="1:12" ht="11.25" customHeight="1">
      <c r="A26" s="157"/>
      <c r="B26" s="159"/>
      <c r="C26" s="159"/>
      <c r="D26" s="159"/>
      <c r="E26" s="159"/>
      <c r="F26" s="159"/>
      <c r="G26" s="159"/>
      <c r="H26" s="159"/>
      <c r="I26" s="159"/>
      <c r="J26" s="159"/>
      <c r="K26" s="159"/>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6" ht="11.25" customHeight="1">
      <c r="A33" s="157"/>
      <c r="B33" s="159"/>
      <c r="C33" s="159"/>
      <c r="D33" s="159"/>
      <c r="E33" s="159"/>
      <c r="F33" s="159"/>
      <c r="G33" s="159"/>
      <c r="H33" s="159"/>
      <c r="I33" s="159"/>
      <c r="J33" s="159"/>
      <c r="K33" s="159"/>
      <c r="L33" s="29"/>
    </row>
    <row r="34" spans="1:16" ht="11.25" customHeight="1">
      <c r="A34" s="863" t="str">
        <f>"Gráfico N° 6: Comparación de la producción de energía eléctrica acumulada (GWh) con recursos energéticos renovables en "&amp;'1. Resumen'!Q4</f>
        <v>Gráfico N° 6: Comparación de la producción de energía eléctrica acumulada (GWh) con recursos energéticos renovables en febrero</v>
      </c>
      <c r="B34" s="863"/>
      <c r="C34" s="863"/>
      <c r="D34" s="863"/>
      <c r="E34" s="863"/>
      <c r="F34" s="863"/>
      <c r="G34" s="863"/>
      <c r="H34" s="863"/>
      <c r="I34" s="863"/>
      <c r="J34" s="863"/>
      <c r="K34" s="863"/>
      <c r="L34" s="29"/>
    </row>
    <row r="35" spans="1:16" ht="11.25" customHeight="1">
      <c r="L35" s="48"/>
    </row>
    <row r="36" spans="1:16" ht="11.25" customHeight="1">
      <c r="A36" s="157"/>
      <c r="B36" s="159"/>
      <c r="C36" s="159"/>
      <c r="D36" s="159"/>
      <c r="E36" s="159"/>
      <c r="F36" s="159"/>
      <c r="G36" s="159"/>
      <c r="H36" s="159"/>
      <c r="I36" s="159"/>
      <c r="J36" s="159"/>
      <c r="K36" s="159"/>
      <c r="L36" s="29"/>
    </row>
    <row r="37" spans="1:16" ht="11.25" customHeight="1">
      <c r="A37" s="157"/>
      <c r="B37" s="159"/>
      <c r="C37" s="159"/>
      <c r="D37" s="159"/>
      <c r="E37" s="159"/>
      <c r="F37" s="159"/>
      <c r="G37" s="159"/>
      <c r="H37" s="159"/>
      <c r="I37" s="159"/>
      <c r="J37" s="159"/>
      <c r="K37" s="159"/>
      <c r="L37" s="29"/>
    </row>
    <row r="38" spans="1:16" ht="11.25" customHeight="1">
      <c r="A38" s="157"/>
      <c r="B38" s="159"/>
      <c r="C38" s="159"/>
      <c r="D38" s="159"/>
      <c r="E38" s="159"/>
      <c r="F38" s="159"/>
      <c r="G38" s="159"/>
      <c r="H38" s="159"/>
      <c r="I38" s="159"/>
      <c r="J38" s="159"/>
      <c r="K38" s="159"/>
      <c r="L38" s="29"/>
    </row>
    <row r="39" spans="1:16" ht="11.25" customHeight="1">
      <c r="A39" s="157"/>
      <c r="B39" s="159"/>
      <c r="C39" s="419" t="s">
        <v>271</v>
      </c>
      <c r="D39" s="204"/>
      <c r="E39" s="204"/>
      <c r="F39" s="420">
        <f>+'4. Tipo Recurso'!D19</f>
        <v>3919.541494187501</v>
      </c>
      <c r="G39" s="419" t="s">
        <v>270</v>
      </c>
      <c r="H39" s="159"/>
      <c r="I39" s="159"/>
      <c r="J39" s="159"/>
      <c r="K39" s="159"/>
      <c r="L39" s="29"/>
      <c r="M39" s="421">
        <f>+F39-F40</f>
        <v>3691.291494187501</v>
      </c>
      <c r="P39" s="722"/>
    </row>
    <row r="40" spans="1:16" ht="11.25" customHeight="1">
      <c r="A40" s="157"/>
      <c r="B40" s="159"/>
      <c r="C40" s="419" t="s">
        <v>272</v>
      </c>
      <c r="D40" s="204"/>
      <c r="E40" s="204"/>
      <c r="F40" s="420">
        <f>ROUND(D11,2)</f>
        <v>228.25</v>
      </c>
      <c r="G40" s="419" t="s">
        <v>270</v>
      </c>
      <c r="H40" s="159"/>
      <c r="I40" s="159"/>
      <c r="J40" s="159"/>
      <c r="K40" s="159"/>
      <c r="L40" s="29"/>
      <c r="M40" s="722"/>
      <c r="P40" s="722"/>
    </row>
    <row r="41" spans="1:16" ht="11.25" customHeight="1">
      <c r="A41" s="157"/>
      <c r="B41" s="159"/>
      <c r="C41" s="159"/>
      <c r="D41" s="159"/>
      <c r="E41" s="159"/>
      <c r="F41" s="159"/>
      <c r="G41" s="159"/>
      <c r="H41" s="159"/>
      <c r="I41" s="159"/>
      <c r="J41" s="159"/>
      <c r="K41" s="159"/>
      <c r="L41" s="29"/>
      <c r="P41" s="722"/>
    </row>
    <row r="42" spans="1:16" ht="11.25" customHeight="1">
      <c r="A42" s="157"/>
      <c r="B42" s="159"/>
      <c r="C42" s="159"/>
      <c r="D42" s="159"/>
      <c r="E42" s="159"/>
      <c r="F42" s="159"/>
      <c r="G42" s="159"/>
      <c r="H42" s="159"/>
      <c r="I42" s="159"/>
      <c r="J42" s="159"/>
      <c r="K42" s="159"/>
      <c r="L42" s="29"/>
      <c r="P42" s="722"/>
    </row>
    <row r="43" spans="1:16" ht="11.25" customHeight="1">
      <c r="A43" s="157"/>
      <c r="B43" s="159"/>
      <c r="C43" s="159"/>
      <c r="D43" s="159"/>
      <c r="E43" s="159"/>
      <c r="F43" s="159"/>
      <c r="G43" s="159"/>
      <c r="H43" s="159"/>
      <c r="I43" s="159"/>
      <c r="J43" s="159"/>
      <c r="K43" s="159"/>
      <c r="L43" s="29"/>
      <c r="P43" s="722"/>
    </row>
    <row r="44" spans="1:16" ht="11.25" customHeight="1">
      <c r="A44" s="157"/>
      <c r="B44" s="159"/>
      <c r="C44" s="159"/>
      <c r="D44" s="159"/>
      <c r="E44" s="159"/>
      <c r="F44" s="159"/>
      <c r="G44" s="159"/>
      <c r="H44" s="159"/>
      <c r="I44" s="159"/>
      <c r="J44" s="159"/>
      <c r="K44" s="159"/>
      <c r="L44" s="160"/>
    </row>
    <row r="45" spans="1:16" ht="11.25" customHeight="1">
      <c r="A45" s="157"/>
      <c r="B45" s="159"/>
      <c r="C45" s="159"/>
      <c r="D45" s="159"/>
      <c r="E45" s="159"/>
      <c r="F45" s="159"/>
      <c r="G45" s="159"/>
      <c r="H45" s="159"/>
      <c r="I45" s="159"/>
      <c r="J45" s="159"/>
      <c r="K45" s="159"/>
    </row>
    <row r="46" spans="1:16" ht="11.25" customHeight="1">
      <c r="A46" s="157"/>
      <c r="B46" s="159"/>
      <c r="C46" s="159"/>
      <c r="D46" s="159"/>
      <c r="E46" s="159"/>
      <c r="F46" s="159"/>
      <c r="G46" s="159"/>
      <c r="H46" s="159"/>
      <c r="I46" s="159"/>
      <c r="J46" s="159"/>
      <c r="K46" s="159"/>
    </row>
    <row r="47" spans="1:16" ht="11.25" customHeight="1">
      <c r="A47" s="157"/>
      <c r="B47" s="159"/>
      <c r="C47" s="159"/>
      <c r="D47" s="159"/>
      <c r="E47" s="159"/>
      <c r="F47" s="159"/>
      <c r="G47" s="159"/>
      <c r="H47" s="159"/>
      <c r="I47" s="159"/>
      <c r="J47" s="159"/>
      <c r="K47" s="159"/>
    </row>
    <row r="48" spans="1:16" ht="11.25" customHeight="1">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B60" s="159"/>
      <c r="C60" s="159"/>
      <c r="D60" s="159"/>
      <c r="E60" s="159"/>
      <c r="F60" s="159"/>
      <c r="G60" s="159"/>
      <c r="H60" s="159"/>
      <c r="I60" s="159"/>
      <c r="J60" s="159"/>
      <c r="K60" s="159"/>
    </row>
    <row r="61" spans="1:11">
      <c r="A61" s="372" t="str">
        <f>"Gráfico N° 7: Participación de las RER en la Matriz de Generación del SEIN en "&amp;'1. Resumen'!Q4&amp;" "&amp;'1. Resumen'!Q5</f>
        <v>Gráfico N° 7: Participación de las RER en la Matriz de Generación del SEIN en febrero 2018</v>
      </c>
      <c r="B61" s="159"/>
      <c r="C61" s="159"/>
      <c r="D61" s="159"/>
      <c r="E61" s="159"/>
      <c r="F61" s="159"/>
      <c r="G61" s="159"/>
      <c r="H61" s="159"/>
      <c r="I61" s="159"/>
      <c r="J61" s="159"/>
      <c r="K61" s="159"/>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orientation="portrait" r:id="rId1"/>
  <headerFooter>
    <oddHeader>&amp;R&amp;7Informe de la Operación Mensual - Febrero 2018
INFSGI-MES-02-2018
08/03/2018
Versión: 01</oddHeader>
    <oddFooter>&amp;L&amp;7COES SINAC, 2018
&amp;C5&amp;R&amp;7Dirección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V64"/>
  <sheetViews>
    <sheetView showGridLines="0" view="pageBreakPreview" zoomScale="130" zoomScaleNormal="100" zoomScaleSheetLayoutView="130" zoomScalePageLayoutView="160" workbookViewId="0">
      <selection activeCell="K12" sqref="K12"/>
    </sheetView>
  </sheetViews>
  <sheetFormatPr defaultRowHeight="11.25"/>
  <cols>
    <col min="1" max="11" width="10.33203125" style="3" customWidth="1"/>
    <col min="12" max="12" width="21.1640625" style="575" bestFit="1" customWidth="1"/>
    <col min="13" max="14" width="9.33203125" style="575"/>
    <col min="15" max="15" width="11.83203125" style="575" customWidth="1"/>
    <col min="16" max="17" width="9.33203125" style="575"/>
    <col min="18" max="22" width="9.33203125" style="576"/>
    <col min="23" max="16384" width="9.33203125" style="3"/>
  </cols>
  <sheetData>
    <row r="2" spans="1:22" ht="11.25" customHeight="1">
      <c r="A2" s="866" t="s">
        <v>278</v>
      </c>
      <c r="B2" s="866"/>
      <c r="C2" s="866"/>
      <c r="D2" s="866"/>
      <c r="E2" s="866"/>
      <c r="F2" s="866"/>
      <c r="G2" s="866"/>
      <c r="H2" s="866"/>
      <c r="I2" s="866"/>
      <c r="J2" s="866"/>
      <c r="K2" s="866"/>
    </row>
    <row r="3" spans="1:22" ht="11.25" customHeight="1"/>
    <row r="4" spans="1:22" ht="11.25" customHeight="1">
      <c r="L4" s="577" t="s">
        <v>57</v>
      </c>
      <c r="M4" s="578" t="s">
        <v>31</v>
      </c>
      <c r="N4" s="577" t="s">
        <v>58</v>
      </c>
      <c r="O4" s="586">
        <v>43101</v>
      </c>
      <c r="P4" s="579"/>
      <c r="Q4" s="579"/>
    </row>
    <row r="5" spans="1:22" ht="11.25" customHeight="1">
      <c r="A5" s="179"/>
      <c r="B5" s="159"/>
      <c r="C5" s="159"/>
      <c r="D5" s="159"/>
      <c r="E5" s="159"/>
      <c r="F5" s="159"/>
      <c r="G5" s="159"/>
      <c r="H5" s="159"/>
      <c r="I5" s="159"/>
      <c r="J5" s="159"/>
      <c r="K5" s="159"/>
      <c r="L5" s="577"/>
      <c r="M5" s="578"/>
      <c r="N5" s="577"/>
      <c r="O5" s="577" t="s">
        <v>59</v>
      </c>
      <c r="P5" s="577" t="s">
        <v>60</v>
      </c>
      <c r="Q5" s="577"/>
      <c r="U5" s="576">
        <v>2018</v>
      </c>
      <c r="V5" s="576">
        <v>2017</v>
      </c>
    </row>
    <row r="6" spans="1:22" ht="11.25" customHeight="1">
      <c r="A6" s="132"/>
      <c r="B6" s="159"/>
      <c r="C6" s="159"/>
      <c r="D6" s="159"/>
      <c r="E6" s="159"/>
      <c r="F6" s="159"/>
      <c r="G6" s="159"/>
      <c r="H6" s="159"/>
      <c r="I6" s="159"/>
      <c r="J6" s="159"/>
      <c r="K6" s="159"/>
      <c r="L6" s="580" t="s">
        <v>61</v>
      </c>
      <c r="M6" s="581" t="s">
        <v>62</v>
      </c>
      <c r="N6" s="582">
        <v>19.97</v>
      </c>
      <c r="O6" s="581">
        <v>13.207422449999999</v>
      </c>
      <c r="P6" s="581">
        <v>0.9841713798376136</v>
      </c>
      <c r="Q6" s="581"/>
      <c r="S6" s="576" t="s">
        <v>62</v>
      </c>
      <c r="T6" s="576" t="s">
        <v>63</v>
      </c>
      <c r="U6" s="576">
        <v>1</v>
      </c>
    </row>
    <row r="7" spans="1:22" ht="11.25" customHeight="1">
      <c r="A7" s="157"/>
      <c r="B7" s="159"/>
      <c r="C7" s="159"/>
      <c r="D7" s="159"/>
      <c r="E7" s="159"/>
      <c r="F7" s="159"/>
      <c r="G7" s="159"/>
      <c r="H7" s="159"/>
      <c r="I7" s="159"/>
      <c r="J7" s="159"/>
      <c r="K7" s="159"/>
      <c r="L7" s="580" t="s">
        <v>63</v>
      </c>
      <c r="M7" s="581" t="s">
        <v>62</v>
      </c>
      <c r="N7" s="582">
        <v>15</v>
      </c>
      <c r="O7" s="581">
        <v>12.348326535</v>
      </c>
      <c r="P7" s="581">
        <v>1</v>
      </c>
      <c r="Q7" s="581"/>
      <c r="T7" s="576" t="s">
        <v>66</v>
      </c>
      <c r="U7" s="576">
        <v>0.98791288703820057</v>
      </c>
      <c r="V7" s="576">
        <v>0.97883867876996922</v>
      </c>
    </row>
    <row r="8" spans="1:22" ht="11.25" customHeight="1">
      <c r="A8" s="157"/>
      <c r="B8" s="159"/>
      <c r="C8" s="159"/>
      <c r="D8" s="159"/>
      <c r="E8" s="159"/>
      <c r="F8" s="159"/>
      <c r="G8" s="159"/>
      <c r="H8" s="159"/>
      <c r="I8" s="159"/>
      <c r="J8" s="159"/>
      <c r="K8" s="159"/>
      <c r="L8" s="580" t="s">
        <v>67</v>
      </c>
      <c r="M8" s="581" t="s">
        <v>62</v>
      </c>
      <c r="N8" s="582">
        <v>19.899999999999999</v>
      </c>
      <c r="O8" s="581">
        <v>11.852313370000001</v>
      </c>
      <c r="P8" s="581">
        <v>0.88630005458841843</v>
      </c>
      <c r="Q8" s="581"/>
      <c r="T8" s="576" t="s">
        <v>61</v>
      </c>
      <c r="U8" s="576">
        <v>0.98713584960774481</v>
      </c>
      <c r="V8" s="576">
        <v>0.98370777564652068</v>
      </c>
    </row>
    <row r="9" spans="1:22" ht="11.25" customHeight="1">
      <c r="A9" s="157"/>
      <c r="B9" s="159"/>
      <c r="C9" s="159"/>
      <c r="D9" s="159"/>
      <c r="E9" s="159"/>
      <c r="F9" s="159"/>
      <c r="G9" s="159"/>
      <c r="H9" s="159"/>
      <c r="I9" s="159"/>
      <c r="J9" s="159"/>
      <c r="K9" s="159"/>
      <c r="L9" s="580" t="s">
        <v>65</v>
      </c>
      <c r="M9" s="583" t="s">
        <v>62</v>
      </c>
      <c r="N9" s="582">
        <v>19.2</v>
      </c>
      <c r="O9" s="581">
        <v>11.770244052500001</v>
      </c>
      <c r="P9" s="581">
        <v>0.91225229821583598</v>
      </c>
      <c r="Q9" s="581"/>
      <c r="T9" s="576" t="s">
        <v>76</v>
      </c>
      <c r="U9" s="576">
        <v>0.97610960939021985</v>
      </c>
      <c r="V9" s="576">
        <v>0.8483412685478362</v>
      </c>
    </row>
    <row r="10" spans="1:22" ht="11.25" customHeight="1">
      <c r="A10" s="157"/>
      <c r="B10" s="159"/>
      <c r="C10" s="159"/>
      <c r="D10" s="159"/>
      <c r="E10" s="159"/>
      <c r="F10" s="159"/>
      <c r="G10" s="159"/>
      <c r="H10" s="159"/>
      <c r="I10" s="159"/>
      <c r="J10" s="159"/>
      <c r="K10" s="159"/>
      <c r="L10" s="580" t="s">
        <v>64</v>
      </c>
      <c r="M10" s="583" t="s">
        <v>62</v>
      </c>
      <c r="N10" s="582">
        <v>19.97</v>
      </c>
      <c r="O10" s="581">
        <v>11.09259926</v>
      </c>
      <c r="P10" s="581">
        <v>0.82658207996518596</v>
      </c>
      <c r="Q10" s="581"/>
      <c r="T10" s="576" t="s">
        <v>69</v>
      </c>
      <c r="U10" s="576">
        <v>0.90053021111158926</v>
      </c>
      <c r="V10" s="576">
        <v>0.86450174632622001</v>
      </c>
    </row>
    <row r="11" spans="1:22" ht="11.25" customHeight="1">
      <c r="A11" s="157"/>
      <c r="B11" s="159"/>
      <c r="C11" s="159"/>
      <c r="D11" s="159"/>
      <c r="E11" s="159"/>
      <c r="F11" s="159"/>
      <c r="G11" s="159"/>
      <c r="H11" s="159"/>
      <c r="I11" s="159"/>
      <c r="J11" s="159"/>
      <c r="K11" s="159"/>
      <c r="L11" s="580" t="s">
        <v>66</v>
      </c>
      <c r="M11" s="583" t="s">
        <v>62</v>
      </c>
      <c r="N11" s="582">
        <v>9.98</v>
      </c>
      <c r="O11" s="581">
        <v>6.6159434375000004</v>
      </c>
      <c r="P11" s="581">
        <v>0.98648836922356609</v>
      </c>
      <c r="Q11" s="581"/>
      <c r="T11" s="576" t="s">
        <v>68</v>
      </c>
      <c r="U11" s="576">
        <v>0.89423864061964464</v>
      </c>
      <c r="V11" s="576">
        <v>0.85688106483823812</v>
      </c>
    </row>
    <row r="12" spans="1:22" ht="11.25" customHeight="1">
      <c r="A12" s="157"/>
      <c r="B12" s="159"/>
      <c r="C12" s="159"/>
      <c r="D12" s="159"/>
      <c r="E12" s="159"/>
      <c r="F12" s="159"/>
      <c r="G12" s="159"/>
      <c r="H12" s="159"/>
      <c r="I12" s="159"/>
      <c r="J12" s="159"/>
      <c r="K12" s="159"/>
      <c r="L12" s="580" t="s">
        <v>68</v>
      </c>
      <c r="M12" s="581" t="s">
        <v>62</v>
      </c>
      <c r="N12" s="582">
        <v>10.220000000000001</v>
      </c>
      <c r="O12" s="581">
        <v>6.2916226075000008</v>
      </c>
      <c r="P12" s="581">
        <v>0.91609918220284681</v>
      </c>
      <c r="Q12" s="581"/>
      <c r="T12" s="576" t="s">
        <v>70</v>
      </c>
      <c r="U12" s="576">
        <v>0.84402957832148728</v>
      </c>
      <c r="V12" s="576">
        <v>0.56064728846620082</v>
      </c>
    </row>
    <row r="13" spans="1:22" ht="11.25" customHeight="1">
      <c r="A13" s="157"/>
      <c r="B13" s="159"/>
      <c r="C13" s="159"/>
      <c r="D13" s="159"/>
      <c r="E13" s="159"/>
      <c r="F13" s="159"/>
      <c r="G13" s="159"/>
      <c r="H13" s="159"/>
      <c r="I13" s="159"/>
      <c r="J13" s="159"/>
      <c r="K13" s="159"/>
      <c r="L13" s="580" t="s">
        <v>69</v>
      </c>
      <c r="M13" s="581" t="s">
        <v>62</v>
      </c>
      <c r="N13" s="582">
        <v>9.85</v>
      </c>
      <c r="O13" s="581">
        <v>6.0790917950000001</v>
      </c>
      <c r="P13" s="581">
        <v>0.91840279716582085</v>
      </c>
      <c r="Q13" s="581"/>
      <c r="T13" s="576" t="s">
        <v>64</v>
      </c>
      <c r="U13" s="576">
        <v>0.83688646599843286</v>
      </c>
      <c r="V13" s="576">
        <v>0.88082095954666473</v>
      </c>
    </row>
    <row r="14" spans="1:22" ht="11.25" customHeight="1">
      <c r="A14" s="157"/>
      <c r="B14" s="159"/>
      <c r="C14" s="159"/>
      <c r="D14" s="159"/>
      <c r="E14" s="159"/>
      <c r="F14" s="159"/>
      <c r="G14" s="159"/>
      <c r="H14" s="159"/>
      <c r="I14" s="159"/>
      <c r="J14" s="159"/>
      <c r="K14" s="159"/>
      <c r="L14" s="580" t="s">
        <v>73</v>
      </c>
      <c r="M14" s="581" t="s">
        <v>62</v>
      </c>
      <c r="N14" s="582">
        <v>9.57</v>
      </c>
      <c r="O14" s="581">
        <v>5.1009950675000004</v>
      </c>
      <c r="P14" s="581">
        <v>0.79318353913208439</v>
      </c>
      <c r="Q14" s="581"/>
      <c r="T14" s="576" t="s">
        <v>65</v>
      </c>
      <c r="U14" s="576">
        <v>0.83508460893361591</v>
      </c>
      <c r="V14" s="576">
        <v>0.85708976981814977</v>
      </c>
    </row>
    <row r="15" spans="1:22" ht="11.25" customHeight="1">
      <c r="A15" s="157"/>
      <c r="B15" s="159"/>
      <c r="C15" s="159"/>
      <c r="D15" s="159"/>
      <c r="E15" s="159"/>
      <c r="F15" s="159"/>
      <c r="G15" s="159"/>
      <c r="H15" s="159"/>
      <c r="I15" s="159"/>
      <c r="J15" s="159"/>
      <c r="K15" s="159"/>
      <c r="L15" s="580" t="s">
        <v>70</v>
      </c>
      <c r="M15" s="581" t="s">
        <v>62</v>
      </c>
      <c r="N15" s="582">
        <v>7.75</v>
      </c>
      <c r="O15" s="581">
        <v>4.6508904300000005</v>
      </c>
      <c r="P15" s="581">
        <v>0.89302811635944712</v>
      </c>
      <c r="Q15" s="581"/>
      <c r="T15" s="576" t="s">
        <v>77</v>
      </c>
      <c r="U15" s="576">
        <v>0.83334674465654912</v>
      </c>
      <c r="V15" s="576">
        <v>0.73403934848617114</v>
      </c>
    </row>
    <row r="16" spans="1:22" ht="11.25" customHeight="1">
      <c r="A16" s="157"/>
      <c r="B16" s="159"/>
      <c r="C16" s="159"/>
      <c r="D16" s="159"/>
      <c r="E16" s="159"/>
      <c r="F16" s="159"/>
      <c r="G16" s="159"/>
      <c r="H16" s="159"/>
      <c r="I16" s="159"/>
      <c r="J16" s="159"/>
      <c r="K16" s="159"/>
      <c r="L16" s="580" t="s">
        <v>71</v>
      </c>
      <c r="M16" s="581" t="s">
        <v>62</v>
      </c>
      <c r="N16" s="582">
        <v>7.42</v>
      </c>
      <c r="O16" s="581">
        <v>3.8740400875000001</v>
      </c>
      <c r="P16" s="581">
        <v>0.77694617336911187</v>
      </c>
      <c r="Q16" s="581"/>
      <c r="T16" s="576" t="s">
        <v>74</v>
      </c>
      <c r="U16" s="576">
        <v>0.80918932949065447</v>
      </c>
      <c r="V16" s="576">
        <v>0.77153267637677858</v>
      </c>
    </row>
    <row r="17" spans="1:22" ht="11.25" customHeight="1">
      <c r="A17" s="157"/>
      <c r="B17" s="159"/>
      <c r="C17" s="159"/>
      <c r="D17" s="159"/>
      <c r="E17" s="159"/>
      <c r="F17" s="159"/>
      <c r="G17" s="159"/>
      <c r="H17" s="159"/>
      <c r="I17" s="159"/>
      <c r="J17" s="159"/>
      <c r="K17" s="159"/>
      <c r="L17" s="580" t="s">
        <v>72</v>
      </c>
      <c r="M17" s="581" t="s">
        <v>62</v>
      </c>
      <c r="N17" s="582">
        <v>6.96</v>
      </c>
      <c r="O17" s="581">
        <v>3.4549798224999999</v>
      </c>
      <c r="P17" s="581">
        <v>0.73869813528410644</v>
      </c>
      <c r="Q17" s="581"/>
      <c r="T17" s="576" t="s">
        <v>71</v>
      </c>
      <c r="U17" s="576">
        <v>0.78629539261539294</v>
      </c>
      <c r="V17" s="576">
        <v>0.82230330447522815</v>
      </c>
    </row>
    <row r="18" spans="1:22">
      <c r="A18" s="157"/>
      <c r="B18" s="159"/>
      <c r="C18" s="159"/>
      <c r="D18" s="159"/>
      <c r="E18" s="159"/>
      <c r="F18" s="159"/>
      <c r="G18" s="159"/>
      <c r="H18" s="159"/>
      <c r="I18" s="159"/>
      <c r="J18" s="159"/>
      <c r="K18" s="159"/>
      <c r="L18" s="580" t="s">
        <v>74</v>
      </c>
      <c r="M18" s="581" t="s">
        <v>62</v>
      </c>
      <c r="N18" s="582">
        <v>5.19</v>
      </c>
      <c r="O18" s="581">
        <v>2.8683672500000004</v>
      </c>
      <c r="P18" s="581">
        <v>0.82242844813744376</v>
      </c>
      <c r="Q18" s="581"/>
      <c r="T18" s="576" t="s">
        <v>72</v>
      </c>
      <c r="U18" s="576">
        <v>0.75123420986143563</v>
      </c>
      <c r="V18" s="576">
        <v>0.84874656609856125</v>
      </c>
    </row>
    <row r="19" spans="1:22">
      <c r="A19" s="157"/>
      <c r="B19" s="159"/>
      <c r="C19" s="159"/>
      <c r="D19" s="159"/>
      <c r="E19" s="159"/>
      <c r="F19" s="159"/>
      <c r="G19" s="159"/>
      <c r="H19" s="159"/>
      <c r="I19" s="159"/>
      <c r="J19" s="159"/>
      <c r="K19" s="159"/>
      <c r="L19" s="580" t="s">
        <v>77</v>
      </c>
      <c r="M19" s="581" t="s">
        <v>62</v>
      </c>
      <c r="N19" s="582">
        <v>3.92</v>
      </c>
      <c r="O19" s="581">
        <v>2.2873479625000002</v>
      </c>
      <c r="P19" s="581">
        <v>0.86831418644466718</v>
      </c>
      <c r="Q19" s="581"/>
      <c r="T19" s="576" t="s">
        <v>67</v>
      </c>
      <c r="U19" s="576">
        <v>0.66816745060046001</v>
      </c>
    </row>
    <row r="20" spans="1:22">
      <c r="A20" s="157"/>
      <c r="B20" s="159"/>
      <c r="C20" s="159"/>
      <c r="D20" s="159"/>
      <c r="E20" s="159"/>
      <c r="F20" s="159"/>
      <c r="G20" s="159"/>
      <c r="H20" s="159"/>
      <c r="I20" s="159"/>
      <c r="J20" s="159"/>
      <c r="K20" s="159"/>
      <c r="L20" s="580" t="s">
        <v>76</v>
      </c>
      <c r="M20" s="581" t="s">
        <v>62</v>
      </c>
      <c r="N20" s="582">
        <v>3.48</v>
      </c>
      <c r="O20" s="581">
        <v>2.2851489999999997</v>
      </c>
      <c r="P20" s="581">
        <v>0.97716073139025705</v>
      </c>
      <c r="Q20" s="581"/>
      <c r="T20" s="576" t="s">
        <v>75</v>
      </c>
      <c r="U20" s="576">
        <v>0.65432838733945142</v>
      </c>
      <c r="V20" s="576">
        <v>0.87730619910554386</v>
      </c>
    </row>
    <row r="21" spans="1:22">
      <c r="A21" s="157"/>
      <c r="B21" s="159"/>
      <c r="C21" s="159"/>
      <c r="D21" s="159"/>
      <c r="E21" s="159"/>
      <c r="F21" s="159"/>
      <c r="G21" s="159"/>
      <c r="H21" s="159"/>
      <c r="I21" s="159"/>
      <c r="J21" s="159"/>
      <c r="K21" s="159"/>
      <c r="L21" s="580" t="s">
        <v>75</v>
      </c>
      <c r="M21" s="581" t="s">
        <v>62</v>
      </c>
      <c r="N21" s="582">
        <v>5.67</v>
      </c>
      <c r="O21" s="581">
        <v>2.275415755</v>
      </c>
      <c r="P21" s="581">
        <v>0.597184365026875</v>
      </c>
      <c r="Q21" s="581"/>
      <c r="T21" s="576" t="s">
        <v>73</v>
      </c>
      <c r="U21" s="576">
        <v>0.64319450919923959</v>
      </c>
      <c r="V21" s="576">
        <v>0.30446467884887002</v>
      </c>
    </row>
    <row r="22" spans="1:22">
      <c r="A22" s="157"/>
      <c r="B22" s="159"/>
      <c r="C22" s="159"/>
      <c r="D22" s="159"/>
      <c r="E22" s="159"/>
      <c r="F22" s="159"/>
      <c r="G22" s="159"/>
      <c r="H22" s="159"/>
      <c r="I22" s="159"/>
      <c r="J22" s="159"/>
      <c r="K22" s="159"/>
      <c r="L22" s="580" t="s">
        <v>78</v>
      </c>
      <c r="M22" s="581" t="s">
        <v>62</v>
      </c>
      <c r="N22" s="582">
        <v>3.96</v>
      </c>
      <c r="O22" s="581">
        <v>2.2131999999999996</v>
      </c>
      <c r="P22" s="581">
        <v>0.83167989417989419</v>
      </c>
      <c r="Q22" s="581"/>
      <c r="T22" s="576" t="s">
        <v>78</v>
      </c>
      <c r="U22" s="576">
        <v>0.61180305883695707</v>
      </c>
      <c r="V22" s="576">
        <v>0.7375525247175142</v>
      </c>
    </row>
    <row r="23" spans="1:22">
      <c r="A23" s="157"/>
      <c r="B23" s="159"/>
      <c r="C23" s="159"/>
      <c r="D23" s="159"/>
      <c r="E23" s="159"/>
      <c r="F23" s="159"/>
      <c r="G23" s="159"/>
      <c r="H23" s="159"/>
      <c r="I23" s="159"/>
      <c r="J23" s="159"/>
      <c r="K23" s="159"/>
      <c r="L23" s="580" t="s">
        <v>79</v>
      </c>
      <c r="M23" s="581" t="s">
        <v>62</v>
      </c>
      <c r="N23" s="582">
        <v>1.79</v>
      </c>
      <c r="O23" s="581">
        <v>0.25669575750000001</v>
      </c>
      <c r="P23" s="581">
        <v>0.21340096892458099</v>
      </c>
      <c r="Q23" s="581"/>
      <c r="T23" s="576" t="s">
        <v>79</v>
      </c>
      <c r="U23" s="576">
        <v>0.25798362292080923</v>
      </c>
      <c r="V23" s="576">
        <v>8.3520125145977342E-2</v>
      </c>
    </row>
    <row r="24" spans="1:22">
      <c r="A24" s="157"/>
      <c r="B24" s="159"/>
      <c r="C24" s="159"/>
      <c r="D24" s="159"/>
      <c r="E24" s="159"/>
      <c r="F24" s="159"/>
      <c r="G24" s="159"/>
      <c r="H24" s="159"/>
      <c r="I24" s="159"/>
      <c r="J24" s="159"/>
      <c r="K24" s="159"/>
      <c r="L24" s="580" t="s">
        <v>80</v>
      </c>
      <c r="M24" s="581" t="s">
        <v>253</v>
      </c>
      <c r="N24" s="582">
        <v>97.2</v>
      </c>
      <c r="O24" s="581">
        <v>26.598642795</v>
      </c>
      <c r="P24" s="581">
        <v>0.40721516134810398</v>
      </c>
      <c r="Q24" s="581"/>
      <c r="S24" s="576" t="s">
        <v>81</v>
      </c>
      <c r="T24" s="576" t="s">
        <v>80</v>
      </c>
      <c r="U24" s="576">
        <v>0.47569293293067466</v>
      </c>
      <c r="V24" s="576">
        <v>0.44213660941711658</v>
      </c>
    </row>
    <row r="25" spans="1:22">
      <c r="A25" s="157"/>
      <c r="B25" s="159"/>
      <c r="C25" s="159"/>
      <c r="D25" s="159"/>
      <c r="E25" s="159"/>
      <c r="F25" s="159"/>
      <c r="G25" s="159"/>
      <c r="H25" s="159"/>
      <c r="I25" s="159"/>
      <c r="J25" s="159"/>
      <c r="K25" s="159"/>
      <c r="L25" s="580" t="s">
        <v>82</v>
      </c>
      <c r="M25" s="581" t="s">
        <v>253</v>
      </c>
      <c r="N25" s="582">
        <v>83.2</v>
      </c>
      <c r="O25" s="581">
        <v>18.337717505000001</v>
      </c>
      <c r="P25" s="581">
        <v>0.32798401558565127</v>
      </c>
      <c r="Q25" s="581"/>
      <c r="T25" s="576" t="s">
        <v>83</v>
      </c>
      <c r="U25" s="576">
        <v>0.43257629728328034</v>
      </c>
      <c r="V25" s="576">
        <v>0.44253874679996463</v>
      </c>
    </row>
    <row r="26" spans="1:22">
      <c r="A26" s="157"/>
      <c r="B26" s="159"/>
      <c r="C26" s="159"/>
      <c r="D26" s="159"/>
      <c r="E26" s="159"/>
      <c r="F26" s="159"/>
      <c r="G26" s="159"/>
      <c r="H26" s="159"/>
      <c r="I26" s="159"/>
      <c r="J26" s="159"/>
      <c r="K26" s="159"/>
      <c r="L26" s="580" t="s">
        <v>83</v>
      </c>
      <c r="M26" s="581" t="s">
        <v>253</v>
      </c>
      <c r="N26" s="582">
        <v>32</v>
      </c>
      <c r="O26" s="581">
        <v>8.6083409124999992</v>
      </c>
      <c r="P26" s="581">
        <v>0.40031347249348959</v>
      </c>
      <c r="Q26" s="581"/>
      <c r="T26" s="576" t="s">
        <v>82</v>
      </c>
      <c r="U26" s="576">
        <v>0.38552667730232776</v>
      </c>
      <c r="V26" s="576">
        <v>0.23436576302611509</v>
      </c>
    </row>
    <row r="27" spans="1:22">
      <c r="A27" s="157"/>
      <c r="B27" s="159"/>
      <c r="C27" s="159"/>
      <c r="D27" s="159"/>
      <c r="E27" s="159"/>
      <c r="F27" s="159"/>
      <c r="G27" s="159"/>
      <c r="H27" s="159"/>
      <c r="I27" s="159"/>
      <c r="J27" s="159"/>
      <c r="K27" s="159"/>
      <c r="L27" s="580" t="s">
        <v>84</v>
      </c>
      <c r="M27" s="581" t="s">
        <v>253</v>
      </c>
      <c r="N27" s="582">
        <v>30.9</v>
      </c>
      <c r="O27" s="581">
        <v>4.5902075849999999</v>
      </c>
      <c r="P27" s="581">
        <v>0.22105715369278783</v>
      </c>
      <c r="Q27" s="581"/>
      <c r="T27" s="576" t="s">
        <v>84</v>
      </c>
      <c r="U27" s="576">
        <v>0.3431784357116085</v>
      </c>
      <c r="V27" s="576">
        <v>0.18496657328659408</v>
      </c>
    </row>
    <row r="28" spans="1:22">
      <c r="A28" s="157"/>
      <c r="B28" s="159"/>
      <c r="C28" s="159"/>
      <c r="D28" s="159"/>
      <c r="E28" s="159"/>
      <c r="F28" s="159"/>
      <c r="G28" s="159"/>
      <c r="H28" s="159"/>
      <c r="I28" s="159"/>
      <c r="J28" s="159"/>
      <c r="K28" s="159"/>
      <c r="L28" s="580" t="s">
        <v>90</v>
      </c>
      <c r="M28" s="581" t="s">
        <v>86</v>
      </c>
      <c r="N28" s="582">
        <v>144.47999999999999</v>
      </c>
      <c r="O28" s="581">
        <v>28.358605067500001</v>
      </c>
      <c r="P28" s="581">
        <v>0.29208406118473318</v>
      </c>
      <c r="Q28" s="581"/>
      <c r="S28" s="576" t="s">
        <v>86</v>
      </c>
      <c r="T28" s="576" t="s">
        <v>88</v>
      </c>
      <c r="U28" s="576">
        <v>0.33957822762182205</v>
      </c>
      <c r="V28" s="576">
        <v>0.30985359838453391</v>
      </c>
    </row>
    <row r="29" spans="1:22">
      <c r="A29" s="157"/>
      <c r="B29" s="159"/>
      <c r="C29" s="159"/>
      <c r="D29" s="159"/>
      <c r="E29" s="159"/>
      <c r="F29" s="159"/>
      <c r="G29" s="159"/>
      <c r="H29" s="159"/>
      <c r="I29" s="159"/>
      <c r="J29" s="159"/>
      <c r="K29" s="159"/>
      <c r="L29" s="580" t="s">
        <v>85</v>
      </c>
      <c r="M29" s="581" t="s">
        <v>86</v>
      </c>
      <c r="N29" s="582">
        <v>20</v>
      </c>
      <c r="O29" s="581">
        <v>4.3084324599999997</v>
      </c>
      <c r="P29" s="581">
        <v>0.32056789136904762</v>
      </c>
      <c r="Q29" s="581"/>
      <c r="T29" s="576" t="s">
        <v>85</v>
      </c>
      <c r="U29" s="576">
        <v>0.32367204131355931</v>
      </c>
      <c r="V29" s="576">
        <v>0.29688594191384177</v>
      </c>
    </row>
    <row r="30" spans="1:22">
      <c r="A30" s="157"/>
      <c r="B30" s="159"/>
      <c r="C30" s="159"/>
      <c r="D30" s="159"/>
      <c r="E30" s="159"/>
      <c r="F30" s="159"/>
      <c r="G30" s="159"/>
      <c r="H30" s="159"/>
      <c r="I30" s="159"/>
      <c r="J30" s="159"/>
      <c r="K30" s="159"/>
      <c r="L30" s="580" t="s">
        <v>87</v>
      </c>
      <c r="M30" s="581" t="s">
        <v>86</v>
      </c>
      <c r="N30" s="582">
        <v>20</v>
      </c>
      <c r="O30" s="581">
        <v>3.9248712500000003</v>
      </c>
      <c r="P30" s="581">
        <v>0.29202911086309524</v>
      </c>
      <c r="Q30" s="581"/>
      <c r="T30" s="576" t="s">
        <v>87</v>
      </c>
      <c r="U30" s="576">
        <v>0.30103021716101697</v>
      </c>
      <c r="V30" s="576">
        <v>0.27084478283898306</v>
      </c>
    </row>
    <row r="31" spans="1:22">
      <c r="A31" s="157"/>
      <c r="B31" s="159"/>
      <c r="C31" s="159"/>
      <c r="D31" s="159"/>
      <c r="E31" s="159"/>
      <c r="F31" s="159"/>
      <c r="G31" s="159"/>
      <c r="H31" s="159"/>
      <c r="I31" s="159"/>
      <c r="J31" s="159"/>
      <c r="K31" s="159"/>
      <c r="L31" s="580" t="s">
        <v>88</v>
      </c>
      <c r="M31" s="581" t="s">
        <v>86</v>
      </c>
      <c r="N31" s="582">
        <v>16</v>
      </c>
      <c r="O31" s="581">
        <v>3.5532930350000003</v>
      </c>
      <c r="P31" s="581">
        <v>0.3304774028087798</v>
      </c>
      <c r="Q31" s="581"/>
      <c r="T31" s="576" t="s">
        <v>90</v>
      </c>
      <c r="U31" s="576">
        <v>0.2964616889256107</v>
      </c>
    </row>
    <row r="32" spans="1:22">
      <c r="A32" s="157"/>
      <c r="B32" s="159"/>
      <c r="C32" s="159"/>
      <c r="D32" s="159"/>
      <c r="E32" s="159"/>
      <c r="F32" s="159"/>
      <c r="G32" s="159"/>
      <c r="H32" s="159"/>
      <c r="I32" s="159"/>
      <c r="J32" s="159"/>
      <c r="K32" s="159"/>
      <c r="L32" s="580" t="s">
        <v>89</v>
      </c>
      <c r="M32" s="581" t="s">
        <v>86</v>
      </c>
      <c r="N32" s="582">
        <v>20</v>
      </c>
      <c r="O32" s="581">
        <v>3.394725185</v>
      </c>
      <c r="P32" s="581">
        <v>0.25258371912202382</v>
      </c>
      <c r="Q32" s="581"/>
      <c r="T32" s="576" t="s">
        <v>89</v>
      </c>
      <c r="U32" s="576">
        <v>0.25628344270833336</v>
      </c>
      <c r="V32" s="576">
        <v>0.24424754034251411</v>
      </c>
    </row>
    <row r="33" spans="1:22">
      <c r="A33" s="157"/>
      <c r="B33" s="159"/>
      <c r="C33" s="159"/>
      <c r="D33" s="159"/>
      <c r="E33" s="159"/>
      <c r="F33" s="159"/>
      <c r="G33" s="159"/>
      <c r="H33" s="159"/>
      <c r="I33" s="159"/>
      <c r="J33" s="159"/>
      <c r="K33" s="159"/>
      <c r="L33" s="580" t="s">
        <v>91</v>
      </c>
      <c r="M33" s="581" t="s">
        <v>86</v>
      </c>
      <c r="N33" s="582">
        <v>20</v>
      </c>
      <c r="O33" s="581">
        <v>1.9283449450000001</v>
      </c>
      <c r="P33" s="581">
        <v>0.14347804650297619</v>
      </c>
      <c r="Q33" s="581"/>
      <c r="T33" s="576" t="s">
        <v>91</v>
      </c>
      <c r="U33" s="576">
        <v>0.1889423003177966</v>
      </c>
      <c r="V33" s="576">
        <v>0.2055374005120057</v>
      </c>
    </row>
    <row r="34" spans="1:22">
      <c r="B34" s="159"/>
      <c r="C34" s="159"/>
      <c r="D34" s="159"/>
      <c r="E34" s="159"/>
      <c r="F34" s="159"/>
      <c r="G34" s="159"/>
      <c r="H34" s="159"/>
      <c r="I34" s="159"/>
      <c r="J34" s="159"/>
      <c r="K34" s="159"/>
      <c r="L34" s="580" t="s">
        <v>92</v>
      </c>
      <c r="M34" s="581" t="s">
        <v>679</v>
      </c>
      <c r="N34" s="582">
        <v>12.74</v>
      </c>
      <c r="O34" s="581">
        <v>6.6318301625</v>
      </c>
      <c r="P34" s="581">
        <v>0.77463068168544902</v>
      </c>
      <c r="Q34" s="581"/>
      <c r="S34" s="576" t="s">
        <v>277</v>
      </c>
      <c r="T34" s="576" t="s">
        <v>93</v>
      </c>
      <c r="U34" s="576">
        <v>0.93316083003434935</v>
      </c>
      <c r="V34" s="576">
        <v>0.76373872294501466</v>
      </c>
    </row>
    <row r="35" spans="1:22">
      <c r="A35" s="157"/>
      <c r="B35" s="159"/>
      <c r="C35" s="159"/>
      <c r="D35" s="159"/>
      <c r="E35" s="159"/>
      <c r="F35" s="159"/>
      <c r="G35" s="159"/>
      <c r="H35" s="159"/>
      <c r="I35" s="159"/>
      <c r="J35" s="159"/>
      <c r="K35" s="159"/>
      <c r="L35" s="580" t="s">
        <v>93</v>
      </c>
      <c r="M35" s="581" t="s">
        <v>679</v>
      </c>
      <c r="N35" s="582">
        <v>4.26</v>
      </c>
      <c r="O35" s="581">
        <v>2.6435123825</v>
      </c>
      <c r="P35" s="581">
        <v>0.92342680475212391</v>
      </c>
      <c r="Q35" s="581"/>
      <c r="T35" s="576" t="s">
        <v>92</v>
      </c>
      <c r="U35" s="576">
        <v>0.75194253317423965</v>
      </c>
      <c r="V35" s="576">
        <v>0.71571796764130979</v>
      </c>
    </row>
    <row r="36" spans="1:22">
      <c r="A36" s="157"/>
      <c r="B36" s="159"/>
      <c r="C36" s="159"/>
      <c r="D36" s="159"/>
      <c r="E36" s="159"/>
      <c r="F36" s="159"/>
      <c r="G36" s="159"/>
      <c r="H36" s="159"/>
      <c r="I36" s="159"/>
      <c r="J36" s="159"/>
      <c r="K36" s="159"/>
      <c r="L36" s="580" t="s">
        <v>94</v>
      </c>
      <c r="M36" s="581" t="s">
        <v>679</v>
      </c>
      <c r="N36" s="582">
        <v>2.99</v>
      </c>
      <c r="O36" s="581">
        <v>1.2189493975000001</v>
      </c>
      <c r="P36" s="581">
        <v>0.60665979729057173</v>
      </c>
      <c r="Q36" s="581"/>
      <c r="T36" s="576" t="s">
        <v>94</v>
      </c>
      <c r="U36" s="576">
        <v>0.51078697411805818</v>
      </c>
      <c r="V36" s="576">
        <v>0.41840408470797197</v>
      </c>
    </row>
    <row r="37" spans="1:22">
      <c r="A37" s="157"/>
      <c r="B37" s="159"/>
      <c r="C37" s="159"/>
      <c r="D37" s="159"/>
      <c r="E37" s="159"/>
      <c r="F37" s="159"/>
      <c r="G37" s="159"/>
      <c r="H37" s="159"/>
      <c r="I37" s="159"/>
      <c r="J37" s="159"/>
      <c r="K37" s="159"/>
      <c r="L37" s="580" t="s">
        <v>95</v>
      </c>
      <c r="M37" s="581" t="s">
        <v>679</v>
      </c>
      <c r="N37" s="584">
        <v>16.059999999999999</v>
      </c>
      <c r="O37" s="581">
        <v>0</v>
      </c>
      <c r="P37" s="581">
        <v>0</v>
      </c>
      <c r="Q37" s="581"/>
      <c r="T37" s="576" t="s">
        <v>95</v>
      </c>
    </row>
    <row r="38" spans="1:22" ht="11.25" customHeight="1">
      <c r="A38" s="157"/>
      <c r="B38" s="159"/>
      <c r="C38" s="159"/>
      <c r="D38" s="159"/>
      <c r="E38" s="159"/>
      <c r="F38" s="159"/>
      <c r="G38" s="159"/>
      <c r="H38" s="159"/>
      <c r="I38" s="159"/>
      <c r="J38" s="159"/>
      <c r="K38" s="159"/>
      <c r="L38" s="585"/>
      <c r="M38" s="585"/>
      <c r="N38" s="585"/>
      <c r="O38" s="585"/>
      <c r="P38" s="585"/>
      <c r="Q38" s="585"/>
    </row>
    <row r="39" spans="1:22">
      <c r="A39" s="157"/>
      <c r="B39" s="159"/>
      <c r="C39" s="159"/>
      <c r="D39" s="159"/>
      <c r="E39" s="159"/>
      <c r="F39" s="159"/>
      <c r="G39" s="159"/>
      <c r="H39" s="159"/>
      <c r="I39" s="159"/>
      <c r="J39" s="159"/>
      <c r="K39" s="159"/>
    </row>
    <row r="40" spans="1:22">
      <c r="A40" s="157"/>
      <c r="B40" s="159"/>
      <c r="C40" s="159"/>
      <c r="D40" s="159"/>
      <c r="E40" s="159"/>
      <c r="F40" s="159"/>
      <c r="G40" s="159"/>
      <c r="H40" s="159"/>
      <c r="I40" s="159"/>
      <c r="J40" s="159"/>
      <c r="K40" s="159"/>
    </row>
    <row r="41" spans="1:22">
      <c r="A41" s="157"/>
      <c r="B41" s="159"/>
      <c r="C41" s="159"/>
      <c r="D41" s="159"/>
      <c r="E41" s="159"/>
      <c r="F41" s="159"/>
      <c r="G41" s="159"/>
      <c r="H41" s="159"/>
      <c r="I41" s="159"/>
      <c r="J41" s="159"/>
      <c r="K41" s="159"/>
    </row>
    <row r="42" spans="1:22">
      <c r="A42" s="157"/>
      <c r="B42" s="159"/>
      <c r="C42" s="159"/>
      <c r="D42" s="159"/>
      <c r="E42" s="159"/>
      <c r="F42" s="159"/>
      <c r="G42" s="159"/>
      <c r="H42" s="159"/>
      <c r="I42" s="159"/>
      <c r="J42" s="159"/>
      <c r="K42" s="159"/>
    </row>
    <row r="43" spans="1:22" ht="26.25" customHeight="1">
      <c r="A43" s="863" t="str">
        <f>"Gráfico N° 8: Producción de energía eléctrica (GWh) y factor de planta de las centrales con recursos energético renovables por tipo de generación en "&amp;'1. Resumen'!Q4&amp;" "&amp;'1. Resumen'!Q5</f>
        <v>Gráfico N° 8: Producción de energía eléctrica (GWh) y factor de planta de las centrales con recursos energético renovables por tipo de generación en febrero 2018</v>
      </c>
      <c r="B43" s="863"/>
      <c r="C43" s="863"/>
      <c r="D43" s="863"/>
      <c r="E43" s="863"/>
      <c r="F43" s="863"/>
      <c r="G43" s="863"/>
      <c r="H43" s="863"/>
      <c r="I43" s="863"/>
      <c r="J43" s="863"/>
      <c r="K43" s="863"/>
    </row>
    <row r="44" spans="1:22">
      <c r="A44" s="157"/>
      <c r="B44" s="159"/>
      <c r="C44" s="159"/>
      <c r="D44" s="159"/>
      <c r="E44" s="159"/>
      <c r="F44" s="159"/>
      <c r="G44" s="159"/>
      <c r="H44" s="159"/>
      <c r="I44" s="159"/>
      <c r="J44" s="159"/>
      <c r="K44" s="159"/>
    </row>
    <row r="45" spans="1:22" ht="12">
      <c r="A45" s="157"/>
      <c r="B45" s="159"/>
      <c r="C45" s="867" t="str">
        <f>"Factor de planta de las centrales RER  Acumulado al "&amp;'1. Resumen'!Q7&amp;" de "&amp;'1. Resumen'!Q4</f>
        <v>Factor de planta de las centrales RER  Acumulado al 28 de febrero</v>
      </c>
      <c r="D45" s="867"/>
      <c r="E45" s="867"/>
      <c r="F45" s="867"/>
      <c r="G45" s="867"/>
      <c r="H45" s="867"/>
      <c r="I45" s="867"/>
      <c r="J45" s="159"/>
      <c r="K45" s="159"/>
    </row>
    <row r="46" spans="1:22">
      <c r="A46" s="157"/>
      <c r="B46" s="159"/>
      <c r="C46" s="159"/>
      <c r="D46" s="159"/>
      <c r="E46" s="159"/>
      <c r="F46" s="159"/>
      <c r="G46" s="159"/>
      <c r="H46" s="159"/>
      <c r="I46" s="159"/>
      <c r="J46" s="159"/>
      <c r="K46" s="159"/>
    </row>
    <row r="47" spans="1:22">
      <c r="A47" s="157"/>
      <c r="B47" s="159"/>
      <c r="C47" s="159"/>
      <c r="D47" s="159"/>
      <c r="E47" s="159"/>
      <c r="F47" s="159"/>
      <c r="G47" s="159"/>
      <c r="H47" s="159"/>
      <c r="I47" s="159"/>
      <c r="J47" s="159"/>
      <c r="K47" s="159"/>
    </row>
    <row r="48" spans="1:22">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B53" s="159"/>
      <c r="C53" s="159"/>
      <c r="D53" s="159"/>
      <c r="E53" s="159"/>
      <c r="F53" s="159"/>
      <c r="G53" s="159"/>
      <c r="H53" s="159"/>
      <c r="I53" s="159"/>
      <c r="J53" s="159"/>
      <c r="K53" s="159"/>
    </row>
    <row r="64" spans="1:11">
      <c r="A64" s="372" t="str">
        <f>"Gráfico N° 9: factor de planta de las centrales con recursos energético renovables en el SEIN en "&amp;'1. Resumen'!Q4</f>
        <v>Gráfico N° 9: factor de planta de las centrales con recursos energético renovables en el SEIN en febrero</v>
      </c>
    </row>
  </sheetData>
  <mergeCells count="3">
    <mergeCell ref="A43:K43"/>
    <mergeCell ref="A2:K2"/>
    <mergeCell ref="C45:I45"/>
  </mergeCells>
  <pageMargins left="0.7" right="0.59782608695652173" top="0.86956521739130432" bottom="0.61458333333333337" header="0.3" footer="0.3"/>
  <pageSetup orientation="portrait" r:id="rId1"/>
  <headerFooter>
    <oddHeader>&amp;R&amp;7Informe de la Operación Mensual - Febrero 2018
INFSGI-MES-02-2018
08/03/2018
Versión: 01</oddHeader>
    <oddFooter>&amp;L&amp;7COES SINAC, 2018
&amp;C6&amp;R&amp;7Dirección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N71"/>
  <sheetViews>
    <sheetView showGridLines="0" view="pageBreakPreview" zoomScale="145" zoomScaleNormal="100" zoomScaleSheetLayoutView="145" zoomScalePageLayoutView="145" workbookViewId="0">
      <selection activeCell="C20" sqref="C20"/>
    </sheetView>
  </sheetViews>
  <sheetFormatPr defaultRowHeight="11.25"/>
  <cols>
    <col min="1" max="1" width="30.1640625" style="3" customWidth="1"/>
    <col min="2" max="9" width="9.33203125" style="3"/>
    <col min="10" max="10" width="9.33203125" style="3" customWidth="1"/>
    <col min="11" max="11" width="22.83203125" style="3" customWidth="1"/>
    <col min="12" max="12" width="19.1640625" style="3" customWidth="1"/>
    <col min="13" max="16384" width="9.33203125" style="3"/>
  </cols>
  <sheetData>
    <row r="1" spans="1:14" ht="11.25" customHeight="1"/>
    <row r="2" spans="1:14" ht="11.25" customHeight="1">
      <c r="A2" s="864" t="s">
        <v>279</v>
      </c>
      <c r="B2" s="864"/>
      <c r="C2" s="864"/>
      <c r="D2" s="864"/>
      <c r="E2" s="864"/>
      <c r="F2" s="864"/>
      <c r="G2" s="864"/>
      <c r="H2" s="864"/>
      <c r="I2" s="864"/>
      <c r="J2" s="84"/>
    </row>
    <row r="3" spans="1:14" ht="6" customHeight="1">
      <c r="A3" s="84"/>
      <c r="B3" s="84"/>
      <c r="C3" s="84"/>
      <c r="D3" s="84"/>
      <c r="E3" s="84"/>
      <c r="F3" s="84"/>
      <c r="G3" s="84"/>
      <c r="H3" s="84"/>
      <c r="I3" s="84"/>
      <c r="J3" s="84"/>
      <c r="K3" s="667"/>
      <c r="L3" s="667"/>
    </row>
    <row r="4" spans="1:14" ht="11.25" customHeight="1">
      <c r="A4" s="870" t="s">
        <v>293</v>
      </c>
      <c r="B4" s="871" t="str">
        <f>+'1. Resumen'!Q4</f>
        <v>febrero</v>
      </c>
      <c r="C4" s="872"/>
      <c r="D4" s="872"/>
      <c r="E4" s="159"/>
      <c r="F4" s="159"/>
      <c r="G4" s="873" t="s">
        <v>294</v>
      </c>
      <c r="H4" s="873"/>
      <c r="I4" s="873"/>
      <c r="J4" s="159"/>
      <c r="K4" s="160"/>
      <c r="L4" s="668"/>
      <c r="M4" s="669">
        <v>2018</v>
      </c>
      <c r="N4" s="669">
        <v>2017</v>
      </c>
    </row>
    <row r="5" spans="1:14" ht="11.25" customHeight="1">
      <c r="A5" s="870"/>
      <c r="B5" s="180">
        <f>+'1. Resumen'!Q5</f>
        <v>2018</v>
      </c>
      <c r="C5" s="181">
        <f>+B5-1</f>
        <v>2017</v>
      </c>
      <c r="D5" s="181" t="s">
        <v>35</v>
      </c>
      <c r="E5" s="159"/>
      <c r="F5" s="159"/>
      <c r="G5" s="159"/>
      <c r="H5" s="159"/>
      <c r="I5" s="159"/>
      <c r="J5" s="159"/>
      <c r="K5" s="670"/>
      <c r="L5" s="675" t="s">
        <v>137</v>
      </c>
      <c r="M5" s="672"/>
      <c r="N5" s="672">
        <v>3.75</v>
      </c>
    </row>
    <row r="6" spans="1:14" ht="10.5" customHeight="1">
      <c r="A6" s="800" t="s">
        <v>286</v>
      </c>
      <c r="B6" s="801">
        <v>799.8</v>
      </c>
      <c r="C6" s="802">
        <v>295.10000000000002</v>
      </c>
      <c r="D6" s="803">
        <f>IF(C6=0,"",B6/C6-1)</f>
        <v>1.7102677058624192</v>
      </c>
      <c r="E6" s="159"/>
      <c r="F6" s="159"/>
      <c r="G6" s="159"/>
      <c r="H6" s="159"/>
      <c r="I6" s="159"/>
      <c r="J6" s="159"/>
      <c r="K6" s="673"/>
      <c r="L6" s="675" t="s">
        <v>134</v>
      </c>
      <c r="M6" s="672"/>
      <c r="N6" s="672">
        <v>13.55</v>
      </c>
    </row>
    <row r="7" spans="1:14" ht="10.5" customHeight="1">
      <c r="A7" s="804" t="s">
        <v>98</v>
      </c>
      <c r="B7" s="805">
        <v>554.16999999999996</v>
      </c>
      <c r="C7" s="805">
        <v>563.79</v>
      </c>
      <c r="D7" s="806">
        <f t="shared" ref="D7:D59" si="0">IF(C7=0,"",B7/C7-1)</f>
        <v>-1.7063090867166841E-2</v>
      </c>
      <c r="E7" s="159"/>
      <c r="F7" s="159"/>
      <c r="G7" s="159"/>
      <c r="H7" s="159"/>
      <c r="I7" s="159"/>
      <c r="J7" s="159"/>
      <c r="K7" s="160"/>
      <c r="L7" s="675" t="s">
        <v>135</v>
      </c>
      <c r="M7" s="672"/>
      <c r="N7" s="672">
        <v>7.31</v>
      </c>
    </row>
    <row r="8" spans="1:14" ht="10.5" customHeight="1">
      <c r="A8" s="800" t="s">
        <v>97</v>
      </c>
      <c r="B8" s="802">
        <v>475.94</v>
      </c>
      <c r="C8" s="802">
        <v>434.72</v>
      </c>
      <c r="D8" s="803">
        <f t="shared" si="0"/>
        <v>9.4819654030180223E-2</v>
      </c>
      <c r="E8" s="159"/>
      <c r="F8" s="159"/>
      <c r="G8" s="159"/>
      <c r="H8" s="159"/>
      <c r="I8" s="159"/>
      <c r="J8" s="159"/>
      <c r="K8" s="160"/>
      <c r="L8" s="675" t="s">
        <v>280</v>
      </c>
      <c r="M8" s="672"/>
      <c r="N8" s="672"/>
    </row>
    <row r="9" spans="1:14" ht="10.5" customHeight="1">
      <c r="A9" s="804" t="s">
        <v>281</v>
      </c>
      <c r="B9" s="805">
        <v>277.38</v>
      </c>
      <c r="C9" s="805">
        <v>227.04</v>
      </c>
      <c r="D9" s="806">
        <f t="shared" si="0"/>
        <v>0.22172304439746293</v>
      </c>
      <c r="E9" s="159"/>
      <c r="F9" s="159"/>
      <c r="G9" s="159"/>
      <c r="H9" s="159"/>
      <c r="I9" s="159"/>
      <c r="J9" s="159"/>
      <c r="K9" s="160"/>
      <c r="L9" s="675" t="s">
        <v>133</v>
      </c>
      <c r="M9" s="672"/>
      <c r="N9" s="672"/>
    </row>
    <row r="10" spans="1:14" ht="10.5" customHeight="1">
      <c r="A10" s="800" t="s">
        <v>99</v>
      </c>
      <c r="B10" s="802">
        <v>242.6</v>
      </c>
      <c r="C10" s="802">
        <v>218.25</v>
      </c>
      <c r="D10" s="803">
        <f t="shared" si="0"/>
        <v>0.11156930126002296</v>
      </c>
      <c r="E10" s="159"/>
      <c r="F10" s="159"/>
      <c r="G10" s="159"/>
      <c r="H10" s="159"/>
      <c r="I10" s="159"/>
      <c r="J10" s="159"/>
      <c r="K10" s="670"/>
      <c r="L10" s="675" t="s">
        <v>136</v>
      </c>
      <c r="M10" s="672"/>
      <c r="N10" s="672">
        <v>190.25</v>
      </c>
    </row>
    <row r="11" spans="1:14" ht="10.5" customHeight="1">
      <c r="A11" s="804" t="s">
        <v>287</v>
      </c>
      <c r="B11" s="805">
        <v>227.83</v>
      </c>
      <c r="C11" s="805">
        <v>217.35</v>
      </c>
      <c r="D11" s="806">
        <f t="shared" si="0"/>
        <v>4.8217161260639685E-2</v>
      </c>
      <c r="E11" s="159"/>
      <c r="F11" s="159"/>
      <c r="G11" s="159"/>
      <c r="H11" s="159"/>
      <c r="I11" s="159"/>
      <c r="J11" s="159"/>
      <c r="K11" s="673"/>
      <c r="L11" s="675" t="s">
        <v>129</v>
      </c>
      <c r="M11" s="672">
        <v>0.01</v>
      </c>
      <c r="N11" s="672">
        <v>0.14000000000000001</v>
      </c>
    </row>
    <row r="12" spans="1:14" ht="10.5" customHeight="1">
      <c r="A12" s="800" t="s">
        <v>96</v>
      </c>
      <c r="B12" s="802">
        <v>222.48</v>
      </c>
      <c r="C12" s="802">
        <v>589.23</v>
      </c>
      <c r="D12" s="803">
        <f t="shared" si="0"/>
        <v>-0.62242248358026586</v>
      </c>
      <c r="E12" s="159"/>
      <c r="F12" s="159"/>
      <c r="G12" s="159"/>
      <c r="H12" s="159"/>
      <c r="I12" s="159"/>
      <c r="J12" s="159"/>
      <c r="K12" s="673"/>
      <c r="L12" s="675" t="s">
        <v>290</v>
      </c>
      <c r="M12" s="672">
        <v>0.16</v>
      </c>
      <c r="N12" s="672">
        <v>0.92</v>
      </c>
    </row>
    <row r="13" spans="1:14" ht="10.5" customHeight="1">
      <c r="A13" s="804" t="s">
        <v>103</v>
      </c>
      <c r="B13" s="805">
        <v>143.58000000000001</v>
      </c>
      <c r="C13" s="805">
        <v>141.80000000000001</v>
      </c>
      <c r="D13" s="807">
        <f t="shared" si="0"/>
        <v>1.2552891396332866E-2</v>
      </c>
      <c r="E13" s="159"/>
      <c r="F13" s="159"/>
      <c r="G13" s="159"/>
      <c r="H13" s="159"/>
      <c r="I13" s="159"/>
      <c r="J13" s="159"/>
      <c r="K13" s="673"/>
      <c r="L13" s="672" t="s">
        <v>130</v>
      </c>
      <c r="M13" s="672">
        <v>0.26</v>
      </c>
      <c r="N13" s="672">
        <v>0</v>
      </c>
    </row>
    <row r="14" spans="1:14" ht="10.5" customHeight="1">
      <c r="A14" s="800" t="s">
        <v>102</v>
      </c>
      <c r="B14" s="802">
        <v>117.67</v>
      </c>
      <c r="C14" s="802">
        <v>103.15</v>
      </c>
      <c r="D14" s="803">
        <f t="shared" si="0"/>
        <v>0.14076587493940851</v>
      </c>
      <c r="E14" s="159"/>
      <c r="F14" s="159"/>
      <c r="G14" s="159"/>
      <c r="H14" s="159"/>
      <c r="I14" s="159"/>
      <c r="J14" s="159"/>
      <c r="K14" s="673"/>
      <c r="L14" s="675" t="s">
        <v>678</v>
      </c>
      <c r="M14" s="672">
        <v>0.57999999999999996</v>
      </c>
      <c r="N14" s="672"/>
    </row>
    <row r="15" spans="1:14" ht="10.5" customHeight="1">
      <c r="A15" s="804" t="s">
        <v>101</v>
      </c>
      <c r="B15" s="805">
        <v>110.38</v>
      </c>
      <c r="C15" s="805">
        <v>112.74</v>
      </c>
      <c r="D15" s="806">
        <f t="shared" si="0"/>
        <v>-2.0933120454142307E-2</v>
      </c>
      <c r="E15" s="159"/>
      <c r="F15" s="159"/>
      <c r="G15" s="159"/>
      <c r="H15" s="159"/>
      <c r="I15" s="159"/>
      <c r="J15" s="159"/>
      <c r="K15" s="673"/>
      <c r="L15" s="675" t="s">
        <v>131</v>
      </c>
      <c r="M15" s="672">
        <v>1.1399999999999999</v>
      </c>
      <c r="N15" s="672">
        <v>0.22</v>
      </c>
    </row>
    <row r="16" spans="1:14" ht="10.5" customHeight="1">
      <c r="A16" s="800" t="s">
        <v>100</v>
      </c>
      <c r="B16" s="802">
        <v>102.74</v>
      </c>
      <c r="C16" s="802">
        <v>85.95</v>
      </c>
      <c r="D16" s="803">
        <f t="shared" si="0"/>
        <v>0.19534613147178592</v>
      </c>
      <c r="E16" s="159"/>
      <c r="F16" s="159"/>
      <c r="G16" s="159"/>
      <c r="H16" s="159"/>
      <c r="I16" s="159"/>
      <c r="J16" s="159" t="s">
        <v>8</v>
      </c>
      <c r="K16" s="673"/>
      <c r="L16" s="676" t="s">
        <v>128</v>
      </c>
      <c r="M16" s="672">
        <v>1.22</v>
      </c>
      <c r="N16" s="672">
        <v>0.67</v>
      </c>
    </row>
    <row r="17" spans="1:14" ht="10.5" customHeight="1">
      <c r="A17" s="804" t="s">
        <v>104</v>
      </c>
      <c r="B17" s="805">
        <v>73.77</v>
      </c>
      <c r="C17" s="805">
        <v>74.400000000000006</v>
      </c>
      <c r="D17" s="806">
        <f t="shared" si="0"/>
        <v>-8.4677419354840522E-3</v>
      </c>
      <c r="E17" s="159"/>
      <c r="F17" s="159"/>
      <c r="G17" s="159"/>
      <c r="H17" s="159"/>
      <c r="I17" s="159"/>
      <c r="J17" s="159"/>
      <c r="K17" s="673"/>
      <c r="L17" s="672" t="s">
        <v>122</v>
      </c>
      <c r="M17" s="672">
        <v>1.93</v>
      </c>
      <c r="N17" s="672">
        <v>2.95</v>
      </c>
    </row>
    <row r="18" spans="1:14" ht="10.5" customHeight="1">
      <c r="A18" s="800" t="s">
        <v>284</v>
      </c>
      <c r="B18" s="802">
        <v>66.099999999999994</v>
      </c>
      <c r="C18" s="802">
        <v>143.9</v>
      </c>
      <c r="D18" s="803">
        <f t="shared" si="0"/>
        <v>-0.54065323141070198</v>
      </c>
      <c r="E18" s="159"/>
      <c r="F18" s="159"/>
      <c r="G18" s="159"/>
      <c r="H18" s="159"/>
      <c r="I18" s="159"/>
      <c r="J18" s="159"/>
      <c r="K18" s="677"/>
      <c r="L18" s="672" t="s">
        <v>126</v>
      </c>
      <c r="M18" s="672">
        <v>2.21</v>
      </c>
      <c r="N18" s="672">
        <v>2.14</v>
      </c>
    </row>
    <row r="19" spans="1:14" ht="10.5" customHeight="1">
      <c r="A19" s="804" t="s">
        <v>710</v>
      </c>
      <c r="B19" s="805">
        <v>60</v>
      </c>
      <c r="C19" s="805">
        <v>60.14</v>
      </c>
      <c r="D19" s="806">
        <f t="shared" si="0"/>
        <v>-2.327901563019652E-3</v>
      </c>
      <c r="E19" s="159"/>
      <c r="F19" s="159"/>
      <c r="G19" s="159"/>
      <c r="H19" s="159"/>
      <c r="I19" s="159"/>
      <c r="J19" s="159"/>
      <c r="K19" s="673"/>
      <c r="L19" s="672" t="s">
        <v>127</v>
      </c>
      <c r="M19" s="672">
        <v>2.29</v>
      </c>
      <c r="N19" s="672">
        <v>1.99</v>
      </c>
    </row>
    <row r="20" spans="1:14" ht="10.5" customHeight="1">
      <c r="A20" s="800" t="s">
        <v>115</v>
      </c>
      <c r="B20" s="802">
        <v>47.56</v>
      </c>
      <c r="C20" s="802">
        <v>2.09</v>
      </c>
      <c r="D20" s="803">
        <f t="shared" si="0"/>
        <v>21.755980861244023</v>
      </c>
      <c r="E20" s="159"/>
      <c r="F20" s="159"/>
      <c r="G20" s="159"/>
      <c r="H20" s="159"/>
      <c r="I20" s="159"/>
      <c r="J20" s="159"/>
      <c r="K20" s="673"/>
      <c r="L20" s="675" t="s">
        <v>125</v>
      </c>
      <c r="M20" s="672">
        <v>2.29</v>
      </c>
      <c r="N20" s="672">
        <v>1.7</v>
      </c>
    </row>
    <row r="21" spans="1:14" ht="10.5" customHeight="1">
      <c r="A21" s="804" t="s">
        <v>105</v>
      </c>
      <c r="B21" s="805">
        <v>40.14</v>
      </c>
      <c r="C21" s="805">
        <v>22.34</v>
      </c>
      <c r="D21" s="806">
        <f t="shared" si="0"/>
        <v>0.79677708146821846</v>
      </c>
      <c r="E21" s="159"/>
      <c r="F21" s="159"/>
      <c r="G21" s="159"/>
      <c r="H21" s="159"/>
      <c r="I21" s="159"/>
      <c r="J21" s="159"/>
      <c r="K21" s="673"/>
      <c r="L21" s="675" t="s">
        <v>289</v>
      </c>
      <c r="M21" s="672">
        <v>2.64</v>
      </c>
      <c r="N21" s="672">
        <v>2.2000000000000002</v>
      </c>
    </row>
    <row r="22" spans="1:14" ht="10.5" customHeight="1">
      <c r="A22" s="800" t="s">
        <v>107</v>
      </c>
      <c r="B22" s="802">
        <v>32.69</v>
      </c>
      <c r="C22" s="802"/>
      <c r="D22" s="803" t="str">
        <f t="shared" si="0"/>
        <v/>
      </c>
      <c r="E22" s="159"/>
      <c r="F22" s="159"/>
      <c r="G22" s="159"/>
      <c r="H22" s="159"/>
      <c r="I22" s="159"/>
      <c r="J22" s="159"/>
      <c r="K22" s="677"/>
      <c r="L22" s="678" t="s">
        <v>124</v>
      </c>
      <c r="M22" s="672">
        <v>2.87</v>
      </c>
      <c r="N22" s="672">
        <v>3.01</v>
      </c>
    </row>
    <row r="23" spans="1:14" ht="10.5" customHeight="1">
      <c r="A23" s="804" t="s">
        <v>109</v>
      </c>
      <c r="B23" s="805">
        <v>30.93</v>
      </c>
      <c r="C23" s="805"/>
      <c r="D23" s="806" t="str">
        <f t="shared" si="0"/>
        <v/>
      </c>
      <c r="E23" s="159"/>
      <c r="F23" s="159"/>
      <c r="G23" s="159"/>
      <c r="H23" s="159"/>
      <c r="I23" s="159"/>
      <c r="J23" s="159"/>
      <c r="K23" s="673"/>
      <c r="L23" s="675" t="s">
        <v>121</v>
      </c>
      <c r="M23" s="672">
        <v>3.39</v>
      </c>
      <c r="N23" s="672">
        <v>3.41</v>
      </c>
    </row>
    <row r="24" spans="1:14" ht="10.5" customHeight="1">
      <c r="A24" s="800" t="s">
        <v>108</v>
      </c>
      <c r="B24" s="802">
        <v>26.6</v>
      </c>
      <c r="C24" s="802">
        <v>32.82</v>
      </c>
      <c r="D24" s="803">
        <f t="shared" si="0"/>
        <v>-0.18951858622790974</v>
      </c>
      <c r="E24" s="159"/>
      <c r="F24" s="159"/>
      <c r="G24" s="159"/>
      <c r="H24" s="159"/>
      <c r="I24" s="159"/>
      <c r="J24" s="159"/>
      <c r="K24" s="673"/>
      <c r="L24" s="675" t="s">
        <v>120</v>
      </c>
      <c r="M24" s="672">
        <v>3.55</v>
      </c>
      <c r="N24" s="672">
        <v>3.61</v>
      </c>
    </row>
    <row r="25" spans="1:14" ht="10.5" customHeight="1">
      <c r="A25" s="804" t="s">
        <v>283</v>
      </c>
      <c r="B25" s="805">
        <v>24.3</v>
      </c>
      <c r="C25" s="805">
        <v>24.83</v>
      </c>
      <c r="D25" s="806">
        <f t="shared" si="0"/>
        <v>-2.134514699959722E-2</v>
      </c>
      <c r="E25" s="159"/>
      <c r="F25" s="159"/>
      <c r="G25" s="159"/>
      <c r="H25" s="159"/>
      <c r="I25" s="159"/>
      <c r="J25" s="159"/>
      <c r="K25" s="673"/>
      <c r="L25" s="675" t="s">
        <v>117</v>
      </c>
      <c r="M25" s="672">
        <v>3.92</v>
      </c>
      <c r="N25" s="672">
        <v>3.95</v>
      </c>
    </row>
    <row r="26" spans="1:14" ht="10.5" customHeight="1">
      <c r="A26" s="800" t="s">
        <v>291</v>
      </c>
      <c r="B26" s="802">
        <v>23.17</v>
      </c>
      <c r="C26" s="802">
        <v>94.85</v>
      </c>
      <c r="D26" s="803">
        <f t="shared" si="0"/>
        <v>-0.75571955719557193</v>
      </c>
      <c r="E26" s="159"/>
      <c r="F26" s="159"/>
      <c r="G26" s="159"/>
      <c r="H26" s="159"/>
      <c r="I26" s="159"/>
      <c r="J26" s="159"/>
      <c r="K26" s="673"/>
      <c r="L26" s="675" t="s">
        <v>119</v>
      </c>
      <c r="M26" s="672">
        <v>4.3099999999999996</v>
      </c>
      <c r="N26" s="672">
        <v>4.26</v>
      </c>
    </row>
    <row r="27" spans="1:14" ht="10.5" customHeight="1">
      <c r="A27" s="804" t="s">
        <v>106</v>
      </c>
      <c r="B27" s="805">
        <v>22.93</v>
      </c>
      <c r="C27" s="805">
        <v>12.37</v>
      </c>
      <c r="D27" s="806">
        <f t="shared" si="0"/>
        <v>0.85367825383993545</v>
      </c>
      <c r="E27" s="159"/>
      <c r="F27" s="159"/>
      <c r="G27" s="159"/>
      <c r="H27" s="159"/>
      <c r="I27" s="159"/>
      <c r="J27" s="159"/>
      <c r="K27" s="673"/>
      <c r="L27" s="675" t="s">
        <v>118</v>
      </c>
      <c r="M27" s="672">
        <v>4.6500000000000004</v>
      </c>
      <c r="N27" s="672">
        <v>4.22</v>
      </c>
    </row>
    <row r="28" spans="1:14" ht="10.5" customHeight="1">
      <c r="A28" s="808" t="s">
        <v>282</v>
      </c>
      <c r="B28" s="802">
        <v>22.9</v>
      </c>
      <c r="C28" s="802">
        <v>36.36</v>
      </c>
      <c r="D28" s="803">
        <f t="shared" si="0"/>
        <v>-0.37018701870187021</v>
      </c>
      <c r="E28" s="159"/>
      <c r="F28" s="159"/>
      <c r="G28" s="159"/>
      <c r="H28" s="159"/>
      <c r="I28" s="159"/>
      <c r="J28" s="159"/>
      <c r="K28" s="673"/>
      <c r="L28" s="672" t="s">
        <v>123</v>
      </c>
      <c r="M28" s="672">
        <v>5.0999999999999996</v>
      </c>
      <c r="N28" s="672">
        <v>16.37</v>
      </c>
    </row>
    <row r="29" spans="1:14" ht="10.5" customHeight="1">
      <c r="A29" s="809" t="s">
        <v>292</v>
      </c>
      <c r="B29" s="805">
        <v>19.7</v>
      </c>
      <c r="C29" s="805">
        <v>18.55</v>
      </c>
      <c r="D29" s="806">
        <f t="shared" si="0"/>
        <v>6.1994609164420345E-2</v>
      </c>
      <c r="E29" s="159"/>
      <c r="F29" s="159"/>
      <c r="G29" s="159"/>
      <c r="H29" s="159"/>
      <c r="I29" s="159"/>
      <c r="J29" s="159"/>
      <c r="K29" s="673"/>
      <c r="L29" s="672" t="s">
        <v>116</v>
      </c>
      <c r="M29" s="672">
        <v>6.63</v>
      </c>
      <c r="N29" s="672">
        <v>5.71</v>
      </c>
    </row>
    <row r="30" spans="1:14" ht="10.5" customHeight="1">
      <c r="A30" s="810" t="s">
        <v>111</v>
      </c>
      <c r="B30" s="802">
        <v>18.170000000000002</v>
      </c>
      <c r="C30" s="802">
        <v>16.579999999999998</v>
      </c>
      <c r="D30" s="803">
        <f t="shared" si="0"/>
        <v>9.589867310012079E-2</v>
      </c>
      <c r="E30" s="159"/>
      <c r="F30" s="159"/>
      <c r="G30" s="159"/>
      <c r="H30" s="159"/>
      <c r="I30" s="159"/>
      <c r="J30" s="159"/>
      <c r="K30" s="673"/>
      <c r="L30" s="672" t="s">
        <v>288</v>
      </c>
      <c r="M30" s="672">
        <v>8.61</v>
      </c>
      <c r="N30" s="672">
        <v>10.99</v>
      </c>
    </row>
    <row r="31" spans="1:14" ht="10.5" customHeight="1">
      <c r="A31" s="809" t="s">
        <v>110</v>
      </c>
      <c r="B31" s="805">
        <v>16.72</v>
      </c>
      <c r="C31" s="805">
        <v>15.62</v>
      </c>
      <c r="D31" s="806">
        <f t="shared" si="0"/>
        <v>7.0422535211267512E-2</v>
      </c>
      <c r="E31" s="159"/>
      <c r="F31" s="159"/>
      <c r="G31" s="159"/>
      <c r="H31" s="159"/>
      <c r="I31" s="159"/>
      <c r="J31" s="159"/>
      <c r="K31" s="673"/>
      <c r="L31" s="674" t="s">
        <v>114</v>
      </c>
      <c r="M31" s="672">
        <v>11.77</v>
      </c>
      <c r="N31" s="672">
        <v>11.65</v>
      </c>
    </row>
    <row r="32" spans="1:14" ht="10.5" customHeight="1">
      <c r="A32" s="810" t="s">
        <v>112</v>
      </c>
      <c r="B32" s="802">
        <v>13.03</v>
      </c>
      <c r="C32" s="802">
        <v>12.76</v>
      </c>
      <c r="D32" s="803">
        <f t="shared" si="0"/>
        <v>2.1159874608150497E-2</v>
      </c>
      <c r="E32" s="159"/>
      <c r="F32" s="159"/>
      <c r="G32" s="159"/>
      <c r="H32" s="159"/>
      <c r="I32" s="159"/>
      <c r="J32" s="159"/>
      <c r="K32" s="673"/>
      <c r="L32" s="672" t="s">
        <v>132</v>
      </c>
      <c r="M32" s="672">
        <v>11.85</v>
      </c>
      <c r="N32" s="672"/>
    </row>
    <row r="33" spans="1:14" ht="10.5" customHeight="1">
      <c r="A33" s="809" t="s">
        <v>113</v>
      </c>
      <c r="B33" s="805">
        <v>12.55</v>
      </c>
      <c r="C33" s="805"/>
      <c r="D33" s="806" t="str">
        <f t="shared" si="0"/>
        <v/>
      </c>
      <c r="E33" s="159"/>
      <c r="F33" s="159"/>
      <c r="G33" s="159"/>
      <c r="H33" s="159"/>
      <c r="I33" s="159"/>
      <c r="J33" s="159"/>
      <c r="K33" s="673"/>
      <c r="L33" s="675" t="s">
        <v>285</v>
      </c>
      <c r="M33" s="672">
        <v>12.35</v>
      </c>
      <c r="N33" s="672"/>
    </row>
    <row r="34" spans="1:14" ht="10.5" customHeight="1">
      <c r="A34" s="810" t="s">
        <v>285</v>
      </c>
      <c r="B34" s="802">
        <v>12.35</v>
      </c>
      <c r="C34" s="802"/>
      <c r="D34" s="803" t="str">
        <f>IF(C34=0,"",B34/C34-1)</f>
        <v/>
      </c>
      <c r="E34" s="159"/>
      <c r="F34" s="159"/>
      <c r="G34" s="159"/>
      <c r="H34" s="159"/>
      <c r="I34" s="159"/>
      <c r="J34" s="159"/>
      <c r="K34" s="679"/>
      <c r="L34" s="672" t="s">
        <v>113</v>
      </c>
      <c r="M34" s="672">
        <v>12.55</v>
      </c>
      <c r="N34" s="672"/>
    </row>
    <row r="35" spans="1:14" ht="10.5" customHeight="1">
      <c r="A35" s="809" t="s">
        <v>132</v>
      </c>
      <c r="B35" s="805">
        <v>11.85</v>
      </c>
      <c r="C35" s="805"/>
      <c r="D35" s="806"/>
      <c r="E35" s="159"/>
      <c r="F35" s="159"/>
      <c r="G35" s="159"/>
      <c r="H35" s="159"/>
      <c r="I35" s="159"/>
      <c r="J35" s="159"/>
      <c r="K35" s="679"/>
      <c r="L35" s="672" t="s">
        <v>112</v>
      </c>
      <c r="M35" s="672">
        <v>13.03</v>
      </c>
      <c r="N35" s="672">
        <v>12.76</v>
      </c>
    </row>
    <row r="36" spans="1:14" ht="10.5" customHeight="1">
      <c r="A36" s="810" t="s">
        <v>114</v>
      </c>
      <c r="B36" s="802">
        <v>11.77</v>
      </c>
      <c r="C36" s="802">
        <v>11.65</v>
      </c>
      <c r="D36" s="803">
        <f t="shared" si="0"/>
        <v>1.0300429184549209E-2</v>
      </c>
      <c r="E36" s="159"/>
      <c r="F36" s="159"/>
      <c r="G36" s="159"/>
      <c r="H36" s="159"/>
      <c r="I36" s="159"/>
      <c r="J36" s="159"/>
      <c r="K36" s="677"/>
      <c r="L36" s="675" t="s">
        <v>110</v>
      </c>
      <c r="M36" s="672">
        <v>16.72</v>
      </c>
      <c r="N36" s="672">
        <v>15.62</v>
      </c>
    </row>
    <row r="37" spans="1:14" ht="10.5" customHeight="1">
      <c r="A37" s="809" t="s">
        <v>288</v>
      </c>
      <c r="B37" s="805">
        <v>8.61</v>
      </c>
      <c r="C37" s="805">
        <v>10.99</v>
      </c>
      <c r="D37" s="806">
        <f t="shared" si="0"/>
        <v>-0.21656050955414019</v>
      </c>
      <c r="E37" s="159"/>
      <c r="F37" s="159"/>
      <c r="G37" s="159"/>
      <c r="H37" s="159"/>
      <c r="I37" s="159"/>
      <c r="J37" s="159"/>
      <c r="K37" s="677"/>
      <c r="L37" s="675" t="s">
        <v>111</v>
      </c>
      <c r="M37" s="672">
        <v>18.170000000000002</v>
      </c>
      <c r="N37" s="672">
        <v>16.579999999999998</v>
      </c>
    </row>
    <row r="38" spans="1:14" ht="10.5" customHeight="1">
      <c r="A38" s="810" t="s">
        <v>116</v>
      </c>
      <c r="B38" s="802">
        <v>6.63</v>
      </c>
      <c r="C38" s="802">
        <v>5.71</v>
      </c>
      <c r="D38" s="803">
        <f t="shared" si="0"/>
        <v>0.16112084063047294</v>
      </c>
      <c r="E38" s="159"/>
      <c r="F38" s="159"/>
      <c r="G38" s="159"/>
      <c r="H38" s="159"/>
      <c r="I38" s="159"/>
      <c r="J38" s="159"/>
      <c r="K38" s="677"/>
      <c r="L38" s="675" t="s">
        <v>292</v>
      </c>
      <c r="M38" s="672">
        <v>19.7</v>
      </c>
      <c r="N38" s="672">
        <v>18.55</v>
      </c>
    </row>
    <row r="39" spans="1:14" ht="10.5" customHeight="1">
      <c r="A39" s="809" t="s">
        <v>123</v>
      </c>
      <c r="B39" s="805">
        <v>5.0999999999999996</v>
      </c>
      <c r="C39" s="805">
        <v>16.37</v>
      </c>
      <c r="D39" s="806">
        <f t="shared" si="0"/>
        <v>-0.68845448992058644</v>
      </c>
      <c r="E39" s="159"/>
      <c r="F39" s="159"/>
      <c r="G39" s="159"/>
      <c r="H39" s="159"/>
      <c r="I39" s="159"/>
      <c r="J39" s="159"/>
      <c r="K39" s="679"/>
      <c r="L39" s="672" t="s">
        <v>282</v>
      </c>
      <c r="M39" s="672">
        <v>22.9</v>
      </c>
      <c r="N39" s="672">
        <v>36.36</v>
      </c>
    </row>
    <row r="40" spans="1:14" ht="10.5" customHeight="1">
      <c r="A40" s="810" t="s">
        <v>118</v>
      </c>
      <c r="B40" s="802">
        <v>4.6500000000000004</v>
      </c>
      <c r="C40" s="802">
        <v>4.22</v>
      </c>
      <c r="D40" s="803">
        <f t="shared" si="0"/>
        <v>0.10189573459715651</v>
      </c>
      <c r="E40" s="159"/>
      <c r="F40" s="159"/>
      <c r="G40" s="159"/>
      <c r="H40" s="159"/>
      <c r="I40" s="159"/>
      <c r="J40" s="159"/>
      <c r="K40" s="679"/>
      <c r="L40" s="678" t="s">
        <v>106</v>
      </c>
      <c r="M40" s="672">
        <v>22.93</v>
      </c>
      <c r="N40" s="672">
        <v>12.37</v>
      </c>
    </row>
    <row r="41" spans="1:14" ht="10.5" customHeight="1">
      <c r="A41" s="809" t="s">
        <v>119</v>
      </c>
      <c r="B41" s="805">
        <v>4.3099999999999996</v>
      </c>
      <c r="C41" s="805">
        <v>4.26</v>
      </c>
      <c r="D41" s="806">
        <f t="shared" si="0"/>
        <v>1.1737089201877993E-2</v>
      </c>
      <c r="E41" s="159"/>
      <c r="F41" s="159"/>
      <c r="G41" s="159"/>
      <c r="H41" s="159"/>
      <c r="I41" s="159"/>
      <c r="J41" s="159"/>
      <c r="K41" s="679"/>
      <c r="L41" s="672" t="s">
        <v>291</v>
      </c>
      <c r="M41" s="672">
        <v>23.17</v>
      </c>
      <c r="N41" s="672">
        <v>94.85</v>
      </c>
    </row>
    <row r="42" spans="1:14" ht="10.5" customHeight="1">
      <c r="A42" s="810" t="s">
        <v>117</v>
      </c>
      <c r="B42" s="802">
        <v>3.92</v>
      </c>
      <c r="C42" s="802">
        <v>3.95</v>
      </c>
      <c r="D42" s="803">
        <f t="shared" si="0"/>
        <v>-7.5949367088608E-3</v>
      </c>
      <c r="E42" s="159"/>
      <c r="F42" s="159"/>
      <c r="G42" s="159"/>
      <c r="H42" s="159"/>
      <c r="I42" s="159"/>
      <c r="J42" s="159"/>
      <c r="K42" s="160"/>
      <c r="L42" s="675" t="s">
        <v>283</v>
      </c>
      <c r="M42" s="672">
        <v>24.3</v>
      </c>
      <c r="N42" s="672">
        <v>24.83</v>
      </c>
    </row>
    <row r="43" spans="1:14" ht="10.5" customHeight="1">
      <c r="A43" s="809" t="s">
        <v>120</v>
      </c>
      <c r="B43" s="805">
        <v>3.55</v>
      </c>
      <c r="C43" s="805">
        <v>3.61</v>
      </c>
      <c r="D43" s="806">
        <f t="shared" si="0"/>
        <v>-1.6620498614958512E-2</v>
      </c>
      <c r="E43" s="159"/>
      <c r="F43" s="159"/>
      <c r="G43" s="159"/>
      <c r="H43" s="159"/>
      <c r="I43" s="159"/>
      <c r="J43" s="159"/>
      <c r="L43" s="672" t="s">
        <v>108</v>
      </c>
      <c r="M43" s="672">
        <v>26.6</v>
      </c>
      <c r="N43" s="672">
        <v>32.82</v>
      </c>
    </row>
    <row r="44" spans="1:14" ht="10.5" customHeight="1">
      <c r="A44" s="810" t="s">
        <v>121</v>
      </c>
      <c r="B44" s="802">
        <v>3.39</v>
      </c>
      <c r="C44" s="802">
        <v>3.41</v>
      </c>
      <c r="D44" s="803">
        <f t="shared" si="0"/>
        <v>-5.8651026392961825E-3</v>
      </c>
      <c r="E44" s="159"/>
      <c r="F44" s="159"/>
      <c r="G44" s="159"/>
      <c r="H44" s="159"/>
      <c r="I44" s="159"/>
      <c r="J44" s="159"/>
      <c r="L44" s="672" t="s">
        <v>109</v>
      </c>
      <c r="M44" s="672">
        <v>30.93</v>
      </c>
      <c r="N44" s="672"/>
    </row>
    <row r="45" spans="1:14" ht="10.5" customHeight="1">
      <c r="A45" s="809" t="s">
        <v>124</v>
      </c>
      <c r="B45" s="805">
        <v>2.87</v>
      </c>
      <c r="C45" s="805">
        <v>3.01</v>
      </c>
      <c r="D45" s="806"/>
      <c r="E45" s="159"/>
      <c r="F45" s="159"/>
      <c r="G45" s="159"/>
      <c r="H45" s="159"/>
      <c r="I45" s="159"/>
      <c r="J45" s="159"/>
      <c r="L45" s="674" t="s">
        <v>107</v>
      </c>
      <c r="M45" s="672">
        <v>32.69</v>
      </c>
      <c r="N45" s="672"/>
    </row>
    <row r="46" spans="1:14" ht="10.5" customHeight="1">
      <c r="A46" s="810" t="s">
        <v>289</v>
      </c>
      <c r="B46" s="802">
        <v>2.64</v>
      </c>
      <c r="C46" s="802">
        <v>2.2000000000000002</v>
      </c>
      <c r="D46" s="803">
        <f t="shared" si="0"/>
        <v>0.19999999999999996</v>
      </c>
      <c r="E46" s="159"/>
      <c r="F46" s="159"/>
      <c r="G46" s="159"/>
      <c r="H46" s="159"/>
      <c r="I46" s="159"/>
      <c r="J46" s="159"/>
      <c r="L46" s="672" t="s">
        <v>105</v>
      </c>
      <c r="M46" s="672">
        <v>40.14</v>
      </c>
      <c r="N46" s="672">
        <v>22.34</v>
      </c>
    </row>
    <row r="47" spans="1:14" ht="10.5" customHeight="1">
      <c r="A47" s="809" t="s">
        <v>125</v>
      </c>
      <c r="B47" s="805">
        <v>2.29</v>
      </c>
      <c r="C47" s="805">
        <v>1.7</v>
      </c>
      <c r="D47" s="806">
        <f t="shared" si="0"/>
        <v>0.34705882352941186</v>
      </c>
      <c r="E47" s="159"/>
      <c r="F47" s="159"/>
      <c r="G47" s="159"/>
      <c r="H47" s="159"/>
      <c r="I47" s="159"/>
      <c r="J47" s="159"/>
      <c r="L47" s="675" t="s">
        <v>115</v>
      </c>
      <c r="M47" s="672">
        <v>47.56</v>
      </c>
      <c r="N47" s="672">
        <v>2.09</v>
      </c>
    </row>
    <row r="48" spans="1:14" ht="10.5" customHeight="1">
      <c r="A48" s="810" t="s">
        <v>127</v>
      </c>
      <c r="B48" s="802">
        <v>2.29</v>
      </c>
      <c r="C48" s="802">
        <v>1.99</v>
      </c>
      <c r="D48" s="803">
        <f t="shared" si="0"/>
        <v>0.15075376884422109</v>
      </c>
      <c r="E48" s="159"/>
      <c r="F48" s="159"/>
      <c r="G48" s="159"/>
      <c r="H48" s="159"/>
      <c r="I48" s="159"/>
      <c r="J48" s="159"/>
      <c r="L48" s="675" t="s">
        <v>710</v>
      </c>
      <c r="M48" s="672">
        <v>60</v>
      </c>
      <c r="N48" s="672">
        <v>60.14</v>
      </c>
    </row>
    <row r="49" spans="1:14" ht="10.5" customHeight="1">
      <c r="A49" s="809" t="s">
        <v>126</v>
      </c>
      <c r="B49" s="805">
        <v>2.21</v>
      </c>
      <c r="C49" s="805">
        <v>2.14</v>
      </c>
      <c r="D49" s="806">
        <f t="shared" si="0"/>
        <v>3.2710280373831724E-2</v>
      </c>
      <c r="E49" s="159"/>
      <c r="F49" s="159"/>
      <c r="G49" s="159"/>
      <c r="H49" s="159"/>
      <c r="I49" s="159"/>
      <c r="J49" s="159"/>
      <c r="L49" s="675" t="s">
        <v>284</v>
      </c>
      <c r="M49" s="672">
        <v>66.099999999999994</v>
      </c>
      <c r="N49" s="672">
        <v>143.9</v>
      </c>
    </row>
    <row r="50" spans="1:14" ht="10.5" customHeight="1">
      <c r="A50" s="810" t="s">
        <v>122</v>
      </c>
      <c r="B50" s="802">
        <v>1.93</v>
      </c>
      <c r="C50" s="802">
        <v>2.95</v>
      </c>
      <c r="D50" s="803">
        <f t="shared" si="0"/>
        <v>-0.34576271186440688</v>
      </c>
      <c r="E50" s="159"/>
      <c r="F50" s="159"/>
      <c r="G50" s="159"/>
      <c r="H50" s="159"/>
      <c r="I50" s="159"/>
      <c r="J50" s="159"/>
      <c r="L50" s="675" t="s">
        <v>104</v>
      </c>
      <c r="M50" s="672">
        <v>73.77</v>
      </c>
      <c r="N50" s="672">
        <v>74.400000000000006</v>
      </c>
    </row>
    <row r="51" spans="1:14" ht="10.5" customHeight="1">
      <c r="A51" s="809" t="s">
        <v>128</v>
      </c>
      <c r="B51" s="805">
        <v>1.22</v>
      </c>
      <c r="C51" s="805">
        <v>0.67</v>
      </c>
      <c r="D51" s="806">
        <f t="shared" si="0"/>
        <v>0.82089552238805963</v>
      </c>
      <c r="E51" s="159"/>
      <c r="F51" s="159"/>
      <c r="G51" s="159"/>
      <c r="H51" s="159"/>
      <c r="I51" s="159"/>
      <c r="J51" s="159"/>
      <c r="L51" s="675" t="s">
        <v>100</v>
      </c>
      <c r="M51" s="672">
        <v>102.74</v>
      </c>
      <c r="N51" s="672">
        <v>85.95</v>
      </c>
    </row>
    <row r="52" spans="1:14" ht="10.5" customHeight="1">
      <c r="A52" s="810" t="s">
        <v>131</v>
      </c>
      <c r="B52" s="802">
        <v>1.1399999999999999</v>
      </c>
      <c r="C52" s="802">
        <v>0.22</v>
      </c>
      <c r="D52" s="803">
        <f t="shared" si="0"/>
        <v>4.1818181818181817</v>
      </c>
      <c r="E52" s="159"/>
      <c r="F52" s="159"/>
      <c r="G52" s="159"/>
      <c r="H52" s="159"/>
      <c r="I52" s="159"/>
      <c r="J52" s="159"/>
      <c r="L52" s="675" t="s">
        <v>101</v>
      </c>
      <c r="M52" s="672">
        <v>110.38</v>
      </c>
      <c r="N52" s="672">
        <v>112.74</v>
      </c>
    </row>
    <row r="53" spans="1:14" ht="10.5" customHeight="1">
      <c r="A53" s="809" t="s">
        <v>678</v>
      </c>
      <c r="B53" s="805">
        <v>0.57999999999999996</v>
      </c>
      <c r="C53" s="805"/>
      <c r="D53" s="806" t="str">
        <f t="shared" si="0"/>
        <v/>
      </c>
      <c r="E53" s="159"/>
      <c r="F53" s="159"/>
      <c r="G53" s="159"/>
      <c r="H53" s="159"/>
      <c r="I53" s="159"/>
      <c r="J53" s="159"/>
      <c r="L53" s="672" t="s">
        <v>102</v>
      </c>
      <c r="M53" s="672">
        <v>117.67</v>
      </c>
      <c r="N53" s="672">
        <v>103.15</v>
      </c>
    </row>
    <row r="54" spans="1:14" ht="10.5" customHeight="1">
      <c r="A54" s="810" t="s">
        <v>130</v>
      </c>
      <c r="B54" s="802">
        <v>0.26</v>
      </c>
      <c r="C54" s="802">
        <v>0</v>
      </c>
      <c r="D54" s="803" t="str">
        <f t="shared" si="0"/>
        <v/>
      </c>
      <c r="E54" s="159"/>
      <c r="F54" s="159"/>
      <c r="G54" s="159"/>
      <c r="H54" s="159"/>
      <c r="I54" s="159"/>
      <c r="J54" s="159"/>
      <c r="L54" s="672" t="s">
        <v>103</v>
      </c>
      <c r="M54" s="672">
        <v>143.58000000000001</v>
      </c>
      <c r="N54" s="672">
        <v>141.80000000000001</v>
      </c>
    </row>
    <row r="55" spans="1:14" ht="10.5" customHeight="1">
      <c r="A55" s="809" t="s">
        <v>290</v>
      </c>
      <c r="B55" s="805">
        <v>0.16</v>
      </c>
      <c r="C55" s="805">
        <v>0.92</v>
      </c>
      <c r="D55" s="806">
        <f t="shared" si="0"/>
        <v>-0.82608695652173914</v>
      </c>
      <c r="E55" s="159"/>
      <c r="F55" s="159"/>
      <c r="G55" s="159"/>
      <c r="H55" s="159"/>
      <c r="I55" s="159"/>
      <c r="J55" s="159"/>
      <c r="L55" s="675" t="s">
        <v>96</v>
      </c>
      <c r="M55" s="672">
        <v>222.48</v>
      </c>
      <c r="N55" s="672">
        <v>589.23</v>
      </c>
    </row>
    <row r="56" spans="1:14" ht="10.5" customHeight="1">
      <c r="A56" s="810" t="s">
        <v>129</v>
      </c>
      <c r="B56" s="802">
        <v>0.01</v>
      </c>
      <c r="C56" s="802">
        <v>0.14000000000000001</v>
      </c>
      <c r="D56" s="803">
        <f>IF(C56=0,"",B56/C56-1)</f>
        <v>-0.9285714285714286</v>
      </c>
      <c r="E56" s="159"/>
      <c r="F56" s="159"/>
      <c r="G56" s="159"/>
      <c r="H56" s="159"/>
      <c r="I56" s="159"/>
      <c r="J56" s="159"/>
      <c r="L56" s="671" t="s">
        <v>287</v>
      </c>
      <c r="M56" s="672">
        <v>227.83</v>
      </c>
      <c r="N56" s="672">
        <v>217.35</v>
      </c>
    </row>
    <row r="57" spans="1:14" ht="10.5" customHeight="1">
      <c r="A57" s="809" t="s">
        <v>136</v>
      </c>
      <c r="B57" s="805"/>
      <c r="C57" s="805">
        <v>190.25</v>
      </c>
      <c r="D57" s="806">
        <f t="shared" si="0"/>
        <v>-1</v>
      </c>
      <c r="E57" s="159"/>
      <c r="F57" s="159"/>
      <c r="G57" s="159"/>
      <c r="H57" s="159"/>
      <c r="I57" s="159"/>
      <c r="J57" s="159"/>
      <c r="L57" s="672" t="s">
        <v>99</v>
      </c>
      <c r="M57" s="672">
        <v>242.6</v>
      </c>
      <c r="N57" s="672">
        <v>218.25</v>
      </c>
    </row>
    <row r="58" spans="1:14" ht="10.5" customHeight="1">
      <c r="A58" s="810" t="s">
        <v>133</v>
      </c>
      <c r="B58" s="802"/>
      <c r="C58" s="802"/>
      <c r="D58" s="803" t="str">
        <f t="shared" si="0"/>
        <v/>
      </c>
      <c r="E58" s="159"/>
      <c r="F58" s="159"/>
      <c r="G58" s="159"/>
      <c r="H58" s="159"/>
      <c r="I58" s="159"/>
      <c r="J58" s="159"/>
      <c r="L58" s="675" t="s">
        <v>281</v>
      </c>
      <c r="M58" s="672">
        <v>277.38</v>
      </c>
      <c r="N58" s="672">
        <v>227.04</v>
      </c>
    </row>
    <row r="59" spans="1:14" ht="10.5" customHeight="1">
      <c r="A59" s="809" t="s">
        <v>280</v>
      </c>
      <c r="B59" s="805"/>
      <c r="C59" s="805"/>
      <c r="D59" s="806" t="str">
        <f t="shared" si="0"/>
        <v/>
      </c>
      <c r="E59" s="159"/>
      <c r="F59" s="159"/>
      <c r="G59" s="159"/>
      <c r="H59" s="159"/>
      <c r="I59" s="159"/>
      <c r="J59" s="159"/>
      <c r="L59" s="675" t="s">
        <v>97</v>
      </c>
      <c r="M59" s="672">
        <v>475.94</v>
      </c>
      <c r="N59" s="672">
        <v>434.72</v>
      </c>
    </row>
    <row r="60" spans="1:14" ht="10.5" customHeight="1">
      <c r="A60" s="810" t="s">
        <v>135</v>
      </c>
      <c r="B60" s="811"/>
      <c r="C60" s="811">
        <v>7.31</v>
      </c>
      <c r="D60" s="812">
        <f>IF(C60=0,"",B60/C60-1)</f>
        <v>-1</v>
      </c>
      <c r="E60" s="159"/>
      <c r="F60" s="159"/>
      <c r="G60" s="159"/>
      <c r="H60" s="159"/>
      <c r="I60" s="159"/>
      <c r="J60" s="159"/>
      <c r="L60" s="675" t="s">
        <v>98</v>
      </c>
      <c r="M60" s="672">
        <v>554.16999999999996</v>
      </c>
      <c r="N60" s="672">
        <v>563.79</v>
      </c>
    </row>
    <row r="61" spans="1:14" ht="10.5" customHeight="1">
      <c r="A61" s="813" t="s">
        <v>134</v>
      </c>
      <c r="B61" s="805"/>
      <c r="C61" s="805">
        <v>13.55</v>
      </c>
      <c r="D61" s="806">
        <f>IF(C61=0,"",B61/C61-1)</f>
        <v>-1</v>
      </c>
      <c r="E61" s="159"/>
      <c r="F61" s="159"/>
      <c r="G61" s="159"/>
      <c r="H61" s="159"/>
      <c r="I61" s="159"/>
      <c r="J61" s="159"/>
      <c r="L61" s="675" t="s">
        <v>286</v>
      </c>
      <c r="M61" s="672">
        <v>799.8</v>
      </c>
      <c r="N61" s="672">
        <v>295.10000000000002</v>
      </c>
    </row>
    <row r="62" spans="1:14" ht="10.5" customHeight="1">
      <c r="A62" s="810" t="s">
        <v>137</v>
      </c>
      <c r="B62" s="811"/>
      <c r="C62" s="811">
        <v>3.75</v>
      </c>
      <c r="D62" s="812">
        <f>IF(C62=0,"",B62/C62-1)</f>
        <v>-1</v>
      </c>
      <c r="E62" s="159"/>
      <c r="F62" s="159"/>
      <c r="G62" s="159"/>
      <c r="H62" s="159"/>
      <c r="I62" s="159"/>
      <c r="J62" s="159"/>
      <c r="L62" s="675"/>
      <c r="M62" s="672"/>
      <c r="N62" s="672"/>
    </row>
    <row r="63" spans="1:14" ht="12" customHeight="1">
      <c r="A63" s="771" t="s">
        <v>44</v>
      </c>
      <c r="B63" s="772">
        <f>SUM(B6:B62)</f>
        <v>3919.559999999999</v>
      </c>
      <c r="C63" s="772">
        <f>SUM(C6:C62)</f>
        <v>3851.6999999999994</v>
      </c>
      <c r="D63" s="773">
        <f>+B63/C63-1</f>
        <v>1.7618194563439493E-2</v>
      </c>
      <c r="E63" s="159"/>
      <c r="F63" s="159"/>
      <c r="G63" s="159"/>
      <c r="H63" s="159"/>
      <c r="I63" s="159"/>
      <c r="J63" s="159"/>
    </row>
    <row r="64" spans="1:14" ht="36" customHeight="1">
      <c r="A64" s="875" t="str">
        <f>"Cuadro N° 6: Participación de las empresas generadoras del COES en la producción de energía eléctrica (GWh) en "&amp;'1. Resumen'!Q4</f>
        <v>Cuadro N° 6: Participación de las empresas generadoras del COES en la producción de energía eléctrica (GWh) en febrero</v>
      </c>
      <c r="B64" s="875"/>
      <c r="C64" s="875"/>
      <c r="D64" s="183"/>
      <c r="E64" s="874" t="str">
        <f>"Gráfico N° 10: Comparación de producción energética (GWh) de las empresas generadoras del COES en "&amp;'1. Resumen'!Q4</f>
        <v>Gráfico N° 10: Comparación de producción energética (GWh) de las empresas generadoras del COES en febrero</v>
      </c>
      <c r="F64" s="874"/>
      <c r="G64" s="874"/>
      <c r="H64" s="874"/>
      <c r="I64" s="874"/>
      <c r="J64" s="874"/>
    </row>
    <row r="65" spans="1:10" ht="12.75" customHeight="1">
      <c r="A65" s="770"/>
      <c r="B65" s="770"/>
      <c r="C65" s="770"/>
      <c r="D65" s="183"/>
      <c r="E65" s="769"/>
      <c r="F65" s="769"/>
      <c r="G65" s="769"/>
      <c r="H65" s="769"/>
      <c r="I65" s="769"/>
      <c r="J65" s="769"/>
    </row>
    <row r="66" spans="1:10" ht="12.75" customHeight="1">
      <c r="A66" s="876" t="s">
        <v>703</v>
      </c>
      <c r="B66" s="876"/>
      <c r="C66" s="876"/>
      <c r="D66" s="876"/>
      <c r="E66" s="876"/>
      <c r="F66" s="876"/>
      <c r="G66" s="876"/>
      <c r="H66" s="876"/>
      <c r="I66" s="876"/>
      <c r="J66" s="876"/>
    </row>
    <row r="67" spans="1:10">
      <c r="A67" s="158"/>
      <c r="B67" s="159"/>
      <c r="C67" s="159"/>
      <c r="D67" s="159"/>
      <c r="E67" s="159"/>
      <c r="F67" s="159"/>
      <c r="G67" s="159"/>
      <c r="H67" s="159"/>
      <c r="I67" s="159"/>
      <c r="J67" s="159"/>
    </row>
    <row r="68" spans="1:10">
      <c r="A68" s="868"/>
      <c r="B68" s="868"/>
      <c r="C68" s="868"/>
      <c r="D68" s="868"/>
      <c r="E68" s="868"/>
      <c r="F68" s="868"/>
      <c r="G68" s="868"/>
      <c r="H68" s="868"/>
      <c r="I68" s="868"/>
      <c r="J68" s="868"/>
    </row>
    <row r="69" spans="1:10">
      <c r="A69" s="869"/>
      <c r="B69" s="869"/>
      <c r="C69" s="869"/>
      <c r="D69" s="869"/>
      <c r="E69" s="869"/>
      <c r="F69" s="869"/>
      <c r="G69" s="869"/>
      <c r="H69" s="869"/>
      <c r="I69" s="869"/>
      <c r="J69" s="869"/>
    </row>
    <row r="70" spans="1:10">
      <c r="A70" s="868"/>
      <c r="B70" s="868"/>
      <c r="C70" s="868"/>
      <c r="D70" s="868"/>
      <c r="E70" s="868"/>
      <c r="F70" s="868"/>
      <c r="G70" s="868"/>
      <c r="H70" s="868"/>
      <c r="I70" s="868"/>
      <c r="J70" s="868"/>
    </row>
    <row r="71" spans="1:10">
      <c r="A71" s="869"/>
      <c r="B71" s="869"/>
      <c r="C71" s="869"/>
      <c r="D71" s="869"/>
      <c r="E71" s="869"/>
      <c r="F71" s="869"/>
      <c r="G71" s="869"/>
      <c r="H71" s="869"/>
      <c r="I71" s="869"/>
      <c r="J71" s="869"/>
    </row>
  </sheetData>
  <mergeCells count="11">
    <mergeCell ref="A68:J68"/>
    <mergeCell ref="A69:J69"/>
    <mergeCell ref="A70:J70"/>
    <mergeCell ref="A71:J71"/>
    <mergeCell ref="A2:I2"/>
    <mergeCell ref="A4:A5"/>
    <mergeCell ref="B4:D4"/>
    <mergeCell ref="G4:I4"/>
    <mergeCell ref="E64:J64"/>
    <mergeCell ref="A64:C64"/>
    <mergeCell ref="A66:J66"/>
  </mergeCells>
  <pageMargins left="0.7" right="0.59782608695652173" top="0.86956521739130432" bottom="0.61458333333333337" header="0.3" footer="0.3"/>
  <pageSetup orientation="portrait" r:id="rId1"/>
  <headerFooter>
    <oddHeader>&amp;R&amp;7Informe de la Operación Mensual - Febrero 2018
INFSGI-MES-02-2018
08/03/2018
Versión: 01</oddHeader>
    <oddFooter>&amp;L&amp;7COES SINAC, 2018
&amp;C7&amp;R&amp;7Dirección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13</vt:i4>
      </vt:variant>
    </vt:vector>
  </HeadingPairs>
  <TitlesOfParts>
    <vt:vector size="48"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 III - 8</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'5. RER'!Print_Area</vt:lpstr>
      <vt:lpstr>'6. FP RER'!Print_Area</vt:lpstr>
      <vt:lpstr>'7. Generacion empresa'!Print_Area</vt:lpstr>
      <vt:lpstr>'9. Pot. Empresa'!Print_Area</vt:lpstr>
      <vt:lpstr>Índice!Print_Area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2018-03-08T23:08:49Z</cp:lastPrinted>
  <dcterms:created xsi:type="dcterms:W3CDTF">2018-02-13T14:18:17Z</dcterms:created>
  <dcterms:modified xsi:type="dcterms:W3CDTF">2018-04-17T16:57:48Z</dcterms:modified>
</cp:coreProperties>
</file>