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829D441F-FB58-438D-B49D-90F2E88DA13D}" xr6:coauthVersionLast="34" xr6:coauthVersionMax="34" xr10:uidLastSave="{00000000-0000-0000-0000-000000000000}"/>
  <bookViews>
    <workbookView xWindow="0" yWindow="0" windowWidth="25185" windowHeight="10740" tabRatio="712"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state="hidden" r:id="rId32"/>
    <sheet name="31.ANEXOIII - 7" sheetId="53" state="hidden" r:id="rId33"/>
    <sheet name="32.ANEXOIII - 8" sheetId="60" state="hidden"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1" l="1"/>
  <c r="H14" i="21"/>
  <c r="H12" i="21"/>
  <c r="H9" i="21"/>
  <c r="G11" i="21"/>
  <c r="G9" i="21"/>
  <c r="G8" i="21"/>
  <c r="I9" i="22" l="1"/>
  <c r="I10" i="22"/>
  <c r="I7" i="22"/>
  <c r="I8" i="22"/>
  <c r="F67" i="45"/>
  <c r="D58" i="11"/>
  <c r="D57" i="11"/>
  <c r="D56" i="11"/>
  <c r="D55" i="11"/>
  <c r="D54" i="11"/>
  <c r="D53" i="11"/>
  <c r="D52" i="11"/>
  <c r="D51" i="11"/>
  <c r="D50" i="11"/>
  <c r="D49" i="11"/>
  <c r="D48" i="11"/>
  <c r="D47" i="11"/>
  <c r="D46" i="11"/>
  <c r="D45" i="11"/>
  <c r="B14" i="12"/>
  <c r="B11" i="9"/>
  <c r="C11" i="9"/>
  <c r="D11" i="9"/>
  <c r="E11" i="9"/>
  <c r="J11" i="22" l="1"/>
  <c r="I12" i="6"/>
  <c r="F9" i="8" l="1"/>
  <c r="H12" i="6" l="1"/>
  <c r="C29" i="14" l="1"/>
  <c r="E16" i="21" l="1"/>
  <c r="F16" i="21"/>
  <c r="D16" i="21"/>
  <c r="G16" i="21" l="1"/>
  <c r="C63" i="13"/>
  <c r="B63" i="13"/>
  <c r="N29" i="18" l="1"/>
  <c r="N28" i="18"/>
  <c r="N27" i="18"/>
  <c r="N26" i="18"/>
  <c r="N25" i="18"/>
  <c r="N24" i="18"/>
  <c r="N23" i="18"/>
  <c r="N20" i="18"/>
  <c r="N19" i="18"/>
  <c r="N18" i="18"/>
  <c r="N17" i="18"/>
  <c r="N16" i="18"/>
  <c r="N15" i="18"/>
  <c r="N14" i="18"/>
  <c r="N12" i="18"/>
  <c r="N11" i="18"/>
  <c r="N10" i="18"/>
  <c r="N9" i="18"/>
  <c r="N8" i="18"/>
  <c r="C54" i="46" l="1"/>
  <c r="D54" i="46"/>
  <c r="D53" i="46"/>
  <c r="C53"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B11" i="22" l="1"/>
  <c r="H47" i="4" l="1"/>
  <c r="B47" i="4"/>
  <c r="D59" i="11" l="1"/>
  <c r="D60" i="11"/>
  <c r="B30" i="6" l="1"/>
  <c r="M16" i="6"/>
  <c r="M17" i="6"/>
  <c r="A52" i="22" l="1"/>
  <c r="A55" i="21"/>
  <c r="B58" i="18"/>
  <c r="B40" i="18"/>
  <c r="B21" i="18"/>
  <c r="A58" i="12"/>
  <c r="F64" i="13"/>
  <c r="M15" i="6" l="1"/>
  <c r="B18" i="12" l="1"/>
  <c r="C18" i="12"/>
  <c r="D18" i="12"/>
  <c r="E18" i="12"/>
  <c r="G18" i="12"/>
  <c r="H18" i="12"/>
  <c r="J18" i="12"/>
  <c r="H7" i="21" l="1"/>
  <c r="G7" i="21"/>
  <c r="F37" i="6" l="1"/>
  <c r="F39" i="6"/>
  <c r="F11" i="14" l="1"/>
  <c r="F52" i="46" l="1"/>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38" i="6" l="1"/>
  <c r="F36" i="6"/>
  <c r="C62" i="11" l="1"/>
  <c r="B62" i="11"/>
  <c r="A63" i="8"/>
  <c r="J12" i="7"/>
  <c r="A58" i="7"/>
  <c r="E35" i="6"/>
  <c r="D62" i="11" l="1"/>
  <c r="E63" i="11"/>
  <c r="A63" i="11"/>
  <c r="C45" i="10"/>
  <c r="A34" i="9"/>
  <c r="D3" i="36" l="1"/>
  <c r="D2" i="45" s="1"/>
  <c r="D2" i="46" s="1"/>
  <c r="C3" i="36"/>
  <c r="C2" i="45" s="1"/>
  <c r="C2" i="46" s="1"/>
  <c r="F2" i="38"/>
  <c r="F2" i="37"/>
  <c r="F3" i="23"/>
  <c r="C2" i="23"/>
  <c r="C1" i="37" s="1"/>
  <c r="C1" i="38" s="1"/>
  <c r="A37" i="22"/>
  <c r="E16" i="22"/>
  <c r="A16" i="22"/>
  <c r="A12" i="22"/>
  <c r="A17" i="21"/>
  <c r="F6" i="21"/>
  <c r="E6" i="21"/>
  <c r="D6" i="21"/>
  <c r="B47" i="18"/>
  <c r="B28" i="18"/>
  <c r="B10" i="18"/>
  <c r="C31" i="16"/>
  <c r="E6" i="16"/>
  <c r="D6" i="16"/>
  <c r="A64" i="13"/>
  <c r="B3" i="13"/>
  <c r="B5" i="11"/>
  <c r="C5" i="11" s="1"/>
  <c r="B4" i="11"/>
  <c r="A64" i="10"/>
  <c r="A43" i="10"/>
  <c r="A61" i="9"/>
  <c r="G6" i="7"/>
  <c r="G4" i="8" s="1"/>
  <c r="G4" i="9" s="1"/>
  <c r="D7" i="7"/>
  <c r="E7" i="7" s="1"/>
  <c r="A54" i="6"/>
  <c r="B41" i="6"/>
  <c r="A13" i="6"/>
  <c r="D5" i="8" l="1"/>
  <c r="C7" i="7"/>
  <c r="B7" i="7" s="1"/>
  <c r="B5" i="8" s="1"/>
  <c r="E4" i="46"/>
  <c r="D4" i="46"/>
  <c r="C4" i="46"/>
  <c r="E3" i="46"/>
  <c r="D3" i="46"/>
  <c r="C3" i="46"/>
  <c r="E4" i="45"/>
  <c r="D4" i="45"/>
  <c r="C4" i="45"/>
  <c r="E3" i="45"/>
  <c r="D3" i="45"/>
  <c r="C3" i="45"/>
  <c r="E5" i="36"/>
  <c r="E4" i="36"/>
  <c r="D4" i="36"/>
  <c r="D5" i="36"/>
  <c r="C5" i="36"/>
  <c r="C4" i="36"/>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3" i="13"/>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B49" i="4"/>
  <c r="D35" i="6"/>
  <c r="E40" i="6"/>
  <c r="D40" i="6"/>
  <c r="F39" i="9" l="1"/>
  <c r="F40" i="6"/>
  <c r="B12" i="9"/>
  <c r="G23" i="8"/>
  <c r="H23" i="8"/>
  <c r="I22" i="8"/>
  <c r="A9" i="4" l="1"/>
  <c r="I20" i="4" l="1"/>
  <c r="C20" i="4"/>
  <c r="C3" i="4"/>
  <c r="H11" i="22"/>
  <c r="G11" i="22"/>
  <c r="F11" i="22"/>
  <c r="E11" i="22"/>
  <c r="D11" i="22"/>
  <c r="C11" i="22"/>
  <c r="H16"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1"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C12" i="7"/>
  <c r="B12" i="7"/>
  <c r="D12" i="7"/>
  <c r="I14" i="7"/>
  <c r="H12" i="7"/>
  <c r="E5" i="8"/>
  <c r="E5" i="9" s="1"/>
  <c r="E7" i="12" s="1"/>
  <c r="F14" i="7"/>
  <c r="E12" i="7"/>
  <c r="K14" i="7"/>
  <c r="I12" i="7" l="1"/>
  <c r="F40" i="9"/>
  <c r="M39" i="9" s="1"/>
  <c r="D12" i="9"/>
  <c r="F14" i="12"/>
  <c r="E20" i="12"/>
  <c r="F20" i="12" s="1"/>
  <c r="F12" i="7"/>
  <c r="K19" i="8"/>
  <c r="J12" i="9"/>
  <c r="G12" i="9"/>
  <c r="K12" i="7"/>
  <c r="I11" i="9"/>
  <c r="H12" i="9"/>
  <c r="I18" i="12"/>
  <c r="I19" i="8"/>
  <c r="K14" i="12"/>
  <c r="I14" i="12"/>
  <c r="F11" i="9"/>
  <c r="K11" i="9"/>
  <c r="I20" i="12" l="1"/>
  <c r="K20" i="12"/>
</calcChain>
</file>

<file path=xl/sharedStrings.xml><?xml version="1.0" encoding="utf-8"?>
<sst xmlns="http://schemas.openxmlformats.org/spreadsheetml/2006/main" count="1569" uniqueCount="751">
  <si>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</si>
  <si>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</si>
  <si>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</si>
  <si>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</si>
  <si>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</si>
  <si>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</si>
  <si>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</si>
  <si>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</si>
  <si>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</si>
  <si>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</si>
  <si>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</si>
  <si>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</si>
  <si>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</si>
  <si>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</si>
  <si>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</si>
  <si>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</si>
  <si>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</si>
  <si>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</si>
  <si>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</si>
  <si>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</si>
  <si>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</si>
  <si>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</si>
  <si>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</si>
  <si>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</si>
  <si>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</si>
  <si>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</si>
  <si>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</si>
  <si>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</si>
  <si>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</si>
  <si>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</si>
  <si>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</si>
  <si>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</si>
  <si>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</si>
  <si>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</si>
  <si>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</si>
  <si>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</si>
  <si>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</si>
  <si>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</si>
  <si>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</si>
  <si>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</si>
  <si>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</si>
  <si>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</si>
  <si>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</si>
  <si>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</si>
  <si>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</si>
  <si>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</si>
  <si>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</si>
  <si>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</si>
  <si>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</si>
  <si>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</si>
  <si>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</si>
  <si>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</si>
  <si>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</si>
  <si>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</si>
  <si>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</si>
  <si>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</si>
  <si>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</si>
  <si>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</si>
  <si>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</si>
  <si>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</si>
  <si>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</si>
  <si>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</si>
  <si>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</si>
  <si>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</si>
  <si>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</si>
  <si>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</si>
  <si>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</si>
  <si>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</si>
  <si>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</si>
  <si>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</si>
  <si>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</si>
  <si>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</si>
  <si>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</si>
  <si>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</si>
  <si>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</si>
  <si>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</si>
  <si>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</si>
  <si>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</si>
  <si>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</si>
  <si>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</si>
  <si>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</si>
  <si>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</si>
  <si>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</si>
  <si>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</si>
  <si>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</si>
  <si>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</si>
  <si>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</si>
  <si>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</si>
  <si>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</si>
  <si>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</si>
  <si>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</si>
  <si>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</si>
  <si>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</si>
  <si>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</si>
  <si>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</si>
  <si>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</si>
  <si>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</si>
  <si>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</si>
  <si>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</si>
  <si>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</si>
  <si>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</si>
  <si>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</si>
  <si>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</si>
  <si>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</si>
  <si>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</si>
  <si>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</si>
  <si>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</si>
  <si>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</si>
  <si>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</si>
  <si>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</si>
  <si>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</si>
  <si>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</si>
  <si>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</si>
  <si>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</si>
  <si>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</si>
  <si>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</si>
  <si>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</si>
  <si>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</si>
  <si>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</si>
  <si>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</si>
  <si>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</si>
  <si>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</si>
  <si>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</si>
  <si>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</si>
  <si>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</si>
  <si>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</si>
  <si>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</si>
  <si>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</si>
  <si>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</si>
  <si>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</si>
  <si>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</si>
  <si>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</si>
  <si>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</si>
  <si>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</si>
  <si>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</si>
  <si>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</si>
  <si>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</si>
  <si>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</si>
  <si>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</si>
  <si>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</si>
  <si>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</si>
  <si>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</si>
  <si>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</si>
  <si>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</si>
  <si>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</si>
  <si>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</si>
  <si>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</si>
  <si>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</si>
  <si>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</si>
  <si>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</si>
  <si>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</si>
  <si>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</si>
  <si>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</si>
  <si>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</si>
  <si>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</si>
  <si>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</si>
  <si>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</si>
  <si>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</si>
  <si>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</si>
  <si>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</si>
  <si>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</si>
  <si>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</si>
  <si>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</si>
  <si>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</si>
  <si>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</si>
  <si>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</si>
  <si>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</si>
  <si>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</si>
  <si>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</si>
  <si>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</si>
  <si>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</si>
  <si>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</si>
  <si>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</si>
  <si>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</si>
  <si>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</si>
  <si>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</si>
  <si>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</si>
  <si>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</si>
  <si>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</si>
  <si>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</si>
  <si>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</si>
  <si>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</si>
  <si>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</si>
  <si>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</si>
  <si>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</si>
  <si>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</si>
  <si>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</si>
  <si>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</si>
  <si>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</si>
  <si>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</si>
  <si>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</si>
  <si>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</si>
  <si>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</si>
  <si>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</si>
  <si>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</si>
  <si>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</si>
  <si>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</si>
  <si>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</si>
  <si>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</si>
  <si>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</si>
  <si>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</si>
  <si>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</si>
  <si>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</si>
  <si>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</si>
  <si>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</si>
  <si>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</si>
  <si>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</si>
  <si>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</si>
  <si>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</si>
  <si>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</si>
  <si>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</si>
  <si>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</si>
  <si>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</si>
  <si>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</si>
  <si>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</si>
  <si>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</si>
  <si>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</si>
  <si>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</si>
  <si>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</si>
  <si>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</si>
  <si>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</si>
  <si>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</si>
  <si>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</si>
  <si>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</si>
  <si>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</si>
  <si>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</si>
  <si>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</si>
  <si>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</si>
  <si>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</si>
  <si>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</si>
  <si>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</si>
  <si>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</si>
  <si>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</si>
  <si>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</si>
  <si>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</si>
  <si>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</si>
  <si>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</si>
  <si>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</si>
  <si>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</si>
  <si>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</si>
  <si>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</si>
  <si>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</si>
  <si>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</si>
  <si>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</si>
  <si>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</si>
  <si>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</si>
  <si>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</si>
  <si>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</si>
  <si>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</si>
  <si>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</si>
  <si>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</si>
  <si>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</si>
  <si>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</si>
  <si>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</si>
  <si>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</si>
  <si>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</si>
  <si>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</si>
  <si>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</si>
  <si>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</si>
  <si>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</si>
  <si>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</si>
  <si>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</si>
  <si>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</si>
  <si>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</si>
  <si>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</si>
  <si>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</si>
  <si>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</si>
  <si>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</si>
  <si>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</si>
  <si>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</si>
  <si>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</si>
  <si>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</si>
  <si>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</si>
  <si>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</si>
  <si>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</si>
  <si>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</si>
  <si>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</si>
  <si>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</si>
  <si>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</si>
  <si>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</si>
  <si>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</si>
  <si>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</si>
  <si>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</si>
  <si>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</si>
  <si>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</si>
  <si>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</si>
  <si>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</si>
  <si>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</si>
  <si>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</si>
  <si>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</si>
  <si>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</si>
  <si>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</si>
  <si>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</si>
  <si>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</si>
  <si>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</si>
  <si>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</si>
  <si>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</si>
  <si>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</si>
  <si>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</si>
  <si>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</si>
  <si>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</si>
  <si>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</si>
  <si>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</si>
  <si>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</si>
  <si>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</si>
  <si>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</si>
  <si>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</si>
  <si>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</si>
  <si>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</si>
  <si>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</si>
  <si>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</si>
  <si>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</si>
  <si>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</si>
  <si>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</si>
  <si>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</si>
  <si>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</si>
  <si>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</si>
  <si>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</si>
  <si>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</si>
  <si>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</si>
  <si>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</si>
  <si>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</si>
  <si>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</si>
  <si>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</si>
  <si>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</si>
  <si>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</si>
  <si>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</si>
  <si>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</si>
  <si>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</si>
  <si>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</si>
  <si>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</si>
  <si>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</si>
  <si>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</si>
  <si>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</si>
  <si>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</si>
  <si>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</si>
  <si>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</si>
  <si>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</si>
  <si>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</si>
  <si>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</si>
  <si>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</si>
  <si>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</si>
  <si>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</si>
  <si>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</si>
  <si>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</si>
  <si>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</si>
  <si>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</si>
  <si>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</si>
  <si>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</si>
  <si>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</si>
  <si>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</si>
  <si>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</si>
  <si>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</si>
  <si>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</si>
  <si>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</si>
  <si>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</si>
  <si>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</si>
  <si>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</si>
  <si>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</si>
  <si>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</si>
  <si>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</si>
  <si>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</si>
  <si>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</si>
  <si>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</si>
  <si>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</si>
  <si>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</si>
  <si>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</si>
  <si>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</si>
  <si>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</si>
  <si>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</si>
  <si>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</si>
  <si>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</si>
  <si>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</si>
  <si>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</si>
  <si>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</si>
  <si>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</si>
  <si>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</si>
  <si>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</si>
  <si>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</si>
  <si>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</si>
  <si>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</si>
  <si>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</si>
  <si>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</si>
  <si>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</si>
  <si>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</si>
  <si>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</si>
  <si>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</si>
  <si>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</si>
  <si>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</si>
  <si>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</si>
  <si>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</si>
  <si>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</si>
  <si>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</si>
  <si>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</si>
  <si>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</si>
  <si>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</si>
  <si>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</si>
  <si>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</si>
  <si>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</si>
  <si>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</si>
  <si>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</si>
  <si>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</si>
  <si>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</si>
  <si>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</si>
  <si>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</si>
  <si>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</si>
  <si>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</si>
  <si>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</si>
  <si>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</si>
  <si>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</si>
  <si>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</si>
  <si>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</si>
  <si>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</si>
  <si>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</si>
  <si>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</si>
  <si>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</si>
  <si>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</si>
  <si>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</si>
  <si>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</si>
  <si>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</si>
  <si>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</si>
  <si>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</si>
  <si>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</si>
  <si>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</si>
  <si>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</si>
  <si>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</si>
  <si>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</si>
  <si>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</si>
  <si>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</si>
  <si>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</si>
  <si>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</si>
  <si>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</si>
  <si>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</si>
  <si>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</si>
  <si>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</si>
  <si>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</si>
  <si>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</si>
  <si>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</si>
  <si>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</si>
  <si>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</si>
  <si>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</si>
  <si>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</si>
  <si>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</si>
  <si>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</si>
  <si>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</si>
  <si>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</si>
  <si>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</si>
  <si>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CERRO DEL AGUILA Total</t>
  </si>
  <si>
    <t>ECELIM Total</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</si>
  <si>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</si>
  <si>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</si>
  <si>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</si>
  <si>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</si>
  <si>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</si>
  <si>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</si>
  <si>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</si>
  <si>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</si>
  <si>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</si>
  <si>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</si>
  <si>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</si>
  <si>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</si>
  <si>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</si>
  <si>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</si>
  <si>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</si>
  <si>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</si>
  <si>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</si>
  <si>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</si>
  <si>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</si>
  <si>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</si>
  <si>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</si>
  <si>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</si>
  <si>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</si>
  <si>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</si>
  <si>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</si>
  <si>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</si>
  <si>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TRANSMANTARO</t>
  </si>
  <si>
    <t>HIDRANDINA</t>
  </si>
  <si>
    <t>CONCESIONARIA LINEA DE TRANSMISION CCNCM S.A.C.</t>
  </si>
  <si>
    <t>RED DE ENERGIA DEL PERU</t>
  </si>
  <si>
    <t>L. CAJAMARCA NORTE - CACLIC - LINEA L-2192</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</si>
  <si>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</si>
  <si>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</si>
  <si>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</si>
  <si>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</si>
  <si>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</si>
  <si>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</si>
  <si>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</si>
  <si>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</si>
  <si>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</si>
  <si>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</si>
  <si>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</si>
  <si>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</si>
  <si>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</si>
  <si>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</si>
  <si>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</si>
  <si>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</si>
  <si>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</si>
  <si>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</si>
  <si>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</si>
  <si>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</si>
  <si>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</si>
  <si>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</si>
  <si>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</si>
  <si>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</si>
  <si>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</si>
  <si>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</si>
  <si>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</si>
  <si>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</si>
  <si>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</si>
  <si>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</si>
  <si>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</si>
  <si>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</si>
  <si>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</si>
  <si>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</si>
  <si>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</si>
  <si>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</si>
  <si>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</si>
  <si>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</si>
  <si>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</si>
  <si>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</si>
  <si>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</si>
  <si>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</si>
  <si>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</si>
  <si>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</si>
  <si>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</si>
  <si>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</si>
  <si>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</si>
  <si>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</si>
  <si>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11:15</t>
  </si>
  <si>
    <t>23:00</t>
  </si>
  <si>
    <t>19:45</t>
  </si>
  <si>
    <t>11:45</t>
  </si>
  <si>
    <t>19:00</t>
  </si>
  <si>
    <t>11:30</t>
  </si>
  <si>
    <t>LUZ DEL SUR</t>
  </si>
  <si>
    <t xml:space="preserve">SANTA ANA </t>
  </si>
  <si>
    <t>agua</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</si>
  <si>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</si>
  <si>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</si>
  <si>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</si>
  <si>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</si>
  <si>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</si>
  <si>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</si>
  <si>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</si>
  <si>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</si>
  <si>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</si>
  <si>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</si>
  <si>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</si>
  <si>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</si>
  <si>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</si>
  <si>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</si>
  <si>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</si>
  <si>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</si>
  <si>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</si>
  <si>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</si>
  <si>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</si>
  <si>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</si>
  <si>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Turbina de Vapor</t>
  </si>
  <si>
    <t>ETESELVA</t>
  </si>
  <si>
    <t>TRANSFORMADOR</t>
  </si>
  <si>
    <t>4 eventos corresponde a rechazo manual de carga en la S.S.E.E. Pucallpa por deficit de generación (74,15 MWh)</t>
  </si>
  <si>
    <t>C.H. SANTA TERESA</t>
  </si>
  <si>
    <t>20:00</t>
  </si>
  <si>
    <t>18:45</t>
  </si>
  <si>
    <t>00:15</t>
  </si>
  <si>
    <t>L-2205  L-2206</t>
  </si>
  <si>
    <t xml:space="preserve">Potencia Efectiva  (MW) </t>
  </si>
  <si>
    <t>C.E. WAYRA I</t>
  </si>
  <si>
    <t>C.T. OLLEROS</t>
  </si>
  <si>
    <t>L. CARHUAQUERO - CHICLAYO OESTE - LINEA L-2240</t>
  </si>
  <si>
    <t xml:space="preserve">ELECTRO DUNAS </t>
  </si>
  <si>
    <t>L. INDEPENDENCIA - PISCO - LINEA L-6605</t>
  </si>
  <si>
    <t>(1)  A partir del 29.09.2017 la C.H. Cerro del Águila pasa a ser propiedad de la empresa Kallpa Generación S.A.</t>
  </si>
  <si>
    <t>KALLPA  (1)</t>
  </si>
  <si>
    <t>KALLPA (1)</t>
  </si>
  <si>
    <t>17:45</t>
  </si>
  <si>
    <t>19:15</t>
  </si>
  <si>
    <t>(*) A partir del 29.09.2017 la C.H. Cerro del Águila pasa a ser propiedad de la empresa Kallpa Generación S.A.</t>
  </si>
  <si>
    <t>KALLPA (*)</t>
  </si>
  <si>
    <t>CERRO DEL AGUILA (*)</t>
  </si>
  <si>
    <t>SAN JUAN - LOS INDUSTRIALES</t>
  </si>
  <si>
    <t>POMACOCHA - SAN JUAN</t>
  </si>
  <si>
    <t>SANTA ROSA N. - CHAVARRÍA</t>
  </si>
  <si>
    <t>VENTANILLA - ZAPALLAL</t>
  </si>
  <si>
    <t>SAN JUAN - SANTA ROSA N.</t>
  </si>
  <si>
    <t>ENLACE CENTRO - SUR</t>
  </si>
  <si>
    <t>L-2051 L-2052  L-5034  L-5036</t>
  </si>
  <si>
    <t>L-2003  L-2004</t>
  </si>
  <si>
    <t>L-2242  L-2243</t>
  </si>
  <si>
    <t>L-2011</t>
  </si>
  <si>
    <t>eólica</t>
  </si>
  <si>
    <t>viento</t>
  </si>
  <si>
    <t>aerogenerador</t>
  </si>
  <si>
    <r>
      <t>144,48</t>
    </r>
    <r>
      <rPr>
        <vertAlign val="superscript"/>
        <sz val="6.5"/>
        <rFont val="Arial"/>
        <family val="2"/>
      </rPr>
      <t>(1)</t>
    </r>
  </si>
  <si>
    <r>
      <t>123,61</t>
    </r>
    <r>
      <rPr>
        <vertAlign val="superscript"/>
        <sz val="6.5"/>
        <rFont val="Arial"/>
        <family val="2"/>
      </rPr>
      <t>(2)</t>
    </r>
  </si>
  <si>
    <r>
      <t>103,95</t>
    </r>
    <r>
      <rPr>
        <vertAlign val="superscript"/>
        <sz val="6.5"/>
        <rFont val="Arial"/>
        <family val="2"/>
      </rPr>
      <t>(3)</t>
    </r>
  </si>
  <si>
    <r>
      <t>44,54</t>
    </r>
    <r>
      <rPr>
        <vertAlign val="superscript"/>
        <sz val="6.5"/>
        <color theme="1"/>
        <rFont val="Arial"/>
        <family val="2"/>
      </rPr>
      <t>(1)</t>
    </r>
  </si>
  <si>
    <t>C.E. Wayra I</t>
  </si>
  <si>
    <t>42 aerogeneradores</t>
  </si>
  <si>
    <t>19.05.2018</t>
  </si>
  <si>
    <t>(1) El valor de potencias efectivas de la C.S. Rubí, C.S. Intipampa y C.E. Wayra I corresponden a la potencia instalada nominal declarada en la fecha de ingreso de operación comercial.</t>
  </si>
  <si>
    <r>
      <t>132,30</t>
    </r>
    <r>
      <rPr>
        <vertAlign val="superscript"/>
        <sz val="6.5"/>
        <rFont val="Arial"/>
        <family val="2"/>
      </rPr>
      <t>(1)</t>
    </r>
  </si>
  <si>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</si>
  <si>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</si>
  <si>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</si>
  <si>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</si>
  <si>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</si>
  <si>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</si>
  <si>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</si>
  <si>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</si>
  <si>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</si>
  <si>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</si>
  <si>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</si>
  <si>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</si>
  <si>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</si>
  <si>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</si>
  <si>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</si>
  <si>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</si>
  <si>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</si>
  <si>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</si>
  <si>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</si>
  <si>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</si>
  <si>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</si>
  <si>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ECELIM (2)</t>
  </si>
  <si>
    <t>LUZ DEL SUR / INLAND (4)</t>
  </si>
  <si>
    <t>TERMOCHILCA (6)</t>
  </si>
  <si>
    <t>CELEPSA RENOVABLES (8)</t>
  </si>
  <si>
    <t>PETRAMAS (2)</t>
  </si>
  <si>
    <t>Máxima Demanda:</t>
  </si>
  <si>
    <t>1.1. Producción de energía eléctrica en junio 2018 en comparación al mismo mes del año anterior</t>
  </si>
  <si>
    <t>junio</t>
  </si>
  <si>
    <t>CELEPSA RENOVABLES</t>
  </si>
  <si>
    <t>HUANCHOR</t>
  </si>
  <si>
    <t>HUANCHOR Total</t>
  </si>
  <si>
    <t>PETRAMAS  (2)</t>
  </si>
  <si>
    <t>LUZ DEL SUR / INLANDTotal</t>
  </si>
  <si>
    <t xml:space="preserve">ENEL GREEN POWER PERU </t>
  </si>
  <si>
    <t>C.H. RENOVANDES H1 (5)</t>
  </si>
  <si>
    <r>
      <t>C.H. HER 1</t>
    </r>
    <r>
      <rPr>
        <b/>
        <sz val="7"/>
        <color theme="1"/>
        <rFont val="Arial"/>
        <family val="2"/>
      </rPr>
      <t xml:space="preserve"> (10)</t>
    </r>
  </si>
  <si>
    <t>(10) Operación por pruebas de la C.H. Her 1, propiedad de ENEL GENERACIÓN PERU S.A.</t>
  </si>
  <si>
    <t xml:space="preserve"> </t>
  </si>
  <si>
    <r>
      <t xml:space="preserve">C.H. HER 1  </t>
    </r>
    <r>
      <rPr>
        <b/>
        <sz val="7"/>
        <color theme="1"/>
        <rFont val="Arial"/>
        <family val="2"/>
      </rPr>
      <t>(10)</t>
    </r>
  </si>
  <si>
    <r>
      <t>C.S. RUBI</t>
    </r>
    <r>
      <rPr>
        <b/>
        <sz val="7"/>
        <color theme="1"/>
        <rFont val="Arial"/>
        <family val="2"/>
      </rPr>
      <t xml:space="preserve"> (3)</t>
    </r>
  </si>
  <si>
    <r>
      <t xml:space="preserve">C.E. WAYRA I </t>
    </r>
    <r>
      <rPr>
        <b/>
        <sz val="7"/>
        <color theme="1"/>
        <rFont val="Arial"/>
        <family val="2"/>
      </rPr>
      <t xml:space="preserve"> (9)</t>
    </r>
  </si>
  <si>
    <r>
      <t>C.S. INTIPAMPA</t>
    </r>
    <r>
      <rPr>
        <b/>
        <sz val="7"/>
        <color theme="1"/>
        <rFont val="Arial"/>
        <family val="2"/>
      </rPr>
      <t xml:space="preserve"> (7)</t>
    </r>
  </si>
  <si>
    <r>
      <t>C.T. OLLEROS</t>
    </r>
    <r>
      <rPr>
        <b/>
        <sz val="7"/>
        <color theme="1"/>
        <rFont val="Arial"/>
        <family val="2"/>
      </rPr>
      <t xml:space="preserve"> (6)</t>
    </r>
  </si>
  <si>
    <r>
      <t xml:space="preserve">C.H. RENOVANDES H1  </t>
    </r>
    <r>
      <rPr>
        <b/>
        <sz val="7"/>
        <color theme="1"/>
        <rFont val="Arial"/>
        <family val="2"/>
      </rPr>
      <t>(5)</t>
    </r>
  </si>
  <si>
    <r>
      <t xml:space="preserve">C.H. MARAÑON  </t>
    </r>
    <r>
      <rPr>
        <b/>
        <sz val="7"/>
        <color theme="1"/>
        <rFont val="Arial"/>
        <family val="2"/>
      </rPr>
      <t>(8)</t>
    </r>
  </si>
  <si>
    <t>6 542,235 MW</t>
  </si>
  <si>
    <t>05/06/2018</t>
  </si>
  <si>
    <t>01/06/2018</t>
  </si>
  <si>
    <t>02/06/2018</t>
  </si>
  <si>
    <t>03/06/2018</t>
  </si>
  <si>
    <t>04/06/2018</t>
  </si>
  <si>
    <t>06/06/2018</t>
  </si>
  <si>
    <t>18:00</t>
  </si>
  <si>
    <t>07/06/2018</t>
  </si>
  <si>
    <t>08/06/2018</t>
  </si>
  <si>
    <t>09/06/2018</t>
  </si>
  <si>
    <t>10/06/2018</t>
  </si>
  <si>
    <t>20:15</t>
  </si>
  <si>
    <t>11/06/2018</t>
  </si>
  <si>
    <t>12/06/2018</t>
  </si>
  <si>
    <t>13/06/2018</t>
  </si>
  <si>
    <t>14/06/2018</t>
  </si>
  <si>
    <t>15/06/2018</t>
  </si>
  <si>
    <t>16/06/2018</t>
  </si>
  <si>
    <t>10:30</t>
  </si>
  <si>
    <t>17/06/2018</t>
  </si>
  <si>
    <t>18/06/2018</t>
  </si>
  <si>
    <t>19/06/2018</t>
  </si>
  <si>
    <t>20/06/2018</t>
  </si>
  <si>
    <t>21/06/2018</t>
  </si>
  <si>
    <t>22/06/2018</t>
  </si>
  <si>
    <t>11:00</t>
  </si>
  <si>
    <t>23/06/2018</t>
  </si>
  <si>
    <t>24/06/2018</t>
  </si>
  <si>
    <t>25/06/2018</t>
  </si>
  <si>
    <t>26/06/2018</t>
  </si>
  <si>
    <t>27/06/2018</t>
  </si>
  <si>
    <t>28/06/2018</t>
  </si>
  <si>
    <t>29/06/2018</t>
  </si>
  <si>
    <t>30/06/2018</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</si>
  <si>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5,03 MW. A las 05:13 h, se conectó la línea y se inició la normalización del suministro interrumpido.</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</si>
  <si>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6,15 MW. A las 09:13 h, se conectó la línea y se inició la normalización del suministro interrumpido.</t>
  </si>
  <si>
    <t>L. AZÁNGARO - SAN GABÁN II - LINEA L-1010</t>
  </si>
  <si>
    <t>Desconectó la línea L-1010 (Azángaro - San Gabán II) de 138 kV, por falla bifásica en las fases “R” y “S”. De acuerdo a lo informado por SAN GABÁN, titular de la línea, la falla se produjo por intensas nevadas en la zona. El sistema de protección señalizo la activación de la función de distancia (21). El sistema de protección detecto la falla a una distancia de 62,70 km de la S.E. San Gabán II. Cabe resaltar que la línea L-1013 (San Gabán II - San Rafael) de 138 kV, se encontraba fuera de servicio por falla. Asimismo, desconectó el grupo G1 y G2 de la C.H. San Gabán II con una generación total de 67,52 MW, por actuación de su protección de derivada de frecuencia (EDAGSF) y sobre frecuencia, respectivamente. Como consecuencia se interrumpió el suministro de la S.E. San Gabán II con 0,30 MW, cabe resaltar que la carga de las subestaciones Mazuco y Puerto Maldonado estaban fuera de servicio por mantenimiento programado. A las 09:06 h y 09:07 h, se conectó la línea L-1010 y sincronizó el grupo G1 con el SEIN, respectivamente.</t>
  </si>
  <si>
    <t>L. AZÁNGARO - ANTAUTA - LINEA L-6021</t>
  </si>
  <si>
    <t>Desconectó la línea L-6021 (Azángaro - Antauta) de 60 kV, por falla. De acuerdo con lo informado por ELECTRO PUNO, titular de la línea, la falla se produjo por intensas nevadas en la zona. El sistema de protección señalizó la activación de la función de sobre corriente a tierra (51N). Como consecuencia se interrumpió el suministro de la subestación Antauta con un total de 0,68 MW. A las 09:15 h, se conectó la línea y se inició la normalización del suministro interrumpido.</t>
  </si>
  <si>
    <t>Desconectó la línea L-1010 (Azángaro - San Gabán II) de 138 kV, por falla bifásica en las fases “R” y “S”. De acuerdo a lo informado por SAN GABÁN, titular de la línea, la falla se produjo por intensas nevadas en la zona. El sistema de protección señalizo la activación de la función de distancia (21). El sistema de protección detecto la falla a una distancia de 28,80 km de la S.E. San Gabán II. Cabe resaltar que la línea L-1013 (San Gabán II - San Rafael) de 138 kV, se encontraba fuera de servicio por falla. Asimismo, desconectó el grupo G1 de la C.H. San Gabán II, por actuación de su protección de derivada de frecuencia (EDAGSF), el grupo G2 se encontraba fuera de servicio. Como consecuencia se interrumpió el suministro de la S.E. San Gabán II con 0,30 MW, cabe resaltar que la carga de las subestaciones Mazuco y Puerto Maldonado estaban fuera de servicio por mantenimiento programado. A las 10:03 h, se conectó la línea L-1010. A las 11:13 h y 11:26 h, sincronizó el grupo G1 y G2 con el SEIN, respectivamente.</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</si>
  <si>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6,07 MW. A las 10:00 h, se conectó la línea y se inició la normalización del suministro interrumpido.</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</si>
  <si>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2,60 MW. A las 12:50 h, se conectó la línea y se inició la normalización del suministro interrumpido.</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</si>
  <si>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4,70 MW. A las 13:25 h, se conectó la línea y se inició la normalización del suministro interrumpido.</t>
  </si>
  <si>
    <t>Desconectó la línea L-6024 (Azángaro - Putina) de 60 kV, por falla. De acuerdo con lo informado por ELECTRO PUNO, titular de la línea, la falla se produjo por intensas nevadas en la zona. El sistema de protección señalizó la activación de la función diferencial (87). Como consecuencia se interrumpió el suministro de la S.E. Ananea y Huancané con un total de 1,49 MW. A las 17:46 h, se conectó la línea y se inició la normalización del suministro interrumpido.</t>
  </si>
  <si>
    <t>ABY TRANSMISIÓN SUR</t>
  </si>
  <si>
    <t>L. POROMA - OCONA - LINEA L-5034</t>
  </si>
  <si>
    <t>Desconectó la línea L-5036 (Ocoña – San José) de 500 kV, por falla monofásica a tierra en la fase “R”. De acuerdo a lo informado por ABY TRANSMISIÓN SUR, titular de la línea, la falla se produjo por pérdida de aislamiento en la cadena de aisladores del banco capacitor serie BCS-5484. El sistema de protección señalizo la activación de la función diferencial (87), el sistema de protección detecto la falla a una distancia de 0,50 km de la S.E. Ocoña. Despues de 8,00 segundos se produce la desconexión de la línea L-5034 (Poroma – Ocoña) de 500 kV en la S.E. Poroma por falla trifásica cuya causa no fue informada por ABY TRANSMISIÓN SUR, titular de la línea. Asimismo, desconectó el SVC de la S.E. San Jose, por actuación de sus protecciones propias. No se produjo interrupción de suministros en el SEIN. El usuario libre Minera Cerro Verde redujo su carga en 111,17 MW. A las 23:38 h, el CCO-COES coordinó con el CC-MCV recuperar total de su carga reducida. Las líneas L-5034, L-5036 y el SVC de la S.E. San José quedaron indisponibles para su inspección. A las 10:22 h y 11:01 h del 05.06.2018, se conectaron las líneas L-5034 y L-5036, respectivamente. A las 13:06 h del 05.06.2018, se conectó el SVC de la S.E. San Jose.</t>
  </si>
  <si>
    <t>S.E. BELAUNDE TERRY - TRAFO3D AT-4201</t>
  </si>
  <si>
    <t>Desconectó el transformador AT-4201 de 220/138 kV de la S.E. Belaunde Terry, por activación accidental del contacto de disparo del (OLTC OIL LEVEL INDICATOR), de acuerdo a lo informado por CONCESIONARIA LÍNEA DE TRANSMISIÓN CCNCM, titular del equipo. Como consecuencia se activó el esquema de rechazo automático de carga por mínima tensión de la S.E. Moyobamba y se desconectó la línea L-6091 (Moyobamba – Rioja) de 60 kV, interrumpiéndose los suministros de las S.E. Rioja, Nueva Cajamarca y Cementos Selva con un total de 6,70 MW. A las 12:57 h, el CCO-COES coordinó con el CC-EOR normalizar el total de sus suministros interrumpidos. A las 13:07 h, se conectó el transformador con lo cual se cerró el anillo Cajamarca Norte – Cáclic – Belaunde Terry.</t>
  </si>
  <si>
    <t>L. MOROCOCHA - CARLOS FRANCISCO - LINEA L-6532</t>
  </si>
  <si>
    <t>Desconectó la línea L-6532 (Morococha - Carlos Francisco) de 50 kV por falla monofásica a tierra en la fase “R”, cuya causa no fue informada por STATKRAFT, titular de la línea. El sistema de protección señalizó la activación de la función de distancia (21). El sistema de protección detecto la falla a una distancia de 9,10 km de la S.E. Carlos Francisco. Como consecuencia se interrumpió el suministro de la S.E. Casapalca con un total de 0,30 MW. A las 09:24 h, se conectó la línea y se inició la normalización del suministro interrumpido.</t>
  </si>
  <si>
    <t>Desconectó la línea L-6532 (Morococha - Carlos Francisco) de 50 kV, por falla monofásica a tierra en la fase “R”, cuya causa no fue informada por STATKRAFT, titular de la línea. El sistema de protección señalizó la activación de la función de distancia (21). El sistema de protección detecto la falla a una distancia de 9,00 km de la S.E. Carlos Francisco. Como consecuencia se interrumpió el suministro de la S.E. Casapalca con un total de 0,20 MW. A las 09:46 h, se conectó la línea y se inició la normalización del suministro interrumpido.</t>
  </si>
  <si>
    <t>L. CAJAMARCA NORTE - CARHUAQUERO - LINEA L-2190</t>
  </si>
  <si>
    <t>Desconectó la línea L-2190 (Carhuaquero - Cajamarca Norte) de 220 kV, por falla bifásica entre las fases “R” y “S”. De acuerdo con lo informado por CONCESIONARIA LÍNEA DE TRANSMISIÓN CCNCM, titular de la línea, la falla se produjo por descargas atmosféricas. El sistema de protección señalizó la activación de la función diferencial de línea (87) y ubicó la falla a una distancia de 9,40 km de la S.E. Cajamarca Norte. Como consecuencia los usuarios libres Minera Yanacocha y Minera Gold Fields redujeron su carga en 22,89 MW y 12,60 MW, respectivamente. Asimismo, desconectó el grupo G1 de la C.H. Las Pizarras cuando generaba 8,49 MW. El CC-CCNCM declaró al CCO-COES indisponible la línea para su inspección. A las 08:44 h, el CCO-COES coordinó con el CC-MGF normalizar el total de sus suministros reducidos. A las 08:48 h, el CCO-COES coordinó con el CC-YAN normalizar el total de sus suministros reducidos. A las 09:44 h, sincronizó el grupo G1 de la C.H. Las Pizarras con el SEIN. A las 12:50 h, se conectó la línea.</t>
  </si>
  <si>
    <t>S.E. INDEPENDENCIA - BARRA BARRA10</t>
  </si>
  <si>
    <t>Desconectó la barra 10 kV de la S.E. Independencia, cuya causa no fue informada por REP, titular de la barra. Cabe resaltar que la barra se encontraba alimentada desde el transformador T3-261. Como consecuencia se interrumpió el suministro de la S.E. independencia 10 kV con 2,90 MW. El sistema de protección señalizo la activación de la función de sobre tensión homopolar (59N). A las 16:54 h, se conectó la barra y se inicio la normalización del suministro interrumpido.</t>
  </si>
  <si>
    <t>Desconectó la barra 10 kV de la S.E. Independencia, cuya causa no fue informada por REP, titular de la barra. Cabe resaltar que la barra se encontraba alimentada desde el transformador T3-261. El sistema de protección señalizo la activación de la función de sobre tensión homopolar (59N). Como consecuencia se interrumpió el suministro de la S.E. Independencia 10 kV con 1,90 MW. A las 19:06 h, se conectó la barra con el transformador T4-261 y se inicio la normalización del suministro interrumpido.</t>
  </si>
  <si>
    <t>L. CARABAYLLO - CHIMBOTE1 - LINEA L-5006</t>
  </si>
  <si>
    <t>Se produjo el recierre monofásico exitoso de la línea L-5006 (Carabayllo – Chimbote 1) de 500 kV en la fase “T”, por falla. De acuerdo con lo informado por TRANSMANTARO, titular de la línea, la falla se produjo por humedad en la zona. El sistema de protección señalizó la activación de la función de distancia (21). El sistema de protección detecto la falla a una distancia de 1,90 km de la S.E. Carabayllo. El usuario libre KIMBERLY CLARK reportó la activación del Esquema de Rechazo Automático de Carga por Mínima frecuencia (ERACMF), por la función de Derivada de Frecuencia (Df), interrumpiendo un total de 2,55 MW. A las 22:05 h, el CCO-COES coordinó con el CC-KIM normalizar el total de sus suministros reducidos.</t>
  </si>
  <si>
    <t>Desconectó la línea L-6605 (Independencia - Pisco) de 60 kV, por falla bifásica entre las fases “R” y “S”. De acuerdo a lo informado por ELECTRO DUNAS, titular de la línea, la falla se produjo por acercamiento de aves en la estructura N° 157. El sistema de protección señalizó la activación de la función de distancia (21) y ubicó la falla a una distancia de 40,90 km de la S.E. Independencia. Como consecuencia se interrumpió el suministro de las subestaciones Alto la Luna y Pisco con un total de 16,36 MW. A las 08:20 h, se conectó la línea y se inició la normalización del suministro interrumpido.</t>
  </si>
  <si>
    <t>S.E. LA NIÑA - TRAFO3D T77-212</t>
  </si>
  <si>
    <t>Desconectaron el autotransformador AT77 de 220/138 kV de la S.E. La Niña y la línea L-1137 (La Niña - Bayóvar) de 138 kV, por falla monofásica a tierra en la fase “S”. De acuerdo, a lo informado por TRANSMANTARO titular de los equipos, la falla se produjo en las instalaciones de MINERA MISKI MAYO. El sistema de protección del autotransformador señalizó la activación de la función de sobre corriente a tierra (51N), mientras que de la línea señalizó la activación de la función de distancia (21) en zona 2. Asimismo, los relés de la linea L-1137 en la S.E. Bayovar detectaron la falla en zona reversa. Como consecuencia se interrumpió el suministro del usuario libre MINERA MISKY MAYO con un total de 12,40 MW. A las 02:09 h, el CC-REP declaró al COES disponible el autotransformador AT-77 y la linea L-1137. A las 02:17 h se energizó el autotransformador AT-77. A las 03:17 h, Miski Mayo declaro al COES disponible la S.E. Bayovar. A las 03:20 h, se conectó la linea L-1137 y se inicio la normalización del suministro interrumpido.</t>
  </si>
  <si>
    <t>S.E. SAN LUIS LDS - TRAFO3D T1 220/60 kV</t>
  </si>
  <si>
    <t>Desconectó el transformador TR-1 220/60 kV de la S.E. San Luis, por falla. De acuerdo a lo informado por LUZ DEL SUR titular del equipo, la falla se produjo por descarga a tierra en el bushing del polo de la fase “T” del transformador. El sistema de protección señalizo la activación de la función de diferencial (87). Como se interrumpió el suministro de las subestaciones Central, Limatambo, San isidro y Neyra con total de 76,17 MW. A las 07:17 h, se conectó el transformador y se inició la normalización del suministro interrumpido.</t>
  </si>
  <si>
    <t>L. MARCONA - NAZCA - LINEA L-6630</t>
  </si>
  <si>
    <t>Desconectó la línea L-6630 (Marcona - Nazca) de 60 kV, por falla monofásica a tierra en la fase “T”. De acuerdo a lo informado por ELECTRO DUNAS, titular de la línea, la falla se produjo por caída de conductor entre las estructuras N°12 y N° 13. El sistema de protección señalizó la activación de la función de distancia (21) y ubicó la falla a una distancia de 6,20 km de la S.E. Marcona. Como consecuencia se interrumpió el suministro de las subestaciones Nazca, Llipata, Puquio y Coracora un total de 14.35 MW. A las 00:01 h del 17.06.2018, se conectó la línea y se inició la normalización del suministro interrumpido.</t>
  </si>
  <si>
    <t>Desconectó la línea L-2192 (Cajamarca Norte - Cáclic) de 220 kV, por falla monofásica a tierra en la fase “T”. De acuerdo a lo informado por CONCESIONARIA LÍNEA DE TRANSMISIÓN CCNCM titular de la linea, la falla se produjo por acercamiento de arboles entre las estructuras T340 a T341. El sistema de protección señalizó la activación de la función diferencial de línea (87). El sistema de protección detecto la falla a una distancia de 154,40 km de la S.E. Cajamarca Norte. Asimismo, desconecto el reactor RB-3201, por su protección de mínima tensión. Como consecuencia se activó el esquema de mínima tensión en la S.E. Moyobamba y desconectó la línea L-6091 (Moyobamba – Rioja) con lo cual se interrumpió un total de 8,07 MW de las subestaciones Rioja, Nueva Cajamarca y Cementos Selva. A las 11:38 h, el CCO-COES coordinó con el CC-EOR normalizar 4,00 MW de sus suministros interrumpidos. A las 11:44 h, se conectó la línea L-2192 en serie con el reactor de barra RB-3201 de la S.E. Cáclic. A las 11:47 h, se conectó la línea L-2194 en serie con el reactor de barra RB-4201 de la S.E. Belaunde Terry. A las 11:49 h, se conectó el transformador AT-4201 de la S.E. Belaunde Terry, con lo que se cerró el anillo Cajamarca Norte – Cáclic – Belaunde Terry en 220 kV. A las 11:50 h, el CCO-COES coordinó con el CC-EOR normalizar el total de sus suministros interrumpidos.</t>
  </si>
  <si>
    <t>Desconectó la línea L-2192 (Cajamarca Norte - Cáclic) de 220 kV, por falla monofásica a tierra en la fase “T”. De acuerdo a lo informado por CONCESIONARIA LÍNEA DE TRANSMISIÓN CCNCM titular de la linea, la falla se produjo por acercamiento de arboles entre las estructuras T325 a T326. El sistema de protección señalizó la activación de la función diferencial de línea (87). El sistema de protección detecto la falla a una distancia de 149,40 km de la S.E. Cajamarca Norte. Asimismo, desconecto el reactor RB-3201, por su protección de mínima tensión. Como consecuencia se activó el esquema de mínima tensión en la S.E. Moyobamba y desconectó la línea L-6091 (Moyobamba – Rioja) con lo cual se interrumpió un total de 7,30 MW de las subestaciones Rioja, Nueva Cajamarca y Cementos Selva. A las 18:02 h, el CCO-COES coordinó con el CC-EOR normalizar el total de sus suministros interrumpidos. A las 18:12 h, se conectó la línea.</t>
  </si>
  <si>
    <t>ENEL GENERACION PERU S.A.A.</t>
  </si>
  <si>
    <t>C.T. VENTANILLA - GT TG3</t>
  </si>
  <si>
    <t>Desconectó las unidades TG3, TG4 y TV de la C.T. Ventanilla cuando generaban un total de 443,00 MW, por falla en los servicios auxiliares DC, de acuerdo a lo informado por Enel Generación Perú, titular de la central. Como consecuencia se produjo el desbalance carga-generación en el SEIN, con lo cual, la frecuencia disminuyo hasta 59.21 Hz, activándose el esquema de rechazo automático de carga por mínima frecuencia (ERACMF), que interrumpió un total de 76.95 MW, aproximadamente. A las 08:50 h, se inició la recuperación de los suministros interrumpidos. Las unidades TG3 y TG4 de la C.T. Ventanilla quedaron indisponibles para su inspección.</t>
  </si>
  <si>
    <t>SEAL</t>
  </si>
  <si>
    <t>S.E. JESUS - TRAFO T5-103</t>
  </si>
  <si>
    <t>Desconectó el transformador T5-103 de 138/33 kV en la S.E. Jesús por falsa señal de corriente cuando se realzaban trabajos en los circuitos de medición, de acuerdo a lo informado por SEAL, titular del equipo. El sistema de protección señalizo la activación de la función diferencial (87). Como consecuencia se interrumpió el suministro de las subestaciones Jesús, Porongoche y Parque Lambramani con un total de 16,08 MW. A las 12:35 h, se recupero la carga a través de la conexión de las líneas L-3091 y L-3091 (Socabaya – Jesus) de 33 kV. A las 18:12 h, se conectó el transformador.</t>
  </si>
  <si>
    <t>S.E. BALNEARIOS - TRAFO T-3</t>
  </si>
  <si>
    <t>Desconectó el transformador TR3 de 220/60 kV de 203 MVA de la S.E. Balnearios en el lado de 60 kV con una potencia de 107,09 MW, por error humano de acuerdo a lo informado por de Luz del Sur titular del equipo. Cabe resaltar que la S.E. Balnearios 60 kV se encontraba operando el interruptor de acoplamiento de barras abierto y el transformador TR3 se encontraba alimentando la barra “2” con la carga de Barranco y la linea L-6249 (Balnearios – Salamanca) de 60 kV, también debe indicarse que las líneas L-6068 (Balnearios – Salamanca), L-6011/L-6020 (Moyopampa – Gloria) de 60 kV se encontraban fuera de servicio por mantenimiento programado. Como consecuencia se interrumpió el suministro de la S.E. Barranco y se rompió el enlace de la S.E. Balnearios y la S.E. Moyopampa, produciéndose la desconexión de la línea L-656 (Huachipa – Santa Clara) de 60 kV, por sobrecarga, formándose el sistema aislado de las centrales hidroeléctricas Moyopampa y Huampaní con una generación total de 50,10 MW y la carga de las subestaciones Santa Clara, Ñaña, Chosica y Salamanca, finalmente colapso el sistema aislado por el desbalance carga generación, interrumpiéndose un total de 169,46 MW. Cabe resaltar que la empresa Luz del Sur reporto la actuación de su Esquema de Rechazo Automático de Carga por Mínima frecuencia (ERACMF) en las subestaciones Barranco, Salamanca y Ñaña, durante el colapso del sistema aislado.
A las 12:21 h, se conectó el TR3 220/60 KV y se energizó la barra “2” de 60 kV de la S.E. Balnearios y se inició la recuperación de la carga interrumpida de Balnearios. A las 12:27, el CC-LDS conectó la línea L-656 y se energizó la barra de 60 kV de la S.E. Santa Clara. A las 12:28 h, el CC-LDS conectó la línea L-655 y se energizó la barra de 60 kV de la S.E. Ñaña. A las 12:29 h, se coordinó recuperar la carga de las subestaciones Santa Clara y Ñaña. A las 12:33 h, Se energizó la línea L-6544. A las 12:39 h, el CC-LDS energizó la línea L-6249 (Balnearios – Salamanca) de 60 kV desde la S.E. Balnearios. A las 12:40 h, se energizó la barra de 60 kV de la S.E. Salamanca. A las 12:44 h, se energiza las líneas L-6060 y L-6055 desde la S.E. Salamanca. A las 12:43 h se energizó la barra de 60 kV de la S.E. Huampaní. A las 12:46 h, se energizó las líneas L-6040/L-6111 desde la S.E. Huampaní. A las 12:47 h, se energizó la barra de 60 kV de la S.E. Moyopampa a través de la línea L-6111. A las 12:49 h, se sincroniza el anillo de 60 kV en la S.E. Moyopampa, a través de la línea L-6060, y se conecta la línea L-6055. A las 12:49 h se conectó la línea L-6731 (Moyopampa – Chosica) de 60 kV. A las 13:06 h, 13:15 h y 13:24 h, sincronizó los grupos G1, G2 y G3 de la C.H. Moyopampa. A las 13:50 h, sincronizó el grupo G2 de la C.H. Huampaní.</t>
  </si>
  <si>
    <t>Desconectó la línea L-2240 (Carhuaquero - Chiclayo Oeste) de 220 kV en la S.E. Chiclayo Oeste, por falla monofásica a tierra en la fase “S”, Cabe resaltar que en el lado de la S.E. Carhuaquero no se produjo la desconexión de la linea. De acuerdo a lo informado por ETENORTE, titular de la línea, la falla se produjo por quema de caña. El sistema de protección señalizo la activación de la función de distancia (21). El sistema de protección detecto la falla a una distancia de 55,00 km de la S.E. Chiclayo Oeste. La falla al no ser despejada en el lado de la S.E. Carhuaquero, provoco la desconexión de la linea L-2190 (Cajamarca Norte – Carhuaquero) de 220 kV, en el lado de la S.E. Cajamarca Norte, por actuación de su protección de distancia (21), en zona 3. Como consecuencia desconectaron las centrales hidroeléctricas Carhuaquero, Carhuaquero IV, Caña Brava y Las Pizarras con una generación total de 64,75 MW y se interrumpió el suministro de las subestaciones Carhuaquero, Cutervo y Nueva Jaén con un total de 15,65 MW. Asimismo, el usuario libre Minera Yanacocha informó la reducción de su carga en 19,22 MW.
A las 03:52 h, el CCO-COES coordinó con el CC-EOR operar en sistema aislado la carga de la S.E. Jaén con las centrales hidráulicas Muyo, Quanda y La Pelota. A las 03:59 h, el CCO-COES coordinó con el CC-EGN operar la C.H. Carhuaquero en sistema aislado.
A las 04:01 h, sincronizó el grupo G1 de la C.H. Carhuaquero en sistema aislado. A las 05:27 h, se energizó el transformador TPB1 220/138 kV de la S.E. Carhuaquero. A las 05:29 h, se conectaron las líneas L-1130 (Carhuaquero – Espina Colorada) y L-1135 (Espina Colorada – Cutervo) de 138 kV y se inició la normalización del suministro interrumpido. A las 05:42 h, se conectó la línea L-1138 (Cutervo – Nueva Jaen) de 138 kV y se coordinó con el CC-EOR el sincronizar el sistema aislado de la S.E. Nueva Jaén. A las 08:07 h, se conectó la línea L-2190, sincronizando el sistema aislado Carhuaquero con el SEIN. A las 15:58 h, se conectó la línea L-2240.</t>
  </si>
  <si>
    <t>L. AGUAYTÍA - TINGO MARÍA - LINEA L-2251</t>
  </si>
  <si>
    <t>Desconectó la línea L-2251 (Tingo María – Aguaytía) de 220 kV, por falla monofásica a tierra en la fase “T”, cuya causa no fue informada por ETESELVA. Asimismo, desconecto la unidad TG2 de la C.T. Aguaytía con una generación de 84,50 MW, por actuación de su protección de sobre frecuencia. Como consecuencia se interrumpió el suministro de las subestaciones Pucallpa, Yarinacocha, Parque Industrial y Aguaytía con un total de 47,92 MW. A las 14:51 h, sincronizó la C.T. R. F. Pucallpa en sistema aislado y se inició a recuperar el suministro interrumpido en la S.E. Pucallpa. A las 14:52 h, se conectó la línea L-2251 y se inició las maniobras de normalización del suministro interrumpido en la S.E. Aguaytía. A las 14:55 h, sincronizó la unidad TG2 de la C.T. Aguaytía con el SEIN. A las 15:04 h, sincronizó el sistema aislado Pucallapa con el SEIN.</t>
  </si>
  <si>
    <t>S.E. TOCACHE - BARRA BARRA22.9</t>
  </si>
  <si>
    <t>Desconectó la barra de 22,9 kV de la SE Tocache, por falla trifásica, cuya causa no ha sido informada por REP, titular de la barra. El sistema de protección señalizó la activación de la función de sobre corriente (51N). Como consecuencia se interrumpió el suministro de la S.E. Tocache con un total de 3,69 MW. A las 10:41 h, se conectó la barra y se inició la normalización del suministro interrumpido.</t>
  </si>
  <si>
    <t>CONENHUA</t>
  </si>
  <si>
    <t>L. PARAGSHA II - UCHUCCHACUA - LINEA L-1123</t>
  </si>
  <si>
    <t>Desconectó la línea L-1123 (Paragcha II - Uchuchacua) de 138 kV, cuya causa no fue informada por CONENHUA, titular de la línea. El sistema de protección señalizó la activación de la función de distancia (21). Como consecuncia se interrumpió el suministro de la S.E. Uchucchacua con un total de 28,35 MW. A las 01:28 h, se conectó la línea y se inició la normalización del suministro interrumpido.</t>
  </si>
  <si>
    <t>GENERADOR TERMOELÉCTRICO</t>
  </si>
  <si>
    <t>L-1122</t>
  </si>
  <si>
    <t>TINGO MARÍA - AUCAYACU</t>
  </si>
  <si>
    <t>L-2264</t>
  </si>
  <si>
    <t>PARAGSHA II - CONOCOCHA</t>
  </si>
  <si>
    <t>L-1002</t>
  </si>
  <si>
    <t>MACHUPICCHU - QUENCORO</t>
  </si>
  <si>
    <t>VOLUMEN  UTIL
30-06-2018</t>
  </si>
  <si>
    <t>VOLUMEN UTIL
30-06-2017</t>
  </si>
  <si>
    <t>(9) Ingreso a operación comercial de la C.E. Wayra I, propiedad de ENEL GREEN POWER PERU S.A.  a apartir del 19.05.2018</t>
  </si>
  <si>
    <r>
      <t xml:space="preserve">C.E. WAYRA I  </t>
    </r>
    <r>
      <rPr>
        <b/>
        <sz val="7"/>
        <color theme="1"/>
        <rFont val="Arial"/>
        <family val="2"/>
      </rPr>
      <t>(9)</t>
    </r>
  </si>
  <si>
    <r>
      <t xml:space="preserve">C.S. RUBI </t>
    </r>
    <r>
      <rPr>
        <b/>
        <sz val="7"/>
        <color theme="1"/>
        <rFont val="Arial"/>
        <family val="2"/>
      </rPr>
      <t>(3)</t>
    </r>
  </si>
  <si>
    <t xml:space="preserve">ENGIE </t>
  </si>
  <si>
    <t xml:space="preserve">El total de la producción de energía eléctrica de la empresas generadoras integrantes del COES en el mes de junio 2018 fue de 4 134,92  GWh, lo que representa un incremento de 135,53 GWh (3,39%) en comparación con el año 2017.								
								</t>
  </si>
  <si>
    <t xml:space="preserve">La producción de electricidad con centrales hidroeléctricas durante el mes de junio 2018 fue de 2 113,69 GWh (2,27% menor al registrado durante junio del año 2017).								
								</t>
  </si>
  <si>
    <t xml:space="preserve">La producción de electricidad con centrales termoeléctricas durante el mes de junio 2018 fue de 1 845,94 GWh, 6,34% mayor al registrado durante junio del año 2017. La participación del gas natural de Camisea fue de 42,92%, mientras que las del gas que proviene de los yacimientos de Aguaytía y Malacas fue del 1,31%, la producción con diesel, residual, carbón, biogás y bagazo tuvieron una intervención del 0,17%, 0,00%, 0,00%, 0,07%, 0,17% respectivamente.								
								</t>
  </si>
  <si>
    <t xml:space="preserve">La producción de energía eléctrica con centrales eólicas fue de 84,88 GWh y con centrales solares fue de 15,86 GWh, los cuales tuvieron una participación de 3,11% y 1,13% respectivamente.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</si>
</sst>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8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6.5"/>
      <name val="Arial"/>
      <family val="2"/>
    </font>
    <font>
      <vertAlign val="superscript"/>
      <sz val="6.5"/>
      <name val="Arial"/>
      <family val="2"/>
    </font>
    <font>
      <sz val="6.5"/>
      <color theme="1"/>
      <name val="Arial"/>
      <family val="2"/>
    </font>
    <font>
      <vertAlign val="superscript"/>
      <sz val="6.5"/>
      <color theme="1"/>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
      <patternFill patternType="solid">
        <fgColor rgb="FFFFFF00"/>
        <bgColor indexed="6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986">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Fill="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43" fontId="13" fillId="0" borderId="88" xfId="1" applyFont="1" applyFill="1" applyBorder="1" applyAlignment="1">
      <alignment vertical="center" wrapText="1"/>
    </xf>
    <xf numFmtId="0" fontId="2" fillId="3" borderId="86" xfId="0" quotePrefix="1" applyNumberFormat="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NumberFormat="1" applyFont="1" applyFill="1" applyBorder="1" applyAlignment="1"/>
    <xf numFmtId="0" fontId="38" fillId="2" borderId="0" xfId="0" applyNumberFormat="1" applyFont="1" applyFill="1" applyBorder="1"/>
    <xf numFmtId="4" fontId="0" fillId="0" borderId="70" xfId="0" applyNumberFormat="1" applyFont="1" applyBorder="1" applyAlignment="1">
      <alignment horizontal="right" vertical="center"/>
    </xf>
    <xf numFmtId="0" fontId="34" fillId="2" borderId="0" xfId="0" applyNumberFormat="1" applyFont="1" applyFill="1" applyAlignment="1"/>
    <xf numFmtId="0" fontId="33" fillId="9" borderId="103" xfId="5" applyFont="1" applyFill="1" applyBorder="1" applyAlignment="1">
      <alignment horizontal="center" vertical="center"/>
    </xf>
    <xf numFmtId="0" fontId="31" fillId="0" borderId="106" xfId="0" applyNumberFormat="1" applyFont="1" applyFill="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NumberFormat="1" applyFont="1" applyFill="1" applyBorder="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NumberFormat="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NumberFormat="1" applyFont="1" applyFill="1" applyBorder="1" applyAlignment="1">
      <alignment vertical="center"/>
    </xf>
    <xf numFmtId="0" fontId="42" fillId="9" borderId="124" xfId="0" applyNumberFormat="1"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NumberFormat="1" applyFont="1" applyFill="1" applyBorder="1" applyAlignment="1">
      <alignment vertical="center"/>
    </xf>
    <xf numFmtId="0" fontId="33" fillId="9" borderId="125" xfId="0" applyNumberFormat="1"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NumberFormat="1" applyFont="1" applyFill="1" applyBorder="1" applyAlignment="1">
      <alignment vertical="center"/>
    </xf>
    <xf numFmtId="0" fontId="42" fillId="9" borderId="127" xfId="0" applyNumberFormat="1"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1" fillId="0" borderId="0" xfId="0" applyFont="1" applyFill="1"/>
    <xf numFmtId="0" fontId="31" fillId="0" borderId="0" xfId="0" applyFont="1"/>
    <xf numFmtId="0" fontId="34" fillId="0" borderId="0" xfId="0" applyNumberFormat="1" applyFont="1" applyFill="1" applyAlignment="1">
      <alignment vertical="center"/>
    </xf>
    <xf numFmtId="0" fontId="33" fillId="10" borderId="130"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1" fillId="7" borderId="113"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0" fontId="41" fillId="7" borderId="114" xfId="2" applyNumberFormat="1" applyFont="1" applyFill="1" applyBorder="1"/>
    <xf numFmtId="0" fontId="31" fillId="0" borderId="106" xfId="0" applyNumberFormat="1" applyFont="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NumberFormat="1" applyFont="1" applyFill="1" applyBorder="1" applyAlignment="1">
      <alignment horizontal="center" vertical="center" wrapText="1"/>
    </xf>
    <xf numFmtId="0" fontId="32" fillId="0" borderId="82" xfId="0" applyNumberFormat="1" applyFont="1" applyFill="1" applyBorder="1" applyAlignment="1">
      <alignment vertical="center" wrapText="1"/>
    </xf>
    <xf numFmtId="22"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4" fillId="0" borderId="0" xfId="0" applyFont="1" applyFill="1" applyAlignment="1"/>
    <xf numFmtId="0" fontId="45" fillId="0" borderId="0" xfId="0" applyFont="1" applyFill="1" applyBorder="1" applyAlignment="1">
      <alignment vertical="center"/>
    </xf>
    <xf numFmtId="0" fontId="46" fillId="0" borderId="0" xfId="0" applyFont="1" applyFill="1" applyAlignment="1">
      <alignment vertical="center"/>
    </xf>
    <xf numFmtId="0" fontId="45" fillId="0" borderId="0" xfId="0" applyNumberFormat="1" applyFont="1" applyFill="1" applyBorder="1" applyAlignment="1">
      <alignment vertical="center"/>
    </xf>
    <xf numFmtId="0" fontId="47" fillId="0" borderId="0" xfId="0" applyFont="1" applyFill="1" applyBorder="1" applyAlignment="1">
      <alignment vertical="center"/>
    </xf>
    <xf numFmtId="0" fontId="45" fillId="0" borderId="0" xfId="0" applyFont="1" applyFill="1" applyBorder="1" applyAlignment="1">
      <alignment horizontal="center" vertical="center"/>
    </xf>
    <xf numFmtId="0" fontId="47" fillId="0" borderId="0" xfId="0" applyFont="1" applyFill="1" applyBorder="1" applyAlignment="1">
      <alignment horizontal="justify" vertical="center"/>
    </xf>
    <xf numFmtId="0" fontId="48" fillId="0" borderId="0" xfId="0" applyFont="1" applyFill="1" applyBorder="1" applyAlignment="1">
      <alignment vertical="center"/>
    </xf>
    <xf numFmtId="0" fontId="46"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9"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1" fillId="0" borderId="0" xfId="0" applyFont="1" applyFill="1" applyBorder="1" applyAlignment="1">
      <alignment vertical="center"/>
    </xf>
    <xf numFmtId="0" fontId="52" fillId="0" borderId="0" xfId="0" applyFont="1" applyFill="1" applyAlignment="1">
      <alignment vertical="center"/>
    </xf>
    <xf numFmtId="0" fontId="51" fillId="0" borderId="0" xfId="0" applyNumberFormat="1" applyFont="1" applyFill="1" applyBorder="1" applyAlignment="1">
      <alignment vertical="center"/>
    </xf>
    <xf numFmtId="0" fontId="52" fillId="0" borderId="0" xfId="0" applyFont="1" applyFill="1" applyBorder="1" applyAlignment="1">
      <alignment vertical="center"/>
    </xf>
    <xf numFmtId="0" fontId="53" fillId="0" borderId="0" xfId="0" applyFont="1" applyFill="1" applyBorder="1" applyAlignment="1">
      <alignment vertical="center"/>
    </xf>
    <xf numFmtId="0" fontId="53" fillId="0" borderId="0" xfId="0" applyFont="1" applyFill="1" applyBorder="1" applyAlignment="1">
      <alignment horizontal="right" vertical="center"/>
    </xf>
    <xf numFmtId="0" fontId="51" fillId="0" borderId="0" xfId="0" applyFont="1" applyFill="1" applyBorder="1" applyAlignment="1">
      <alignment horizontal="center" vertical="center"/>
    </xf>
    <xf numFmtId="0" fontId="53" fillId="0" borderId="0" xfId="0" applyFont="1" applyFill="1" applyBorder="1" applyAlignment="1">
      <alignment horizontal="justify" vertical="center"/>
    </xf>
    <xf numFmtId="17" fontId="54" fillId="0" borderId="0" xfId="0" applyNumberFormat="1" applyFont="1" applyFill="1" applyBorder="1" applyAlignment="1">
      <alignment vertical="center"/>
    </xf>
    <xf numFmtId="2" fontId="54" fillId="0" borderId="0" xfId="0" applyNumberFormat="1" applyFont="1" applyFill="1" applyBorder="1" applyAlignment="1">
      <alignment vertical="center"/>
    </xf>
    <xf numFmtId="0" fontId="54" fillId="0" borderId="0" xfId="0" quotePrefix="1" applyNumberFormat="1" applyFont="1" applyFill="1" applyBorder="1" applyAlignment="1">
      <alignment vertical="center" wrapText="1"/>
    </xf>
    <xf numFmtId="2" fontId="54" fillId="0" borderId="0" xfId="0" quotePrefix="1" applyNumberFormat="1" applyFont="1" applyFill="1" applyBorder="1" applyAlignment="1">
      <alignment vertical="center" wrapText="1"/>
    </xf>
    <xf numFmtId="0" fontId="54" fillId="0" borderId="0" xfId="0" applyFont="1" applyFill="1" applyBorder="1" applyAlignment="1">
      <alignment vertical="center"/>
    </xf>
    <xf numFmtId="0" fontId="54" fillId="0" borderId="0" xfId="0" applyFont="1" applyFill="1" applyAlignment="1">
      <alignment vertical="center"/>
    </xf>
    <xf numFmtId="14" fontId="51" fillId="0" borderId="0" xfId="0" applyNumberFormat="1" applyFont="1" applyFill="1" applyBorder="1" applyAlignment="1">
      <alignment vertical="center"/>
    </xf>
    <xf numFmtId="0" fontId="52" fillId="0" borderId="0" xfId="0" applyFont="1" applyAlignment="1">
      <alignment vertical="center"/>
    </xf>
    <xf numFmtId="0" fontId="50" fillId="0" borderId="0" xfId="0" applyFont="1" applyBorder="1" applyAlignment="1">
      <alignment vertical="center"/>
    </xf>
    <xf numFmtId="1" fontId="55" fillId="0" borderId="0" xfId="0" applyNumberFormat="1" applyFont="1" applyFill="1" applyBorder="1" applyAlignment="1">
      <alignment horizontal="center" vertical="center"/>
    </xf>
    <xf numFmtId="170" fontId="56" fillId="8" borderId="0" xfId="3" applyFont="1" applyFill="1" applyBorder="1"/>
    <xf numFmtId="0" fontId="52" fillId="0" borderId="0" xfId="0" applyNumberFormat="1" applyFont="1" applyFill="1"/>
    <xf numFmtId="1" fontId="57" fillId="0" borderId="0" xfId="3" applyNumberFormat="1" applyFont="1" applyFill="1" applyBorder="1" applyAlignment="1">
      <alignment horizontal="center"/>
    </xf>
    <xf numFmtId="171" fontId="57" fillId="0" borderId="0" xfId="3" applyNumberFormat="1" applyFont="1" applyBorder="1" applyAlignment="1">
      <alignment horizontal="center"/>
    </xf>
    <xf numFmtId="2" fontId="58" fillId="0" borderId="0" xfId="3" applyNumberFormat="1" applyFont="1" applyFill="1"/>
    <xf numFmtId="0" fontId="52" fillId="0" borderId="0" xfId="0" applyNumberFormat="1" applyFont="1" applyFill="1" applyAlignment="1">
      <alignment vertical="center"/>
    </xf>
    <xf numFmtId="164" fontId="55" fillId="0" borderId="0" xfId="0" applyNumberFormat="1" applyFont="1" applyFill="1" applyBorder="1" applyAlignment="1">
      <alignment horizontal="right" vertical="center"/>
    </xf>
    <xf numFmtId="165" fontId="55" fillId="0" borderId="0" xfId="0" applyNumberFormat="1" applyFont="1" applyFill="1" applyBorder="1" applyAlignment="1">
      <alignment horizontal="right" vertical="center"/>
    </xf>
    <xf numFmtId="166" fontId="55" fillId="0" borderId="0" xfId="2" applyNumberFormat="1" applyFont="1" applyFill="1" applyBorder="1" applyAlignment="1">
      <alignment horizontal="right" vertical="center"/>
    </xf>
    <xf numFmtId="2" fontId="58" fillId="2" borderId="0" xfId="3" applyNumberFormat="1" applyFont="1" applyFill="1"/>
    <xf numFmtId="0" fontId="55" fillId="0" borderId="0" xfId="0" applyFont="1" applyBorder="1" applyAlignment="1">
      <alignment vertical="center"/>
    </xf>
    <xf numFmtId="0" fontId="55" fillId="0" borderId="0" xfId="0" applyFont="1" applyAlignment="1">
      <alignment vertical="center"/>
    </xf>
    <xf numFmtId="2" fontId="59" fillId="0" borderId="0" xfId="0" applyNumberFormat="1" applyFont="1"/>
    <xf numFmtId="2" fontId="58" fillId="0" borderId="0" xfId="3" applyNumberFormat="1" applyFont="1" applyFill="1" applyAlignment="1">
      <alignment horizontal="center"/>
    </xf>
    <xf numFmtId="0" fontId="60" fillId="0" borderId="0" xfId="0" applyFont="1" applyBorder="1" applyAlignment="1">
      <alignment vertical="center"/>
    </xf>
    <xf numFmtId="49" fontId="32" fillId="0" borderId="0" xfId="0" applyNumberFormat="1" applyFont="1" applyFill="1" applyBorder="1" applyAlignment="1">
      <alignment horizontal="center"/>
    </xf>
    <xf numFmtId="0" fontId="32" fillId="0" borderId="0" xfId="0" applyFont="1"/>
    <xf numFmtId="1" fontId="0" fillId="0" borderId="0" xfId="0" applyNumberFormat="1" applyFont="1" applyFill="1" applyBorder="1"/>
    <xf numFmtId="1" fontId="32" fillId="0" borderId="0" xfId="0" applyNumberFormat="1" applyFont="1" applyFill="1" applyBorder="1" applyAlignment="1">
      <alignment horizontal="right"/>
    </xf>
    <xf numFmtId="0" fontId="32" fillId="0" borderId="0" xfId="0" applyFont="1" applyAlignment="1">
      <alignment horizontal="right"/>
    </xf>
    <xf numFmtId="164" fontId="0" fillId="0" borderId="0" xfId="0" applyNumberFormat="1" applyFont="1" applyFill="1" applyBorder="1" applyAlignment="1">
      <alignment horizontal="right"/>
    </xf>
    <xf numFmtId="49" fontId="32" fillId="0" borderId="0" xfId="0" applyNumberFormat="1" applyFont="1" applyBorder="1" applyAlignment="1">
      <alignment horizontal="right"/>
    </xf>
    <xf numFmtId="49" fontId="32" fillId="0" borderId="0" xfId="0" applyNumberFormat="1" applyFont="1" applyFill="1" applyBorder="1" applyAlignment="1">
      <alignment horizontal="right"/>
    </xf>
    <xf numFmtId="164" fontId="32"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2"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applyFont="1"/>
    <xf numFmtId="20" fontId="0" fillId="0" borderId="0" xfId="0" applyNumberFormat="1" applyFont="1"/>
    <xf numFmtId="0" fontId="61" fillId="0" borderId="0" xfId="0" applyFont="1" applyFill="1" applyBorder="1" applyAlignment="1">
      <alignment vertical="center"/>
    </xf>
    <xf numFmtId="0" fontId="61" fillId="0" borderId="0" xfId="0" quotePrefix="1" applyNumberFormat="1" applyFont="1" applyFill="1" applyBorder="1" applyAlignment="1">
      <alignment vertical="center" wrapText="1"/>
    </xf>
    <xf numFmtId="0" fontId="61" fillId="0" borderId="0" xfId="0" applyNumberFormat="1" applyFont="1" applyFill="1" applyBorder="1" applyAlignment="1">
      <alignment vertical="center"/>
    </xf>
    <xf numFmtId="0" fontId="61"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31" fillId="0" borderId="106" xfId="1" applyNumberFormat="1" applyFont="1" applyFill="1" applyBorder="1"/>
    <xf numFmtId="43" fontId="41" fillId="7" borderId="113" xfId="1" applyNumberFormat="1" applyFont="1" applyFill="1" applyBorder="1"/>
    <xf numFmtId="43" fontId="31" fillId="0" borderId="0" xfId="1" applyNumberFormat="1" applyFont="1" applyFill="1" applyBorder="1"/>
    <xf numFmtId="43" fontId="0" fillId="0" borderId="0" xfId="0" applyNumberFormat="1" applyFont="1" applyFill="1"/>
    <xf numFmtId="0" fontId="41" fillId="0" borderId="0" xfId="0" applyFont="1" applyBorder="1"/>
    <xf numFmtId="0" fontId="0" fillId="0" borderId="0" xfId="0" applyFont="1" applyFill="1" applyBorder="1"/>
    <xf numFmtId="0" fontId="42" fillId="9" borderId="125" xfId="0" applyNumberFormat="1"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2" fontId="52" fillId="0" borderId="0" xfId="0" applyNumberFormat="1" applyFont="1" applyFill="1" applyAlignment="1">
      <alignment vertical="center"/>
    </xf>
    <xf numFmtId="2" fontId="53" fillId="0" borderId="0" xfId="0" applyNumberFormat="1" applyFont="1" applyFill="1" applyBorder="1" applyAlignment="1">
      <alignment vertical="center"/>
    </xf>
    <xf numFmtId="0" fontId="62" fillId="0" borderId="82" xfId="0" applyFont="1" applyFill="1" applyBorder="1" applyAlignment="1">
      <alignment vertical="center" wrapText="1"/>
    </xf>
    <xf numFmtId="22" fontId="62" fillId="0" borderId="82" xfId="0" applyNumberFormat="1" applyFont="1" applyFill="1" applyBorder="1" applyAlignment="1">
      <alignment horizontal="center" vertical="center"/>
    </xf>
    <xf numFmtId="0" fontId="62" fillId="0" borderId="82" xfId="0" applyFont="1" applyFill="1" applyBorder="1" applyAlignment="1">
      <alignment horizontal="justify" vertical="center"/>
    </xf>
    <xf numFmtId="0" fontId="62" fillId="0" borderId="82" xfId="0" applyFont="1" applyFill="1" applyBorder="1" applyAlignment="1">
      <alignment horizontal="center" vertical="center"/>
    </xf>
    <xf numFmtId="0" fontId="62" fillId="0" borderId="82" xfId="0" applyNumberFormat="1" applyFont="1" applyFill="1" applyBorder="1" applyAlignment="1">
      <alignment vertical="center" wrapText="1"/>
    </xf>
    <xf numFmtId="22" fontId="62" fillId="0" borderId="82" xfId="0" applyNumberFormat="1" applyFont="1" applyFill="1" applyBorder="1" applyAlignment="1">
      <alignment horizontal="center" vertical="center" wrapText="1"/>
    </xf>
    <xf numFmtId="0" fontId="62" fillId="0" borderId="82" xfId="0" applyNumberFormat="1" applyFont="1" applyFill="1" applyBorder="1" applyAlignment="1">
      <alignment horizontal="justify" vertical="center" wrapText="1"/>
    </xf>
    <xf numFmtId="0" fontId="62" fillId="0" borderId="82" xfId="0" applyNumberFormat="1" applyFont="1" applyFill="1" applyBorder="1" applyAlignment="1">
      <alignment horizontal="center" vertical="center" wrapText="1"/>
    </xf>
    <xf numFmtId="43" fontId="37" fillId="3" borderId="79" xfId="1" applyFont="1" applyFill="1" applyBorder="1" applyAlignment="1">
      <alignment horizontal="center" vertical="center" wrapText="1"/>
    </xf>
    <xf numFmtId="0" fontId="37" fillId="3" borderId="80" xfId="0" applyNumberFormat="1" applyFont="1" applyFill="1" applyBorder="1" applyAlignment="1">
      <alignment horizontal="center" vertical="center" wrapText="1"/>
    </xf>
    <xf numFmtId="0" fontId="37" fillId="3" borderId="81" xfId="0" applyNumberFormat="1" applyFont="1" applyFill="1" applyBorder="1" applyAlignment="1">
      <alignment horizontal="center" vertical="center" wrapText="1"/>
    </xf>
    <xf numFmtId="0" fontId="37" fillId="3" borderId="82" xfId="0" applyNumberFormat="1" applyFont="1" applyFill="1" applyBorder="1" applyAlignment="1">
      <alignment vertical="center" wrapText="1"/>
    </xf>
    <xf numFmtId="0" fontId="37" fillId="3" borderId="83" xfId="0" applyNumberFormat="1" applyFont="1" applyFill="1" applyBorder="1" applyAlignment="1">
      <alignment horizontal="center" vertical="center" wrapText="1"/>
    </xf>
    <xf numFmtId="0" fontId="37" fillId="3" borderId="84" xfId="0" applyNumberFormat="1" applyFont="1" applyFill="1" applyBorder="1" applyAlignment="1">
      <alignment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3" fillId="3" borderId="46" xfId="0" applyFont="1" applyFill="1" applyBorder="1" applyAlignment="1">
      <alignment vertical="center"/>
    </xf>
    <xf numFmtId="10" fontId="33"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3" fillId="3" borderId="0" xfId="0" applyFont="1" applyFill="1" applyBorder="1" applyAlignment="1">
      <alignment vertical="center"/>
    </xf>
    <xf numFmtId="4" fontId="33" fillId="3" borderId="0" xfId="0" applyNumberFormat="1" applyFont="1" applyFill="1" applyBorder="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Border="1" applyAlignment="1">
      <alignment vertical="center"/>
    </xf>
    <xf numFmtId="166" fontId="34" fillId="2" borderId="48" xfId="2" applyNumberFormat="1" applyFont="1" applyFill="1" applyBorder="1" applyAlignment="1">
      <alignment vertical="center"/>
    </xf>
    <xf numFmtId="0" fontId="27" fillId="4" borderId="0" xfId="0" applyFont="1" applyFill="1" applyBorder="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64" fillId="2" borderId="92" xfId="0" applyNumberFormat="1" applyFont="1" applyFill="1" applyBorder="1" applyAlignment="1">
      <alignment horizontal="center" vertical="center" wrapText="1"/>
    </xf>
    <xf numFmtId="0" fontId="64" fillId="2" borderId="92" xfId="0" applyNumberFormat="1" applyFont="1" applyFill="1" applyBorder="1" applyAlignment="1">
      <alignment horizontal="center" vertical="center"/>
    </xf>
    <xf numFmtId="0" fontId="64" fillId="2" borderId="92" xfId="2" applyNumberFormat="1" applyFont="1" applyFill="1" applyBorder="1" applyAlignment="1">
      <alignment horizontal="center" vertical="center"/>
    </xf>
    <xf numFmtId="0" fontId="63" fillId="0" borderId="92" xfId="0" applyNumberFormat="1" applyFont="1" applyFill="1" applyBorder="1" applyAlignment="1">
      <alignment horizontal="center" vertical="center"/>
    </xf>
    <xf numFmtId="4" fontId="64" fillId="0" borderId="92" xfId="0" applyNumberFormat="1" applyFont="1" applyFill="1" applyBorder="1" applyAlignment="1">
      <alignment horizontal="center" vertical="center"/>
    </xf>
    <xf numFmtId="0" fontId="63" fillId="4" borderId="92" xfId="0" applyFont="1" applyFill="1" applyBorder="1" applyAlignment="1">
      <alignment vertical="center"/>
    </xf>
    <xf numFmtId="0" fontId="64" fillId="4" borderId="92" xfId="0" applyNumberFormat="1" applyFont="1" applyFill="1" applyBorder="1" applyAlignment="1">
      <alignment horizontal="center" vertical="center"/>
    </xf>
    <xf numFmtId="0" fontId="64" fillId="4" borderId="92" xfId="2" applyNumberFormat="1" applyFont="1" applyFill="1" applyBorder="1" applyAlignment="1">
      <alignment horizontal="center" vertical="center"/>
    </xf>
    <xf numFmtId="0" fontId="63" fillId="4" borderId="92" xfId="0" applyNumberFormat="1" applyFont="1" applyFill="1" applyBorder="1" applyAlignment="1">
      <alignment horizontal="center" vertical="center"/>
    </xf>
    <xf numFmtId="4" fontId="64" fillId="4" borderId="92" xfId="0" applyNumberFormat="1" applyFont="1" applyFill="1" applyBorder="1" applyAlignment="1">
      <alignment horizontal="center" vertical="center"/>
    </xf>
    <xf numFmtId="0" fontId="32" fillId="0" borderId="0" xfId="0" applyNumberFormat="1" applyFont="1" applyFill="1" applyBorder="1" applyAlignment="1">
      <alignment vertical="center" wrapText="1"/>
    </xf>
    <xf numFmtId="22" fontId="32" fillId="0" borderId="0" xfId="0" applyNumberFormat="1" applyFont="1" applyFill="1" applyBorder="1" applyAlignment="1">
      <alignment horizontal="center" vertical="center" wrapText="1"/>
    </xf>
    <xf numFmtId="0" fontId="62" fillId="0" borderId="0" xfId="0" applyNumberFormat="1" applyFont="1" applyFill="1" applyBorder="1" applyAlignment="1">
      <alignment horizontal="justify" vertical="center" wrapText="1"/>
    </xf>
    <xf numFmtId="0" fontId="32" fillId="0" borderId="0" xfId="0" applyNumberFormat="1" applyFont="1" applyFill="1" applyBorder="1" applyAlignment="1">
      <alignment horizontal="center" vertical="center" wrapText="1"/>
    </xf>
    <xf numFmtId="0" fontId="33" fillId="3" borderId="0" xfId="0" quotePrefix="1" applyNumberFormat="1" applyFont="1" applyFill="1" applyBorder="1" applyAlignment="1">
      <alignment horizontal="center" vertical="center" wrapText="1"/>
    </xf>
    <xf numFmtId="17" fontId="33" fillId="3" borderId="93" xfId="0" applyNumberFormat="1" applyFont="1" applyFill="1" applyBorder="1" applyAlignment="1">
      <alignment horizontal="center" vertical="center" wrapText="1"/>
    </xf>
    <xf numFmtId="168" fontId="33" fillId="3" borderId="93" xfId="0" applyNumberFormat="1" applyFont="1" applyFill="1" applyBorder="1" applyAlignment="1">
      <alignment horizontal="center" vertical="center" wrapText="1"/>
    </xf>
    <xf numFmtId="0" fontId="33" fillId="3" borderId="93" xfId="0" applyNumberFormat="1" applyFont="1" applyFill="1" applyBorder="1" applyAlignment="1">
      <alignment horizontal="center" vertical="center" wrapText="1"/>
    </xf>
    <xf numFmtId="0" fontId="33" fillId="3" borderId="94" xfId="0" applyNumberFormat="1" applyFont="1" applyFill="1" applyBorder="1" applyAlignment="1">
      <alignment horizontal="center" vertical="center" wrapText="1"/>
    </xf>
    <xf numFmtId="0" fontId="33" fillId="3" borderId="139" xfId="0" quotePrefix="1" applyNumberFormat="1" applyFont="1" applyFill="1" applyBorder="1" applyAlignment="1">
      <alignment horizontal="left" vertical="center"/>
    </xf>
    <xf numFmtId="167" fontId="33" fillId="3" borderId="140" xfId="0" applyNumberFormat="1" applyFont="1" applyFill="1" applyBorder="1" applyAlignment="1">
      <alignment horizontal="right" vertical="center"/>
    </xf>
    <xf numFmtId="167" fontId="33" fillId="3" borderId="140" xfId="0" applyNumberFormat="1" applyFont="1" applyFill="1" applyBorder="1" applyAlignment="1">
      <alignment horizontal="left" vertical="center"/>
    </xf>
    <xf numFmtId="0" fontId="33" fillId="3" borderId="140" xfId="2" applyNumberFormat="1" applyFont="1" applyFill="1" applyBorder="1" applyAlignment="1">
      <alignment horizontal="left" vertical="center"/>
    </xf>
    <xf numFmtId="0" fontId="33" fillId="3" borderId="141" xfId="2" applyNumberFormat="1" applyFont="1" applyFill="1" applyBorder="1" applyAlignment="1">
      <alignment horizontal="center" vertical="center"/>
    </xf>
    <xf numFmtId="4" fontId="33" fillId="3" borderId="95" xfId="0" applyNumberFormat="1" applyFont="1" applyFill="1" applyBorder="1" applyAlignment="1">
      <alignment horizontal="center" vertical="center"/>
    </xf>
    <xf numFmtId="0" fontId="33" fillId="3" borderId="95" xfId="0" applyNumberFormat="1" applyFont="1" applyFill="1" applyBorder="1" applyAlignment="1">
      <alignment horizontal="center" vertical="center"/>
    </xf>
    <xf numFmtId="0" fontId="38" fillId="2" borderId="0" xfId="0" applyNumberFormat="1" applyFont="1" applyFill="1"/>
    <xf numFmtId="169" fontId="27" fillId="5" borderId="29" xfId="0" applyNumberFormat="1" applyFont="1" applyFill="1" applyBorder="1" applyAlignment="1">
      <alignment horizontal="center" vertical="center"/>
    </xf>
    <xf numFmtId="166" fontId="27" fillId="5" borderId="24" xfId="2" applyNumberFormat="1" applyFont="1" applyFill="1" applyBorder="1" applyAlignment="1">
      <alignment horizontal="center" vertical="center"/>
    </xf>
    <xf numFmtId="169" fontId="27" fillId="2" borderId="31" xfId="0" applyNumberFormat="1" applyFont="1" applyFill="1" applyBorder="1" applyAlignment="1">
      <alignment horizontal="center" vertical="center"/>
    </xf>
    <xf numFmtId="166" fontId="27" fillId="2" borderId="25" xfId="2" applyNumberFormat="1" applyFont="1" applyFill="1" applyBorder="1" applyAlignment="1">
      <alignment horizontal="center" vertical="center"/>
    </xf>
    <xf numFmtId="169" fontId="27" fillId="5" borderId="31" xfId="0" applyNumberFormat="1" applyFont="1" applyFill="1" applyBorder="1" applyAlignment="1">
      <alignment horizontal="center" vertical="center"/>
    </xf>
    <xf numFmtId="166" fontId="27" fillId="5" borderId="25" xfId="2" applyNumberFormat="1" applyFont="1" applyFill="1" applyBorder="1" applyAlignment="1">
      <alignment horizontal="center" vertical="center"/>
    </xf>
    <xf numFmtId="169" fontId="27" fillId="2" borderId="34" xfId="0" applyNumberFormat="1" applyFont="1" applyFill="1" applyBorder="1" applyAlignment="1">
      <alignment horizontal="center" vertical="center"/>
    </xf>
    <xf numFmtId="166" fontId="27" fillId="2" borderId="26" xfId="2" applyNumberFormat="1" applyFont="1" applyFill="1" applyBorder="1" applyAlignment="1">
      <alignment horizontal="center" vertical="center"/>
    </xf>
    <xf numFmtId="169" fontId="41" fillId="5" borderId="40" xfId="0" applyNumberFormat="1" applyFont="1" applyFill="1" applyBorder="1" applyAlignment="1">
      <alignment horizontal="center" vertical="center"/>
    </xf>
    <xf numFmtId="166" fontId="34" fillId="5" borderId="23" xfId="2" applyNumberFormat="1" applyFont="1" applyFill="1" applyBorder="1" applyAlignment="1">
      <alignment horizontal="center" vertical="center"/>
    </xf>
    <xf numFmtId="0" fontId="38" fillId="2" borderId="0" xfId="0" applyNumberFormat="1" applyFont="1" applyFill="1" applyAlignment="1">
      <alignment horizontal="left" vertical="center"/>
    </xf>
    <xf numFmtId="4" fontId="27" fillId="0" borderId="137" xfId="0" applyNumberFormat="1" applyFont="1" applyFill="1" applyBorder="1"/>
    <xf numFmtId="20" fontId="27" fillId="0" borderId="137" xfId="0" applyNumberFormat="1" applyFont="1" applyFill="1" applyBorder="1" applyAlignment="1">
      <alignment horizontal="center"/>
    </xf>
    <xf numFmtId="4" fontId="0" fillId="0" borderId="0" xfId="0" applyNumberFormat="1" applyFont="1" applyAlignment="1">
      <alignment vertical="center"/>
    </xf>
    <xf numFmtId="17" fontId="33" fillId="3" borderId="26" xfId="0" quotePrefix="1" applyNumberFormat="1" applyFont="1" applyFill="1" applyBorder="1" applyAlignment="1">
      <alignment horizontal="center" vertical="center" wrapText="1"/>
    </xf>
    <xf numFmtId="17" fontId="33" fillId="3" borderId="32" xfId="0" quotePrefix="1" applyNumberFormat="1" applyFont="1" applyFill="1" applyBorder="1" applyAlignment="1">
      <alignment horizontal="center" vertical="center" wrapText="1"/>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4" fillId="2" borderId="0" xfId="0" quotePrefix="1" applyNumberFormat="1" applyFont="1" applyFill="1" applyBorder="1" applyAlignment="1">
      <alignment horizontal="left" vertical="center"/>
    </xf>
    <xf numFmtId="0" fontId="63" fillId="2" borderId="92" xfId="0" applyFont="1" applyFill="1" applyBorder="1" applyAlignment="1">
      <alignment vertical="center" wrapText="1"/>
    </xf>
    <xf numFmtId="0" fontId="37" fillId="3" borderId="96" xfId="0" applyFont="1" applyFill="1" applyBorder="1" applyAlignment="1">
      <alignment horizontal="center" vertical="center" wrapText="1"/>
    </xf>
    <xf numFmtId="0" fontId="37" fillId="3" borderId="97" xfId="0"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41" fillId="5" borderId="23" xfId="0" applyNumberFormat="1" applyFont="1" applyFill="1" applyBorder="1" applyAlignment="1">
      <alignment horizontal="center" vertical="center"/>
    </xf>
    <xf numFmtId="169" fontId="13" fillId="2" borderId="0" xfId="0" applyNumberFormat="1" applyFont="1" applyFill="1" applyBorder="1" applyAlignment="1">
      <alignment horizontal="right"/>
    </xf>
    <xf numFmtId="0" fontId="41" fillId="0" borderId="110" xfId="0" applyFont="1" applyBorder="1" applyAlignment="1">
      <alignment vertical="center" wrapText="1"/>
    </xf>
    <xf numFmtId="0" fontId="31" fillId="0" borderId="0" xfId="0" applyNumberFormat="1" applyFont="1" applyFill="1" applyBorder="1" applyAlignment="1">
      <alignment vertical="center"/>
    </xf>
    <xf numFmtId="43" fontId="31" fillId="0" borderId="0" xfId="1" applyFont="1" applyFill="1" applyBorder="1" applyAlignment="1">
      <alignment vertical="center"/>
    </xf>
    <xf numFmtId="43" fontId="31" fillId="0" borderId="109" xfId="1" applyFont="1" applyFill="1" applyBorder="1" applyAlignment="1">
      <alignment vertical="center"/>
    </xf>
    <xf numFmtId="0" fontId="41" fillId="7" borderId="113" xfId="0" applyFont="1" applyFill="1" applyBorder="1" applyAlignment="1">
      <alignment vertical="center"/>
    </xf>
    <xf numFmtId="43" fontId="41" fillId="7" borderId="113" xfId="1" applyFont="1" applyFill="1" applyBorder="1" applyAlignment="1">
      <alignment vertical="center"/>
    </xf>
    <xf numFmtId="43" fontId="41" fillId="7" borderId="114" xfId="1" applyFont="1" applyFill="1" applyBorder="1" applyAlignment="1">
      <alignment vertical="center"/>
    </xf>
    <xf numFmtId="0" fontId="41" fillId="7" borderId="112" xfId="0" applyFont="1" applyFill="1" applyBorder="1" applyAlignment="1">
      <alignment vertical="center"/>
    </xf>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5" fillId="0" borderId="0" xfId="0" applyNumberFormat="1" applyFont="1" applyFill="1" applyBorder="1" applyAlignment="1">
      <alignment horizontal="center"/>
    </xf>
    <xf numFmtId="0" fontId="65" fillId="0" borderId="0" xfId="0" applyFont="1" applyFill="1"/>
    <xf numFmtId="0" fontId="65" fillId="0" borderId="0" xfId="0" applyFont="1"/>
    <xf numFmtId="2" fontId="21" fillId="4" borderId="16" xfId="0" applyNumberFormat="1" applyFont="1" applyFill="1" applyBorder="1" applyAlignment="1">
      <alignment horizontal="right" vertical="center"/>
    </xf>
    <xf numFmtId="0" fontId="64" fillId="0" borderId="88" xfId="0" applyFont="1" applyFill="1" applyBorder="1" applyAlignment="1">
      <alignment vertical="center" wrapText="1"/>
    </xf>
    <xf numFmtId="167" fontId="66" fillId="4" borderId="95" xfId="0" applyNumberFormat="1" applyFont="1" applyFill="1" applyBorder="1" applyAlignment="1">
      <alignment horizontal="center" vertical="center" wrapText="1"/>
    </xf>
    <xf numFmtId="0" fontId="66" fillId="4" borderId="95" xfId="0" quotePrefix="1" applyNumberFormat="1" applyFont="1" applyFill="1" applyBorder="1" applyAlignment="1">
      <alignment vertical="center" wrapText="1"/>
    </xf>
    <xf numFmtId="0" fontId="66" fillId="4" borderId="95" xfId="2" applyNumberFormat="1" applyFont="1" applyFill="1" applyBorder="1" applyAlignment="1">
      <alignment horizontal="center" vertical="center" wrapText="1"/>
    </xf>
    <xf numFmtId="4" fontId="66" fillId="4" borderId="95" xfId="0" applyNumberFormat="1" applyFont="1" applyFill="1" applyBorder="1" applyAlignment="1">
      <alignment horizontal="center" vertical="center" wrapText="1"/>
    </xf>
    <xf numFmtId="0" fontId="66" fillId="4" borderId="95" xfId="0" applyNumberFormat="1" applyFont="1" applyFill="1" applyBorder="1" applyAlignment="1">
      <alignment horizontal="center" vertical="center" wrapText="1"/>
    </xf>
    <xf numFmtId="0" fontId="68" fillId="2" borderId="95" xfId="0" quotePrefix="1" applyNumberFormat="1" applyFont="1" applyFill="1" applyBorder="1" applyAlignment="1">
      <alignment vertical="center" wrapText="1"/>
    </xf>
    <xf numFmtId="167" fontId="68" fillId="2" borderId="95" xfId="0" applyNumberFormat="1" applyFont="1" applyFill="1" applyBorder="1" applyAlignment="1">
      <alignment horizontal="center" vertical="center" wrapText="1"/>
    </xf>
    <xf numFmtId="0" fontId="68" fillId="2" borderId="95" xfId="2" applyNumberFormat="1" applyFont="1" applyFill="1" applyBorder="1" applyAlignment="1">
      <alignment horizontal="center" vertical="center" wrapText="1"/>
    </xf>
    <xf numFmtId="4" fontId="68" fillId="2" borderId="95" xfId="0" applyNumberFormat="1" applyFont="1" applyFill="1" applyBorder="1" applyAlignment="1">
      <alignment horizontal="center" vertical="center" wrapText="1"/>
    </xf>
    <xf numFmtId="0" fontId="68" fillId="2" borderId="95" xfId="0" applyNumberFormat="1" applyFont="1" applyFill="1" applyBorder="1" applyAlignment="1">
      <alignment horizontal="center" vertical="center" wrapText="1"/>
    </xf>
    <xf numFmtId="2" fontId="66" fillId="4" borderId="95" xfId="2" applyNumberFormat="1" applyFont="1" applyFill="1" applyBorder="1" applyAlignment="1">
      <alignment horizontal="center" vertical="center" wrapText="1"/>
    </xf>
    <xf numFmtId="2" fontId="68" fillId="2" borderId="95" xfId="2" applyNumberFormat="1" applyFont="1" applyFill="1" applyBorder="1" applyAlignment="1">
      <alignment horizontal="center" vertical="center" wrapText="1"/>
    </xf>
    <xf numFmtId="173" fontId="66" fillId="4" borderId="95" xfId="0" applyNumberFormat="1" applyFont="1" applyFill="1" applyBorder="1" applyAlignment="1">
      <alignment horizontal="center" vertical="center" wrapText="1"/>
    </xf>
    <xf numFmtId="4" fontId="33"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1" fillId="11" borderId="0" xfId="0" applyFont="1" applyFill="1"/>
    <xf numFmtId="0" fontId="0" fillId="11" borderId="0" xfId="0" applyFont="1" applyFill="1"/>
    <xf numFmtId="0" fontId="70" fillId="0" borderId="0" xfId="0" applyFont="1"/>
    <xf numFmtId="0" fontId="71" fillId="0" borderId="0" xfId="0" applyFont="1"/>
    <xf numFmtId="0" fontId="71" fillId="0" borderId="0" xfId="0" applyFont="1" applyAlignment="1">
      <alignment horizontal="center" vertical="center"/>
    </xf>
    <xf numFmtId="0" fontId="72" fillId="2" borderId="0" xfId="0" applyNumberFormat="1" applyFont="1" applyFill="1" applyAlignment="1">
      <alignment horizontal="left" vertical="center" wrapText="1"/>
    </xf>
    <xf numFmtId="0" fontId="70" fillId="0" borderId="0" xfId="0" applyFont="1" applyAlignment="1">
      <alignment vertical="center"/>
    </xf>
    <xf numFmtId="4" fontId="63" fillId="4" borderId="92" xfId="0" applyNumberFormat="1" applyFont="1" applyFill="1" applyBorder="1" applyAlignment="1">
      <alignment horizontal="center"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7" borderId="137" xfId="0" applyNumberFormat="1" applyFont="1" applyFill="1" applyBorder="1" applyAlignment="1">
      <alignment horizontal="center"/>
    </xf>
    <xf numFmtId="0" fontId="32" fillId="0" borderId="143" xfId="0" applyNumberFormat="1" applyFont="1" applyFill="1" applyBorder="1" applyAlignment="1">
      <alignment vertical="center" wrapText="1"/>
    </xf>
    <xf numFmtId="22" fontId="32" fillId="0" borderId="143" xfId="0" applyNumberFormat="1" applyFont="1" applyFill="1" applyBorder="1" applyAlignment="1">
      <alignment horizontal="center" vertical="center" wrapText="1"/>
    </xf>
    <xf numFmtId="0" fontId="62" fillId="0" borderId="143" xfId="0" applyNumberFormat="1" applyFont="1" applyFill="1" applyBorder="1" applyAlignment="1">
      <alignment horizontal="justify" vertical="center" wrapText="1"/>
    </xf>
    <xf numFmtId="0" fontId="32" fillId="0" borderId="143" xfId="0" applyNumberFormat="1" applyFont="1" applyFill="1" applyBorder="1" applyAlignment="1">
      <alignment horizontal="center" vertical="center" wrapText="1"/>
    </xf>
    <xf numFmtId="166" fontId="13" fillId="0" borderId="88" xfId="2" applyNumberFormat="1" applyFont="1" applyFill="1" applyBorder="1" applyAlignment="1">
      <alignment horizontal="center" vertical="center"/>
    </xf>
    <xf numFmtId="0" fontId="73" fillId="0" borderId="0" xfId="0" applyFont="1" applyFill="1" applyBorder="1"/>
    <xf numFmtId="0" fontId="73" fillId="0" borderId="0" xfId="0" applyFont="1"/>
    <xf numFmtId="2" fontId="73" fillId="0" borderId="0" xfId="0" applyNumberFormat="1" applyFont="1" applyFill="1" applyBorder="1" applyAlignment="1">
      <alignment horizontal="center" vertical="center" wrapText="1"/>
    </xf>
    <xf numFmtId="2" fontId="73" fillId="0" borderId="0" xfId="0" quotePrefix="1" applyNumberFormat="1" applyFont="1" applyFill="1" applyBorder="1" applyAlignment="1">
      <alignment horizontal="center" vertical="center" wrapText="1"/>
    </xf>
    <xf numFmtId="17" fontId="73" fillId="0" borderId="0" xfId="0" quotePrefix="1" applyNumberFormat="1" applyFont="1" applyFill="1" applyBorder="1" applyAlignment="1">
      <alignment horizontal="center" vertical="center" wrapText="1"/>
    </xf>
    <xf numFmtId="0" fontId="73" fillId="0" borderId="0" xfId="0" quotePrefix="1" applyNumberFormat="1" applyFont="1" applyFill="1" applyBorder="1" applyAlignment="1">
      <alignment horizontal="center" vertical="center" wrapText="1"/>
    </xf>
    <xf numFmtId="2" fontId="73" fillId="0" borderId="0" xfId="0" applyNumberFormat="1" applyFont="1" applyFill="1" applyBorder="1" applyAlignment="1">
      <alignment horizontal="left"/>
    </xf>
    <xf numFmtId="2" fontId="73" fillId="0" borderId="0" xfId="0" applyNumberFormat="1" applyFont="1" applyFill="1" applyBorder="1" applyAlignment="1">
      <alignment horizontal="center"/>
    </xf>
    <xf numFmtId="2" fontId="74" fillId="0" borderId="0" xfId="0" applyNumberFormat="1" applyFont="1" applyFill="1" applyBorder="1" applyAlignment="1">
      <alignment horizontal="center"/>
    </xf>
    <xf numFmtId="174" fontId="73" fillId="0" borderId="0" xfId="0" applyNumberFormat="1" applyFont="1"/>
    <xf numFmtId="43" fontId="73" fillId="0" borderId="0" xfId="1" applyFont="1" applyFill="1" applyBorder="1" applyAlignment="1">
      <alignment horizontal="center"/>
    </xf>
    <xf numFmtId="0" fontId="73" fillId="0" borderId="0" xfId="0" applyNumberFormat="1" applyFont="1" applyFill="1" applyBorder="1" applyAlignment="1">
      <alignment vertical="top" wrapText="1"/>
    </xf>
    <xf numFmtId="0" fontId="75" fillId="0" borderId="0" xfId="0" applyFont="1"/>
    <xf numFmtId="0" fontId="75" fillId="0" borderId="0" xfId="0" applyFont="1" applyAlignment="1">
      <alignment horizontal="center"/>
    </xf>
    <xf numFmtId="165" fontId="75"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0" fontId="76" fillId="8" borderId="0" xfId="3" applyFont="1" applyFill="1" applyBorder="1"/>
    <xf numFmtId="0" fontId="75" fillId="0" borderId="0" xfId="0" applyNumberFormat="1" applyFont="1" applyFill="1"/>
    <xf numFmtId="171" fontId="76" fillId="8" borderId="0" xfId="3" applyNumberFormat="1" applyFont="1" applyFill="1" applyBorder="1"/>
    <xf numFmtId="1" fontId="77" fillId="0" borderId="0" xfId="3" applyNumberFormat="1" applyFont="1" applyFill="1" applyBorder="1" applyAlignment="1">
      <alignment horizontal="center"/>
    </xf>
    <xf numFmtId="171" fontId="77" fillId="0" borderId="0" xfId="3" applyNumberFormat="1" applyFont="1" applyBorder="1" applyAlignment="1">
      <alignment horizontal="center"/>
    </xf>
    <xf numFmtId="2" fontId="78" fillId="0" borderId="0" xfId="3" applyNumberFormat="1" applyFont="1" applyFill="1"/>
    <xf numFmtId="2" fontId="78" fillId="0" borderId="0" xfId="3" applyNumberFormat="1" applyFont="1" applyFill="1" applyAlignment="1">
      <alignment horizontal="center"/>
    </xf>
    <xf numFmtId="2" fontId="78" fillId="0" borderId="0" xfId="3" applyNumberFormat="1" applyFont="1" applyBorder="1"/>
    <xf numFmtId="2" fontId="78" fillId="0" borderId="0" xfId="3" applyNumberFormat="1" applyFont="1"/>
    <xf numFmtId="2" fontId="78" fillId="0" borderId="0" xfId="3" applyNumberFormat="1" applyFont="1" applyAlignment="1">
      <alignment horizontal="center"/>
    </xf>
    <xf numFmtId="0" fontId="75" fillId="0" borderId="0" xfId="0" applyNumberFormat="1" applyFont="1" applyFill="1" applyAlignment="1">
      <alignment vertical="center"/>
    </xf>
    <xf numFmtId="2" fontId="78" fillId="2" borderId="0" xfId="3" applyNumberFormat="1" applyFont="1" applyFill="1"/>
    <xf numFmtId="2" fontId="79" fillId="0" borderId="0" xfId="0" applyNumberFormat="1" applyFont="1"/>
    <xf numFmtId="2" fontId="80" fillId="0" borderId="0" xfId="4" applyNumberFormat="1" applyFont="1"/>
    <xf numFmtId="0" fontId="63" fillId="4" borderId="92" xfId="2" applyNumberFormat="1" applyFont="1" applyFill="1" applyBorder="1" applyAlignment="1">
      <alignment horizontal="center" vertical="center"/>
    </xf>
    <xf numFmtId="0" fontId="41" fillId="0" borderId="106" xfId="0" applyFont="1" applyBorder="1"/>
    <xf numFmtId="10" fontId="31" fillId="0" borderId="106" xfId="2" applyNumberFormat="1" applyFont="1" applyBorder="1"/>
    <xf numFmtId="10" fontId="31" fillId="0" borderId="107" xfId="2" applyNumberFormat="1" applyFont="1" applyBorder="1"/>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34" fillId="5" borderId="38" xfId="0" applyNumberFormat="1" applyFont="1" applyFill="1" applyBorder="1" applyAlignment="1">
      <alignment horizontal="left" vertical="center"/>
    </xf>
    <xf numFmtId="0" fontId="34" fillId="5" borderId="40" xfId="0" applyNumberFormat="1" applyFont="1" applyFill="1" applyBorder="1" applyAlignment="1">
      <alignment horizontal="left" vertical="center"/>
    </xf>
    <xf numFmtId="0" fontId="33" fillId="3" borderId="34" xfId="0" applyNumberFormat="1" applyFont="1" applyFill="1" applyBorder="1" applyAlignment="1">
      <alignment horizontal="center" vertical="center" wrapText="1"/>
    </xf>
    <xf numFmtId="0" fontId="33" fillId="3" borderId="26" xfId="0" applyNumberFormat="1" applyFont="1" applyFill="1" applyBorder="1" applyAlignment="1">
      <alignment horizontal="center" vertical="center" wrapText="1"/>
    </xf>
    <xf numFmtId="0" fontId="38"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34" fillId="5" borderId="27" xfId="0" applyNumberFormat="1" applyFont="1" applyFill="1" applyBorder="1" applyAlignment="1">
      <alignment horizontal="left" vertical="center"/>
    </xf>
    <xf numFmtId="0" fontId="34" fillId="5" borderId="29" xfId="0" applyNumberFormat="1" applyFont="1" applyFill="1" applyBorder="1" applyAlignment="1">
      <alignment horizontal="left" vertical="center"/>
    </xf>
    <xf numFmtId="0" fontId="34" fillId="2" borderId="30" xfId="0" applyNumberFormat="1" applyFont="1" applyFill="1" applyBorder="1" applyAlignment="1">
      <alignment horizontal="left" vertical="center"/>
    </xf>
    <xf numFmtId="0" fontId="34" fillId="2" borderId="31" xfId="0" applyNumberFormat="1" applyFont="1" applyFill="1" applyBorder="1" applyAlignment="1">
      <alignment horizontal="left" vertical="center"/>
    </xf>
    <xf numFmtId="0" fontId="34" fillId="5" borderId="30" xfId="0" applyNumberFormat="1" applyFont="1" applyFill="1" applyBorder="1" applyAlignment="1">
      <alignment horizontal="left" vertical="center"/>
    </xf>
    <xf numFmtId="0" fontId="34" fillId="5" borderId="31" xfId="0" applyNumberFormat="1" applyFont="1" applyFill="1" applyBorder="1" applyAlignment="1">
      <alignment horizontal="left" vertical="center"/>
    </xf>
    <xf numFmtId="0" fontId="34" fillId="2" borderId="32" xfId="0" applyNumberFormat="1" applyFont="1" applyFill="1" applyBorder="1" applyAlignment="1">
      <alignment horizontal="left" vertical="center"/>
    </xf>
    <xf numFmtId="0" fontId="34" fillId="2" borderId="34" xfId="0" applyNumberFormat="1" applyFont="1" applyFill="1" applyBorder="1" applyAlignment="1">
      <alignment horizontal="left" vertical="center"/>
    </xf>
    <xf numFmtId="0" fontId="64" fillId="2" borderId="0" xfId="0" quotePrefix="1" applyNumberFormat="1" applyFont="1" applyFill="1" applyBorder="1" applyAlignment="1">
      <alignment horizontal="left" vertical="center"/>
    </xf>
    <xf numFmtId="0" fontId="64" fillId="2" borderId="0" xfId="0" quotePrefix="1" applyNumberFormat="1" applyFont="1" applyFill="1" applyBorder="1" applyAlignment="1">
      <alignment horizontal="left" vertical="center" wrapText="1"/>
    </xf>
    <xf numFmtId="0" fontId="32"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13" fillId="0" borderId="100" xfId="0" applyFont="1" applyFill="1" applyBorder="1" applyAlignment="1">
      <alignment horizontal="left" vertical="center"/>
    </xf>
    <xf numFmtId="0" fontId="13" fillId="0" borderId="101" xfId="0" applyFont="1" applyFill="1" applyBorder="1" applyAlignment="1">
      <alignment horizontal="left" vertical="center"/>
    </xf>
    <xf numFmtId="0" fontId="13" fillId="0" borderId="102" xfId="0" applyFont="1" applyFill="1" applyBorder="1" applyAlignment="1">
      <alignment horizontal="left" vertical="center"/>
    </xf>
    <xf numFmtId="0" fontId="13" fillId="0" borderId="100" xfId="0" applyFont="1" applyFill="1" applyBorder="1" applyAlignment="1">
      <alignment horizontal="center" vertical="center"/>
    </xf>
    <xf numFmtId="0" fontId="13" fillId="0" borderId="102" xfId="0" applyFont="1" applyFill="1" applyBorder="1" applyAlignment="1">
      <alignment horizontal="center" vertical="center"/>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8" fillId="2" borderId="0" xfId="0" applyNumberFormat="1" applyFont="1" applyFill="1" applyBorder="1" applyAlignment="1">
      <alignment wrapText="1"/>
    </xf>
    <xf numFmtId="0" fontId="39" fillId="2" borderId="0" xfId="0" quotePrefix="1" applyNumberFormat="1" applyFont="1" applyFill="1" applyBorder="1" applyAlignment="1">
      <alignment horizontal="center" vertical="center" wrapText="1"/>
    </xf>
    <xf numFmtId="0" fontId="39" fillId="2" borderId="0" xfId="0" applyNumberFormat="1" applyFont="1" applyFill="1" applyBorder="1" applyAlignment="1">
      <alignment horizontal="center"/>
    </xf>
    <xf numFmtId="0" fontId="38" fillId="2" borderId="0" xfId="0" applyNumberFormat="1" applyFont="1" applyFill="1" applyBorder="1" applyAlignment="1">
      <alignment vertical="center" wrapText="1"/>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2" fillId="2" borderId="0" xfId="0" quotePrefix="1" applyNumberFormat="1" applyFont="1" applyFill="1" applyBorder="1" applyAlignment="1">
      <alignment horizontal="left" vertical="center" wrapText="1"/>
    </xf>
    <xf numFmtId="0" fontId="38" fillId="2" borderId="99" xfId="0" quotePrefix="1" applyNumberFormat="1" applyFont="1" applyFill="1" applyBorder="1" applyAlignment="1">
      <alignment horizontal="left"/>
    </xf>
    <xf numFmtId="0" fontId="33" fillId="9" borderId="115" xfId="5" applyNumberFormat="1" applyFont="1" applyFill="1" applyBorder="1" applyAlignment="1">
      <alignment horizontal="center" vertical="center"/>
    </xf>
    <xf numFmtId="0" fontId="33" fillId="9" borderId="118" xfId="5" applyNumberFormat="1" applyFont="1" applyFill="1" applyBorder="1" applyAlignment="1">
      <alignment horizontal="center" vertical="center"/>
    </xf>
    <xf numFmtId="0" fontId="33" fillId="9" borderId="120" xfId="5" applyNumberFormat="1" applyFont="1" applyFill="1" applyBorder="1" applyAlignment="1">
      <alignment horizontal="center" vertical="center"/>
    </xf>
    <xf numFmtId="0" fontId="33" fillId="9" borderId="116" xfId="5" applyNumberFormat="1" applyFont="1" applyFill="1" applyBorder="1" applyAlignment="1">
      <alignment horizontal="center" vertical="center"/>
    </xf>
    <xf numFmtId="0" fontId="33" fillId="9" borderId="103"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41" fillId="0" borderId="111" xfId="0" applyFont="1" applyBorder="1" applyAlignment="1">
      <alignment horizontal="left" vertical="center" wrapText="1"/>
    </xf>
    <xf numFmtId="0" fontId="41" fillId="0" borderId="110" xfId="0" applyFont="1" applyBorder="1" applyAlignment="1">
      <alignment horizontal="left" vertical="center" wrapText="1"/>
    </xf>
    <xf numFmtId="0" fontId="33" fillId="9" borderId="45" xfId="5" applyNumberFormat="1" applyFont="1" applyFill="1" applyBorder="1" applyAlignment="1">
      <alignment horizontal="center" vertical="center"/>
    </xf>
    <xf numFmtId="0" fontId="33" fillId="9" borderId="105"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4" xfId="6" applyNumberFormat="1" applyFont="1" applyFill="1" applyBorder="1" applyAlignment="1">
      <alignment horizontal="center" vertical="center"/>
    </xf>
    <xf numFmtId="0" fontId="33" fillId="10" borderId="129"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0" fontId="33" fillId="10" borderId="135"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A3A3A3"/>
      <color rgb="FF9B9B9B"/>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2113.6878663950001</c:v>
                </c:pt>
                <c:pt idx="1">
                  <c:v>1828.9602865424999</c:v>
                </c:pt>
                <c:pt idx="2">
                  <c:v>0</c:v>
                </c:pt>
                <c:pt idx="3">
                  <c:v>7.0902351625000009</c:v>
                </c:pt>
                <c:pt idx="4">
                  <c:v>9.8846493975000005</c:v>
                </c:pt>
                <c:pt idx="5">
                  <c:v>128.59335152</c:v>
                </c:pt>
                <c:pt idx="6">
                  <c:v>46.704256437500007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1828.9602865424999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7.0902351625000009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9.8846493975000005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128.59335152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46.704256437500007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RER'!$L$25:$L$29</c:f>
              <c:strCache>
                <c:ptCount val="5"/>
                <c:pt idx="0">
                  <c:v>C.E. WAYRA I</c:v>
                </c:pt>
                <c:pt idx="1">
                  <c:v>C.E. TRES HERMANAS</c:v>
                </c:pt>
                <c:pt idx="2">
                  <c:v>C.E. CUPISNIQUE</c:v>
                </c:pt>
                <c:pt idx="3">
                  <c:v>C.E. TALARA</c:v>
                </c:pt>
                <c:pt idx="4">
                  <c:v>C.E. MARCONA</c:v>
                </c:pt>
              </c:strCache>
            </c:strRef>
          </c:cat>
          <c:val>
            <c:numRef>
              <c:f>'6. FP RER'!$O$25:$O$29</c:f>
              <c:numCache>
                <c:formatCode>0.00</c:formatCode>
                <c:ptCount val="5"/>
                <c:pt idx="0">
                  <c:v>53.045541765000003</c:v>
                </c:pt>
                <c:pt idx="1">
                  <c:v>33.693526752499999</c:v>
                </c:pt>
                <c:pt idx="2">
                  <c:v>16.9519714525</c:v>
                </c:pt>
                <c:pt idx="3">
                  <c:v>12.513905860000001</c:v>
                </c:pt>
                <c:pt idx="4">
                  <c:v>12.388405689999999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RER'!$L$25:$L$29</c:f>
              <c:strCache>
                <c:ptCount val="5"/>
                <c:pt idx="0">
                  <c:v>C.E. WAYRA I</c:v>
                </c:pt>
                <c:pt idx="1">
                  <c:v>C.E. TRES HERMANAS</c:v>
                </c:pt>
                <c:pt idx="2">
                  <c:v>C.E. CUPISNIQUE</c:v>
                </c:pt>
                <c:pt idx="3">
                  <c:v>C.E. TALARA</c:v>
                </c:pt>
                <c:pt idx="4">
                  <c:v>C.E. MARCONA</c:v>
                </c:pt>
              </c:strCache>
            </c:strRef>
          </c:cat>
          <c:val>
            <c:numRef>
              <c:f>'6. FP RER'!$P$25:$P$29</c:f>
              <c:numCache>
                <c:formatCode>0.00</c:formatCode>
                <c:ptCount val="5"/>
                <c:pt idx="0">
                  <c:v>0.55687349631519267</c:v>
                </c:pt>
                <c:pt idx="1">
                  <c:v>0.48169392623806251</c:v>
                </c:pt>
                <c:pt idx="2">
                  <c:v>0.28315580030233178</c:v>
                </c:pt>
                <c:pt idx="3">
                  <c:v>0.56320235922085404</c:v>
                </c:pt>
                <c:pt idx="4">
                  <c:v>0.53769121918402774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RER'!$L$30:$L$36</c:f>
              <c:strCache>
                <c:ptCount val="7"/>
                <c:pt idx="0">
                  <c:v>C.S. RUBI</c:v>
                </c:pt>
                <c:pt idx="1">
                  <c:v>C.S. INTIPAMPA</c:v>
                </c:pt>
                <c:pt idx="2">
                  <c:v>C.S. MAJES SOLAR</c:v>
                </c:pt>
                <c:pt idx="3">
                  <c:v>C.S. REPARTICION</c:v>
                </c:pt>
                <c:pt idx="4">
                  <c:v>C.S. PANAMERICANA SOLAR</c:v>
                </c:pt>
                <c:pt idx="5">
                  <c:v>C.S. MOQUEGUA FV</c:v>
                </c:pt>
                <c:pt idx="6">
                  <c:v>C.S. TACNA SOLAR</c:v>
                </c:pt>
              </c:strCache>
            </c:strRef>
          </c:cat>
          <c:val>
            <c:numRef>
              <c:f>'6. FP RER'!$O$30:$O$36</c:f>
              <c:numCache>
                <c:formatCode>0.00</c:formatCode>
                <c:ptCount val="7"/>
                <c:pt idx="0">
                  <c:v>25.247011149999999</c:v>
                </c:pt>
                <c:pt idx="1">
                  <c:v>6.701050145</c:v>
                </c:pt>
                <c:pt idx="2">
                  <c:v>3.2023002125</c:v>
                </c:pt>
                <c:pt idx="3">
                  <c:v>3.1964405375</c:v>
                </c:pt>
                <c:pt idx="4">
                  <c:v>3.0811972500000002</c:v>
                </c:pt>
                <c:pt idx="5">
                  <c:v>2.8485134675000001</c:v>
                </c:pt>
                <c:pt idx="6">
                  <c:v>2.4277436750000003</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RER'!$L$30:$L$36</c:f>
              <c:strCache>
                <c:ptCount val="7"/>
                <c:pt idx="0">
                  <c:v>C.S. RUBI</c:v>
                </c:pt>
                <c:pt idx="1">
                  <c:v>C.S. INTIPAMPA</c:v>
                </c:pt>
                <c:pt idx="2">
                  <c:v>C.S. MAJES SOLAR</c:v>
                </c:pt>
                <c:pt idx="3">
                  <c:v>C.S. REPARTICION</c:v>
                </c:pt>
                <c:pt idx="4">
                  <c:v>C.S. PANAMERICANA SOLAR</c:v>
                </c:pt>
                <c:pt idx="5">
                  <c:v>C.S. MOQUEGUA FV</c:v>
                </c:pt>
                <c:pt idx="6">
                  <c:v>C.S. TACNA SOLAR</c:v>
                </c:pt>
              </c:strCache>
            </c:strRef>
          </c:cat>
          <c:val>
            <c:numRef>
              <c:f>'6. FP RER'!$P$30:$P$36</c:f>
              <c:numCache>
                <c:formatCode>0.00</c:formatCode>
                <c:ptCount val="7"/>
                <c:pt idx="0">
                  <c:v>0.24269998106235388</c:v>
                </c:pt>
                <c:pt idx="1">
                  <c:v>0.20895855613555853</c:v>
                </c:pt>
                <c:pt idx="2">
                  <c:v>0.22238195920138887</c:v>
                </c:pt>
                <c:pt idx="3">
                  <c:v>0.2219750373263889</c:v>
                </c:pt>
                <c:pt idx="4">
                  <c:v>0.21397203125</c:v>
                </c:pt>
                <c:pt idx="5">
                  <c:v>0.24726679405381943</c:v>
                </c:pt>
                <c:pt idx="6">
                  <c:v>0.16859331076388889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RER'!$L$37:$L$39</c:f>
              <c:strCache>
                <c:ptCount val="3"/>
                <c:pt idx="0">
                  <c:v>C.T. PARAMONGA</c:v>
                </c:pt>
                <c:pt idx="1">
                  <c:v>C.T. HUAYCOLORO</c:v>
                </c:pt>
                <c:pt idx="2">
                  <c:v>C.T. LA GRINGA</c:v>
                </c:pt>
              </c:strCache>
            </c:strRef>
          </c:cat>
          <c:val>
            <c:numRef>
              <c:f>'6. FP RER'!$O$37:$O$39</c:f>
              <c:numCache>
                <c:formatCode>0.00</c:formatCode>
                <c:ptCount val="3"/>
                <c:pt idx="0">
                  <c:v>7.0497050225000004</c:v>
                </c:pt>
                <c:pt idx="1">
                  <c:v>2.8349443750000001</c:v>
                </c:pt>
                <c:pt idx="2">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strRef>
              <c:f>'6. FP RER'!$L$37:$L$39</c:f>
              <c:strCache>
                <c:ptCount val="3"/>
                <c:pt idx="0">
                  <c:v>C.T. PARAMONGA</c:v>
                </c:pt>
                <c:pt idx="1">
                  <c:v>C.T. HUAYCOLORO</c:v>
                </c:pt>
                <c:pt idx="2">
                  <c:v>C.T. LA GRINGA</c:v>
                </c:pt>
              </c:strCache>
            </c:strRef>
          </c:cat>
          <c:val>
            <c:numRef>
              <c:f>'6. FP RER'!$P$37:$P$39</c:f>
              <c:numCache>
                <c:formatCode>0.00</c:formatCode>
                <c:ptCount val="3"/>
                <c:pt idx="0">
                  <c:v>0.76848116722675497</c:v>
                </c:pt>
                <c:pt idx="1">
                  <c:v>0.92373554089279886</c:v>
                </c:pt>
                <c:pt idx="2">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RER'!$S$6:$T$39</c:f>
              <c:multiLvlStrCache>
                <c:ptCount val="34"/>
                <c:lvl>
                  <c:pt idx="0">
                    <c:v>C.H. YARUCAYA</c:v>
                  </c:pt>
                  <c:pt idx="1">
                    <c:v>C.H. RONCADOR</c:v>
                  </c:pt>
                  <c:pt idx="2">
                    <c:v>C.H. CARHUAQUERO IV</c:v>
                  </c:pt>
                  <c:pt idx="3">
                    <c:v>C.H. RENOVANDES H1</c:v>
                  </c:pt>
                  <c:pt idx="4">
                    <c:v>C.H. RUNATULLO III</c:v>
                  </c:pt>
                  <c:pt idx="5">
                    <c:v>C.H. LAS PIZARRAS</c:v>
                  </c:pt>
                  <c:pt idx="6">
                    <c:v>C.H. CANCHAYLLO</c:v>
                  </c:pt>
                  <c:pt idx="7">
                    <c:v>C.H. YANAPAMPA</c:v>
                  </c:pt>
                  <c:pt idx="8">
                    <c:v>C.H. LA JOYA</c:v>
                  </c:pt>
                  <c:pt idx="9">
                    <c:v>C.H. HUASAHUASI II</c:v>
                  </c:pt>
                  <c:pt idx="10">
                    <c:v>C.H. HUASAHUASI I</c:v>
                  </c:pt>
                  <c:pt idx="11">
                    <c:v>C.H. CAÑA BRAVA</c:v>
                  </c:pt>
                  <c:pt idx="12">
                    <c:v>C.H. POTRERO</c:v>
                  </c:pt>
                  <c:pt idx="13">
                    <c:v>C.H. POECHOS II</c:v>
                  </c:pt>
                  <c:pt idx="14">
                    <c:v>C.H. RUNATULLO II</c:v>
                  </c:pt>
                  <c:pt idx="15">
                    <c:v>C.H. SANTA CRUZ II</c:v>
                  </c:pt>
                  <c:pt idx="16">
                    <c:v>C.H. IMPERIAL</c:v>
                  </c:pt>
                  <c:pt idx="17">
                    <c:v>C.H. SANTA CRUZ I</c:v>
                  </c:pt>
                  <c:pt idx="18">
                    <c:v>C.H. PURMACANA</c:v>
                  </c:pt>
                  <c:pt idx="19">
                    <c:v>C.E. TRES HERMANAS</c:v>
                  </c:pt>
                  <c:pt idx="20">
                    <c:v>C.E. WAYRA I</c:v>
                  </c:pt>
                  <c:pt idx="21">
                    <c:v>C.E. MARCONA</c:v>
                  </c:pt>
                  <c:pt idx="22">
                    <c:v>C.E. CUPISNIQUE</c:v>
                  </c:pt>
                  <c:pt idx="23">
                    <c:v>C.E. TALARA</c:v>
                  </c:pt>
                  <c:pt idx="24">
                    <c:v>C.S. MOQUEGUA FV</c:v>
                  </c:pt>
                  <c:pt idx="25">
                    <c:v>C.S. PANAMERICANA SOLAR</c:v>
                  </c:pt>
                  <c:pt idx="26">
                    <c:v>C.S. TACNA SOLAR</c:v>
                  </c:pt>
                  <c:pt idx="27">
                    <c:v>C.S. RUBI</c:v>
                  </c:pt>
                  <c:pt idx="28">
                    <c:v>C.S. MAJES SOLAR</c:v>
                  </c:pt>
                  <c:pt idx="29">
                    <c:v>C.S. INTIPAMPA</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RER'!$U$6:$U$39</c:f>
              <c:numCache>
                <c:formatCode>0.000</c:formatCode>
                <c:ptCount val="34"/>
                <c:pt idx="0">
                  <c:v>1</c:v>
                </c:pt>
                <c:pt idx="1">
                  <c:v>0.95700772038589355</c:v>
                </c:pt>
                <c:pt idx="2">
                  <c:v>0.9315763726281272</c:v>
                </c:pt>
                <c:pt idx="3">
                  <c:v>0.91053525121359224</c:v>
                </c:pt>
                <c:pt idx="4">
                  <c:v>0.86356607775575756</c:v>
                </c:pt>
                <c:pt idx="5">
                  <c:v>0.85016339032506272</c:v>
                </c:pt>
                <c:pt idx="6">
                  <c:v>0.84068418876948559</c:v>
                </c:pt>
                <c:pt idx="7">
                  <c:v>0.82268752730746275</c:v>
                </c:pt>
                <c:pt idx="8">
                  <c:v>0.79682203237816351</c:v>
                </c:pt>
                <c:pt idx="9">
                  <c:v>0.794259037928431</c:v>
                </c:pt>
                <c:pt idx="10">
                  <c:v>0.78702231702984926</c:v>
                </c:pt>
                <c:pt idx="11">
                  <c:v>0.75948087643846174</c:v>
                </c:pt>
                <c:pt idx="12">
                  <c:v>0.74294224989473157</c:v>
                </c:pt>
                <c:pt idx="13">
                  <c:v>0.73064262887060882</c:v>
                </c:pt>
                <c:pt idx="14">
                  <c:v>0.69622168953312558</c:v>
                </c:pt>
                <c:pt idx="15">
                  <c:v>0.6826617134352474</c:v>
                </c:pt>
                <c:pt idx="16">
                  <c:v>0.67549706102621576</c:v>
                </c:pt>
                <c:pt idx="17">
                  <c:v>0.66470650238248741</c:v>
                </c:pt>
                <c:pt idx="18">
                  <c:v>0.19354624083487521</c:v>
                </c:pt>
                <c:pt idx="19">
                  <c:v>0.53756890027738025</c:v>
                </c:pt>
                <c:pt idx="20">
                  <c:v>0.52475391965787177</c:v>
                </c:pt>
                <c:pt idx="21">
                  <c:v>0.51365338755683121</c:v>
                </c:pt>
                <c:pt idx="22">
                  <c:v>0.38791925631416746</c:v>
                </c:pt>
                <c:pt idx="23">
                  <c:v>0.38729033287546444</c:v>
                </c:pt>
                <c:pt idx="24">
                  <c:v>0.31758468811147561</c:v>
                </c:pt>
                <c:pt idx="25">
                  <c:v>0.27724395102440152</c:v>
                </c:pt>
                <c:pt idx="26">
                  <c:v>0.27477797689341621</c:v>
                </c:pt>
                <c:pt idx="27">
                  <c:v>0.24265428605086789</c:v>
                </c:pt>
                <c:pt idx="28">
                  <c:v>0.24209621011740329</c:v>
                </c:pt>
                <c:pt idx="29">
                  <c:v>0.22986766693795838</c:v>
                </c:pt>
                <c:pt idx="30">
                  <c:v>0.21361223480662983</c:v>
                </c:pt>
                <c:pt idx="31">
                  <c:v>0.92064557214454268</c:v>
                </c:pt>
                <c:pt idx="32">
                  <c:v>0.76577915966657362</c:v>
                </c:pt>
                <c:pt idx="33">
                  <c:v>0.45569663994330922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RER'!$S$6:$T$39</c:f>
              <c:multiLvlStrCache>
                <c:ptCount val="34"/>
                <c:lvl>
                  <c:pt idx="0">
                    <c:v>C.H. YARUCAYA</c:v>
                  </c:pt>
                  <c:pt idx="1">
                    <c:v>C.H. RONCADOR</c:v>
                  </c:pt>
                  <c:pt idx="2">
                    <c:v>C.H. CARHUAQUERO IV</c:v>
                  </c:pt>
                  <c:pt idx="3">
                    <c:v>C.H. RENOVANDES H1</c:v>
                  </c:pt>
                  <c:pt idx="4">
                    <c:v>C.H. RUNATULLO III</c:v>
                  </c:pt>
                  <c:pt idx="5">
                    <c:v>C.H. LAS PIZARRAS</c:v>
                  </c:pt>
                  <c:pt idx="6">
                    <c:v>C.H. CANCHAYLLO</c:v>
                  </c:pt>
                  <c:pt idx="7">
                    <c:v>C.H. YANAPAMPA</c:v>
                  </c:pt>
                  <c:pt idx="8">
                    <c:v>C.H. LA JOYA</c:v>
                  </c:pt>
                  <c:pt idx="9">
                    <c:v>C.H. HUASAHUASI II</c:v>
                  </c:pt>
                  <c:pt idx="10">
                    <c:v>C.H. HUASAHUASI I</c:v>
                  </c:pt>
                  <c:pt idx="11">
                    <c:v>C.H. CAÑA BRAVA</c:v>
                  </c:pt>
                  <c:pt idx="12">
                    <c:v>C.H. POTRERO</c:v>
                  </c:pt>
                  <c:pt idx="13">
                    <c:v>C.H. POECHOS II</c:v>
                  </c:pt>
                  <c:pt idx="14">
                    <c:v>C.H. RUNATULLO II</c:v>
                  </c:pt>
                  <c:pt idx="15">
                    <c:v>C.H. SANTA CRUZ II</c:v>
                  </c:pt>
                  <c:pt idx="16">
                    <c:v>C.H. IMPERIAL</c:v>
                  </c:pt>
                  <c:pt idx="17">
                    <c:v>C.H. SANTA CRUZ I</c:v>
                  </c:pt>
                  <c:pt idx="18">
                    <c:v>C.H. PURMACANA</c:v>
                  </c:pt>
                  <c:pt idx="19">
                    <c:v>C.E. TRES HERMANAS</c:v>
                  </c:pt>
                  <c:pt idx="20">
                    <c:v>C.E. WAYRA I</c:v>
                  </c:pt>
                  <c:pt idx="21">
                    <c:v>C.E. MARCONA</c:v>
                  </c:pt>
                  <c:pt idx="22">
                    <c:v>C.E. CUPISNIQUE</c:v>
                  </c:pt>
                  <c:pt idx="23">
                    <c:v>C.E. TALARA</c:v>
                  </c:pt>
                  <c:pt idx="24">
                    <c:v>C.S. MOQUEGUA FV</c:v>
                  </c:pt>
                  <c:pt idx="25">
                    <c:v>C.S. PANAMERICANA SOLAR</c:v>
                  </c:pt>
                  <c:pt idx="26">
                    <c:v>C.S. TACNA SOLAR</c:v>
                  </c:pt>
                  <c:pt idx="27">
                    <c:v>C.S. RUBI</c:v>
                  </c:pt>
                  <c:pt idx="28">
                    <c:v>C.S. MAJES SOLAR</c:v>
                  </c:pt>
                  <c:pt idx="29">
                    <c:v>C.S. INTIPAMPA</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RER'!$V$6:$V$39</c:f>
              <c:numCache>
                <c:formatCode>0.000</c:formatCode>
                <c:ptCount val="34"/>
                <c:pt idx="1">
                  <c:v>0.82645381799999995</c:v>
                </c:pt>
                <c:pt idx="2">
                  <c:v>0.96894856900000004</c:v>
                </c:pt>
                <c:pt idx="4">
                  <c:v>0.91998011599999996</c:v>
                </c:pt>
                <c:pt idx="5">
                  <c:v>0.90582178400000002</c:v>
                </c:pt>
                <c:pt idx="6">
                  <c:v>0.51286173199999996</c:v>
                </c:pt>
                <c:pt idx="7">
                  <c:v>0.63100124000000002</c:v>
                </c:pt>
                <c:pt idx="8">
                  <c:v>0.70452356199999999</c:v>
                </c:pt>
                <c:pt idx="9">
                  <c:v>0.73580512499999995</c:v>
                </c:pt>
                <c:pt idx="10">
                  <c:v>0.74191922799999999</c:v>
                </c:pt>
                <c:pt idx="11">
                  <c:v>0.86341729700000003</c:v>
                </c:pt>
                <c:pt idx="12">
                  <c:v>0.63661864000000001</c:v>
                </c:pt>
                <c:pt idx="13">
                  <c:v>0.41217635000000002</c:v>
                </c:pt>
                <c:pt idx="14">
                  <c:v>0.77239694000000003</c:v>
                </c:pt>
                <c:pt idx="15">
                  <c:v>0.72384404400000002</c:v>
                </c:pt>
                <c:pt idx="16">
                  <c:v>0.696327955</c:v>
                </c:pt>
                <c:pt idx="17">
                  <c:v>0.73665341399999995</c:v>
                </c:pt>
                <c:pt idx="18">
                  <c:v>0.10236631</c:v>
                </c:pt>
                <c:pt idx="19">
                  <c:v>0.53224910000000003</c:v>
                </c:pt>
                <c:pt idx="21">
                  <c:v>0.54852962000000005</c:v>
                </c:pt>
                <c:pt idx="22">
                  <c:v>0.31826183699999999</c:v>
                </c:pt>
                <c:pt idx="23">
                  <c:v>0.32830738999999998</c:v>
                </c:pt>
                <c:pt idx="24">
                  <c:v>0.29889690000000002</c:v>
                </c:pt>
                <c:pt idx="25">
                  <c:v>0.25863464800000002</c:v>
                </c:pt>
                <c:pt idx="26">
                  <c:v>0.25807644600000001</c:v>
                </c:pt>
                <c:pt idx="28">
                  <c:v>0.238592948</c:v>
                </c:pt>
                <c:pt idx="30">
                  <c:v>0.21723110600000001</c:v>
                </c:pt>
                <c:pt idx="31">
                  <c:v>0.81425563999999995</c:v>
                </c:pt>
                <c:pt idx="32">
                  <c:v>0.71783835100000004</c:v>
                </c:pt>
                <c:pt idx="33">
                  <c:v>0.339194041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empresa'!$L$5:$L$59</c:f>
              <c:strCache>
                <c:ptCount val="55"/>
                <c:pt idx="0">
                  <c:v>RIO BAÑOS</c:v>
                </c:pt>
                <c:pt idx="1">
                  <c:v>ECELIM (**)</c:v>
                </c:pt>
                <c:pt idx="2">
                  <c:v>CERRO DEL AGUILA (*)</c:v>
                </c:pt>
                <c:pt idx="3">
                  <c:v>SHOUGESA</c:v>
                </c:pt>
                <c:pt idx="4">
                  <c:v>CERRO VERDE</c:v>
                </c:pt>
                <c:pt idx="5">
                  <c:v>AGROAURORA</c:v>
                </c:pt>
                <c:pt idx="6">
                  <c:v>IYEPSA</c:v>
                </c:pt>
                <c:pt idx="7">
                  <c:v>ELECTRICA SANTA ROSA</c:v>
                </c:pt>
                <c:pt idx="8">
                  <c:v>PLANTA  ETEN</c:v>
                </c:pt>
                <c:pt idx="9">
                  <c:v>ELECTRICA YANAPAMPA</c:v>
                </c:pt>
                <c:pt idx="10">
                  <c:v>MAJA ENERGIA</c:v>
                </c:pt>
                <c:pt idx="11">
                  <c:v>HIDROCAÑETE</c:v>
                </c:pt>
                <c:pt idx="12">
                  <c:v>TACNA SOLAR</c:v>
                </c:pt>
                <c:pt idx="13">
                  <c:v>PETRAMAS (**)</c:v>
                </c:pt>
                <c:pt idx="14">
                  <c:v>MOQUEGUA FV</c:v>
                </c:pt>
                <c:pt idx="15">
                  <c:v>EGECSAC</c:v>
                </c:pt>
                <c:pt idx="16">
                  <c:v>PANAMERICANA SOLAR</c:v>
                </c:pt>
                <c:pt idx="17">
                  <c:v>GTS REPARTICION</c:v>
                </c:pt>
                <c:pt idx="18">
                  <c:v>GTS MAJES</c:v>
                </c:pt>
                <c:pt idx="19">
                  <c:v>SINERSA</c:v>
                </c:pt>
                <c:pt idx="20">
                  <c:v>GEPSA</c:v>
                </c:pt>
                <c:pt idx="21">
                  <c:v>SAMAY I</c:v>
                </c:pt>
                <c:pt idx="22">
                  <c:v>AIPSA</c:v>
                </c:pt>
                <c:pt idx="23">
                  <c:v>AGUA AZUL</c:v>
                </c:pt>
                <c:pt idx="24">
                  <c:v>RIO DOBLE</c:v>
                </c:pt>
                <c:pt idx="25">
                  <c:v>SANTA CRUZ</c:v>
                </c:pt>
                <c:pt idx="26">
                  <c:v>EMGE JUNÍN</c:v>
                </c:pt>
                <c:pt idx="27">
                  <c:v>P.E. MARCONA</c:v>
                </c:pt>
                <c:pt idx="28">
                  <c:v>HIDROELECTRICA HUANCHOR</c:v>
                </c:pt>
                <c:pt idx="29">
                  <c:v>HUAURA POWER</c:v>
                </c:pt>
                <c:pt idx="30">
                  <c:v>SANTA ANA</c:v>
                </c:pt>
                <c:pt idx="31">
                  <c:v>CELEPSA RENOVABLES (****)</c:v>
                </c:pt>
                <c:pt idx="32">
                  <c:v>SDF ENERGIA</c:v>
                </c:pt>
                <c:pt idx="33">
                  <c:v>TERMOSELVA</c:v>
                </c:pt>
                <c:pt idx="34">
                  <c:v>EGESUR</c:v>
                </c:pt>
                <c:pt idx="35">
                  <c:v>ENERGÍA EÓLICA</c:v>
                </c:pt>
                <c:pt idx="36">
                  <c:v>EMGE HUANZA</c:v>
                </c:pt>
                <c:pt idx="37">
                  <c:v>ENEL GENERACION PIURA</c:v>
                </c:pt>
                <c:pt idx="38">
                  <c:v>P.E. TRES HERMANAS</c:v>
                </c:pt>
                <c:pt idx="39">
                  <c:v>LUZ DEL SUR / INLAND (***)</c:v>
                </c:pt>
                <c:pt idx="40">
                  <c:v>SAN GABAN</c:v>
                </c:pt>
                <c:pt idx="41">
                  <c:v>CELEPSA</c:v>
                </c:pt>
                <c:pt idx="42">
                  <c:v>EGASA</c:v>
                </c:pt>
                <c:pt idx="43">
                  <c:v>ENEL GREEN POWER PERU</c:v>
                </c:pt>
                <c:pt idx="44">
                  <c:v>CHINANGO</c:v>
                </c:pt>
                <c:pt idx="45">
                  <c:v>EGEMSA</c:v>
                </c:pt>
                <c:pt idx="46">
                  <c:v>ORAZUL ENERGY PERÚ</c:v>
                </c:pt>
                <c:pt idx="47">
                  <c:v>EMGE HUALLAGA</c:v>
                </c:pt>
                <c:pt idx="48">
                  <c:v>STATKRAFT</c:v>
                </c:pt>
                <c:pt idx="49">
                  <c:v>TERMOCHILCA</c:v>
                </c:pt>
                <c:pt idx="50">
                  <c:v>FENIX POWER</c:v>
                </c:pt>
                <c:pt idx="51">
                  <c:v>ENGIE</c:v>
                </c:pt>
                <c:pt idx="52">
                  <c:v>ENEL GENERACION PERU</c:v>
                </c:pt>
                <c:pt idx="53">
                  <c:v>ELECTROPERU</c:v>
                </c:pt>
                <c:pt idx="54">
                  <c:v>KALLPA (*)</c:v>
                </c:pt>
              </c:strCache>
            </c:strRef>
          </c:cat>
          <c:val>
            <c:numRef>
              <c:f>'7. Generacion empresa'!$M$5:$M$59</c:f>
              <c:numCache>
                <c:formatCode>General</c:formatCode>
                <c:ptCount val="55"/>
                <c:pt idx="3">
                  <c:v>0</c:v>
                </c:pt>
                <c:pt idx="4">
                  <c:v>0</c:v>
                </c:pt>
                <c:pt idx="5">
                  <c:v>0</c:v>
                </c:pt>
                <c:pt idx="6">
                  <c:v>0.15993093250000001</c:v>
                </c:pt>
                <c:pt idx="7">
                  <c:v>0.22080923250000001</c:v>
                </c:pt>
                <c:pt idx="8">
                  <c:v>0.48878449500000004</c:v>
                </c:pt>
                <c:pt idx="9">
                  <c:v>1.8361374774999999</c:v>
                </c:pt>
                <c:pt idx="10">
                  <c:v>2.1166320000000001</c:v>
                </c:pt>
                <c:pt idx="11">
                  <c:v>2.3473999999999999</c:v>
                </c:pt>
                <c:pt idx="12">
                  <c:v>2.4277436750000003</c:v>
                </c:pt>
                <c:pt idx="13">
                  <c:v>2.8349443750000001</c:v>
                </c:pt>
                <c:pt idx="14">
                  <c:v>2.8485134675000001</c:v>
                </c:pt>
                <c:pt idx="15">
                  <c:v>2.9469849999999997</c:v>
                </c:pt>
                <c:pt idx="16">
                  <c:v>3.0811972500000002</c:v>
                </c:pt>
                <c:pt idx="17">
                  <c:v>3.1964405375</c:v>
                </c:pt>
                <c:pt idx="18">
                  <c:v>3.2023002125</c:v>
                </c:pt>
                <c:pt idx="19">
                  <c:v>3.855760225</c:v>
                </c:pt>
                <c:pt idx="20">
                  <c:v>4.2412612075</c:v>
                </c:pt>
                <c:pt idx="21">
                  <c:v>6.0849242749999997</c:v>
                </c:pt>
                <c:pt idx="22">
                  <c:v>7.0497050225000004</c:v>
                </c:pt>
                <c:pt idx="23">
                  <c:v>8.0265881674999999</c:v>
                </c:pt>
                <c:pt idx="24">
                  <c:v>8.957812517499999</c:v>
                </c:pt>
                <c:pt idx="25">
                  <c:v>10.03550667</c:v>
                </c:pt>
                <c:pt idx="26">
                  <c:v>12.1945528225</c:v>
                </c:pt>
                <c:pt idx="27">
                  <c:v>12.388405689999999</c:v>
                </c:pt>
                <c:pt idx="28">
                  <c:v>12.405006</c:v>
                </c:pt>
                <c:pt idx="29">
                  <c:v>12.470861017500001</c:v>
                </c:pt>
                <c:pt idx="30">
                  <c:v>13.33211028</c:v>
                </c:pt>
                <c:pt idx="31">
                  <c:v>13.50304633</c:v>
                </c:pt>
                <c:pt idx="32">
                  <c:v>20.364055325000002</c:v>
                </c:pt>
                <c:pt idx="33">
                  <c:v>21.7707488225</c:v>
                </c:pt>
                <c:pt idx="34">
                  <c:v>23.362932664999999</c:v>
                </c:pt>
                <c:pt idx="35">
                  <c:v>29.465877312500002</c:v>
                </c:pt>
                <c:pt idx="36">
                  <c:v>32.194336284999999</c:v>
                </c:pt>
                <c:pt idx="37">
                  <c:v>32.5163646675</c:v>
                </c:pt>
                <c:pt idx="38">
                  <c:v>33.693526752499999</c:v>
                </c:pt>
                <c:pt idx="39">
                  <c:v>51.050703927499995</c:v>
                </c:pt>
                <c:pt idx="40">
                  <c:v>53.2285688025</c:v>
                </c:pt>
                <c:pt idx="41">
                  <c:v>68.740639257499993</c:v>
                </c:pt>
                <c:pt idx="42">
                  <c:v>70.980623924999975</c:v>
                </c:pt>
                <c:pt idx="43">
                  <c:v>78.292552915000002</c:v>
                </c:pt>
                <c:pt idx="44">
                  <c:v>88.618326199999998</c:v>
                </c:pt>
                <c:pt idx="45">
                  <c:v>106.34385157500002</c:v>
                </c:pt>
                <c:pt idx="46">
                  <c:v>127.26680268749999</c:v>
                </c:pt>
                <c:pt idx="47">
                  <c:v>136.1380875875</c:v>
                </c:pt>
                <c:pt idx="48">
                  <c:v>168.53192788999996</c:v>
                </c:pt>
                <c:pt idx="49">
                  <c:v>209.3633454925</c:v>
                </c:pt>
                <c:pt idx="50">
                  <c:v>297.505063495</c:v>
                </c:pt>
                <c:pt idx="51">
                  <c:v>403.38102654750008</c:v>
                </c:pt>
                <c:pt idx="52">
                  <c:v>544.87119004249973</c:v>
                </c:pt>
                <c:pt idx="53">
                  <c:v>598.12826639999992</c:v>
                </c:pt>
                <c:pt idx="54">
                  <c:v>786.8584679999999</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CERRO DEL AGUILA (*)</c:v>
                </c:pt>
                <c:pt idx="3">
                  <c:v>SHOUGESA</c:v>
                </c:pt>
                <c:pt idx="4">
                  <c:v>CERRO VERDE</c:v>
                </c:pt>
                <c:pt idx="5">
                  <c:v>AGROAURORA</c:v>
                </c:pt>
                <c:pt idx="6">
                  <c:v>IYEPSA</c:v>
                </c:pt>
                <c:pt idx="7">
                  <c:v>ELECTRICA SANTA ROSA</c:v>
                </c:pt>
                <c:pt idx="8">
                  <c:v>PLANTA  ETEN</c:v>
                </c:pt>
                <c:pt idx="9">
                  <c:v>ELECTRICA YANAPAMPA</c:v>
                </c:pt>
                <c:pt idx="10">
                  <c:v>MAJA ENERGIA</c:v>
                </c:pt>
                <c:pt idx="11">
                  <c:v>HIDROCAÑETE</c:v>
                </c:pt>
                <c:pt idx="12">
                  <c:v>TACNA SOLAR</c:v>
                </c:pt>
                <c:pt idx="13">
                  <c:v>PETRAMAS (**)</c:v>
                </c:pt>
                <c:pt idx="14">
                  <c:v>MOQUEGUA FV</c:v>
                </c:pt>
                <c:pt idx="15">
                  <c:v>EGECSAC</c:v>
                </c:pt>
                <c:pt idx="16">
                  <c:v>PANAMERICANA SOLAR</c:v>
                </c:pt>
                <c:pt idx="17">
                  <c:v>GTS REPARTICION</c:v>
                </c:pt>
                <c:pt idx="18">
                  <c:v>GTS MAJES</c:v>
                </c:pt>
                <c:pt idx="19">
                  <c:v>SINERSA</c:v>
                </c:pt>
                <c:pt idx="20">
                  <c:v>GEPSA</c:v>
                </c:pt>
                <c:pt idx="21">
                  <c:v>SAMAY I</c:v>
                </c:pt>
                <c:pt idx="22">
                  <c:v>AIPSA</c:v>
                </c:pt>
                <c:pt idx="23">
                  <c:v>AGUA AZUL</c:v>
                </c:pt>
                <c:pt idx="24">
                  <c:v>RIO DOBLE</c:v>
                </c:pt>
                <c:pt idx="25">
                  <c:v>SANTA CRUZ</c:v>
                </c:pt>
                <c:pt idx="26">
                  <c:v>EMGE JUNÍN</c:v>
                </c:pt>
                <c:pt idx="27">
                  <c:v>P.E. MARCONA</c:v>
                </c:pt>
                <c:pt idx="28">
                  <c:v>HIDROELECTRICA HUANCHOR</c:v>
                </c:pt>
                <c:pt idx="29">
                  <c:v>HUAURA POWER</c:v>
                </c:pt>
                <c:pt idx="30">
                  <c:v>SANTA ANA</c:v>
                </c:pt>
                <c:pt idx="31">
                  <c:v>CELEPSA RENOVABLES (****)</c:v>
                </c:pt>
                <c:pt idx="32">
                  <c:v>SDF ENERGIA</c:v>
                </c:pt>
                <c:pt idx="33">
                  <c:v>TERMOSELVA</c:v>
                </c:pt>
                <c:pt idx="34">
                  <c:v>EGESUR</c:v>
                </c:pt>
                <c:pt idx="35">
                  <c:v>ENERGÍA EÓLICA</c:v>
                </c:pt>
                <c:pt idx="36">
                  <c:v>EMGE HUANZA</c:v>
                </c:pt>
                <c:pt idx="37">
                  <c:v>ENEL GENERACION PIURA</c:v>
                </c:pt>
                <c:pt idx="38">
                  <c:v>P.E. TRES HERMANAS</c:v>
                </c:pt>
                <c:pt idx="39">
                  <c:v>LUZ DEL SUR / INLAND (***)</c:v>
                </c:pt>
                <c:pt idx="40">
                  <c:v>SAN GABAN</c:v>
                </c:pt>
                <c:pt idx="41">
                  <c:v>CELEPSA</c:v>
                </c:pt>
                <c:pt idx="42">
                  <c:v>EGASA</c:v>
                </c:pt>
                <c:pt idx="43">
                  <c:v>ENEL GREEN POWER PERU</c:v>
                </c:pt>
                <c:pt idx="44">
                  <c:v>CHINANGO</c:v>
                </c:pt>
                <c:pt idx="45">
                  <c:v>EGEMSA</c:v>
                </c:pt>
                <c:pt idx="46">
                  <c:v>ORAZUL ENERGY PERÚ</c:v>
                </c:pt>
                <c:pt idx="47">
                  <c:v>EMGE HUALLAGA</c:v>
                </c:pt>
                <c:pt idx="48">
                  <c:v>STATKRAFT</c:v>
                </c:pt>
                <c:pt idx="49">
                  <c:v>TERMOCHILCA</c:v>
                </c:pt>
                <c:pt idx="50">
                  <c:v>FENIX POWER</c:v>
                </c:pt>
                <c:pt idx="51">
                  <c:v>ENGIE</c:v>
                </c:pt>
                <c:pt idx="52">
                  <c:v>ENEL GENERACION PERU</c:v>
                </c:pt>
                <c:pt idx="53">
                  <c:v>ELECTROPERU</c:v>
                </c:pt>
                <c:pt idx="54">
                  <c:v>KALLPA (*)</c:v>
                </c:pt>
              </c:strCache>
            </c:strRef>
          </c:cat>
          <c:val>
            <c:numRef>
              <c:f>'7. Generacion empresa'!$N$5:$N$59</c:f>
              <c:numCache>
                <c:formatCode>General</c:formatCode>
                <c:ptCount val="55"/>
                <c:pt idx="0">
                  <c:v>0</c:v>
                </c:pt>
                <c:pt idx="1">
                  <c:v>0.91234910000000002</c:v>
                </c:pt>
                <c:pt idx="2">
                  <c:v>243.20028694000001</c:v>
                </c:pt>
                <c:pt idx="3">
                  <c:v>9.8753722500000002E-2</c:v>
                </c:pt>
                <c:pt idx="4">
                  <c:v>0</c:v>
                </c:pt>
                <c:pt idx="5">
                  <c:v>0</c:v>
                </c:pt>
                <c:pt idx="6">
                  <c:v>0.20483255249999999</c:v>
                </c:pt>
                <c:pt idx="7">
                  <c:v>0.3257742575</c:v>
                </c:pt>
                <c:pt idx="8">
                  <c:v>0.48909479</c:v>
                </c:pt>
                <c:pt idx="9">
                  <c:v>2.576786105</c:v>
                </c:pt>
                <c:pt idx="10">
                  <c:v>2.2093595000000001</c:v>
                </c:pt>
                <c:pt idx="11">
                  <c:v>1.8023</c:v>
                </c:pt>
                <c:pt idx="12">
                  <c:v>2.7332305575000002</c:v>
                </c:pt>
                <c:pt idx="13">
                  <c:v>1.8683424750000002</c:v>
                </c:pt>
                <c:pt idx="14">
                  <c:v>3.2120758524999999</c:v>
                </c:pt>
                <c:pt idx="15">
                  <c:v>1.756065</c:v>
                </c:pt>
                <c:pt idx="16">
                  <c:v>3.4114532500000001</c:v>
                </c:pt>
                <c:pt idx="17">
                  <c:v>3.1814347124999998</c:v>
                </c:pt>
                <c:pt idx="18">
                  <c:v>3.3172015400000001</c:v>
                </c:pt>
                <c:pt idx="19">
                  <c:v>6.7707524974999993</c:v>
                </c:pt>
                <c:pt idx="20">
                  <c:v>5.1476611525000004</c:v>
                </c:pt>
                <c:pt idx="21">
                  <c:v>61.339057854999993</c:v>
                </c:pt>
                <c:pt idx="22">
                  <c:v>8.2079672425000005</c:v>
                </c:pt>
                <c:pt idx="23">
                  <c:v>9.8118404975000004</c:v>
                </c:pt>
                <c:pt idx="24">
                  <c:v>10.919219362500002</c:v>
                </c:pt>
                <c:pt idx="25">
                  <c:v>9.402868527499999</c:v>
                </c:pt>
                <c:pt idx="26">
                  <c:v>14.968253260000001</c:v>
                </c:pt>
                <c:pt idx="27">
                  <c:v>12.133228147500001</c:v>
                </c:pt>
                <c:pt idx="28">
                  <c:v>13.679660999999999</c:v>
                </c:pt>
                <c:pt idx="31">
                  <c:v>12.239161279999999</c:v>
                </c:pt>
                <c:pt idx="32">
                  <c:v>20.235470464999999</c:v>
                </c:pt>
                <c:pt idx="33">
                  <c:v>0</c:v>
                </c:pt>
                <c:pt idx="34">
                  <c:v>24.253655384999995</c:v>
                </c:pt>
                <c:pt idx="35">
                  <c:v>36.724094024999999</c:v>
                </c:pt>
                <c:pt idx="36">
                  <c:v>33.297263027500001</c:v>
                </c:pt>
                <c:pt idx="37">
                  <c:v>48.053213207499994</c:v>
                </c:pt>
                <c:pt idx="38">
                  <c:v>36.018732077499998</c:v>
                </c:pt>
                <c:pt idx="39">
                  <c:v>50.640113650000004</c:v>
                </c:pt>
                <c:pt idx="40">
                  <c:v>50.484397694999998</c:v>
                </c:pt>
                <c:pt idx="41">
                  <c:v>85.9242861675</c:v>
                </c:pt>
                <c:pt idx="42">
                  <c:v>121.118116505</c:v>
                </c:pt>
                <c:pt idx="44">
                  <c:v>81.331736627499993</c:v>
                </c:pt>
                <c:pt idx="45">
                  <c:v>96.555048865000018</c:v>
                </c:pt>
                <c:pt idx="46">
                  <c:v>172.30406396250001</c:v>
                </c:pt>
                <c:pt idx="47">
                  <c:v>123.6553573775</c:v>
                </c:pt>
                <c:pt idx="48">
                  <c:v>200.36665208249997</c:v>
                </c:pt>
                <c:pt idx="49">
                  <c:v>0</c:v>
                </c:pt>
                <c:pt idx="50">
                  <c:v>363.09268452000003</c:v>
                </c:pt>
                <c:pt idx="51">
                  <c:v>697.61566417249992</c:v>
                </c:pt>
                <c:pt idx="52">
                  <c:v>428.10334476000008</c:v>
                </c:pt>
                <c:pt idx="53">
                  <c:v>568.74772416000008</c:v>
                </c:pt>
                <c:pt idx="54">
                  <c:v>324.9473651175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8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Empresa'!$L$7:$L$62</c:f>
              <c:strCache>
                <c:ptCount val="55"/>
                <c:pt idx="0">
                  <c:v>RIO BAÑOS</c:v>
                </c:pt>
                <c:pt idx="1">
                  <c:v>ECELIM  (**)</c:v>
                </c:pt>
                <c:pt idx="2">
                  <c:v>CERRO DEL AGUILA (*)</c:v>
                </c:pt>
                <c:pt idx="3">
                  <c:v>SHOUGESA</c:v>
                </c:pt>
                <c:pt idx="4">
                  <c:v>CERRO VERDE</c:v>
                </c:pt>
                <c:pt idx="5">
                  <c:v>AGROAURORA</c:v>
                </c:pt>
                <c:pt idx="6">
                  <c:v>IYEPSA</c:v>
                </c:pt>
                <c:pt idx="7">
                  <c:v>PLANTA  ETEN</c:v>
                </c:pt>
                <c:pt idx="8">
                  <c:v>TACNA SOLAR</c:v>
                </c:pt>
                <c:pt idx="9">
                  <c:v>MOQUEGUA FV</c:v>
                </c:pt>
                <c:pt idx="10">
                  <c:v>PANAMERICANA SOLAR</c:v>
                </c:pt>
                <c:pt idx="11">
                  <c:v>GTS REPARTICION</c:v>
                </c:pt>
                <c:pt idx="12">
                  <c:v>GTS MAJES</c:v>
                </c:pt>
                <c:pt idx="13">
                  <c:v>SAMAY I</c:v>
                </c:pt>
                <c:pt idx="14">
                  <c:v>AIPSA</c:v>
                </c:pt>
                <c:pt idx="15">
                  <c:v>TERMOSELVA</c:v>
                </c:pt>
                <c:pt idx="16">
                  <c:v>ENEL GENERACION PIURA</c:v>
                </c:pt>
                <c:pt idx="17">
                  <c:v>ELECTRICA SANTA ROSA</c:v>
                </c:pt>
                <c:pt idx="18">
                  <c:v>ELECTRICA YANAPAMPA</c:v>
                </c:pt>
                <c:pt idx="19">
                  <c:v>MAJA ENERGIA</c:v>
                </c:pt>
                <c:pt idx="20">
                  <c:v>HIDROCAÑETE</c:v>
                </c:pt>
                <c:pt idx="21">
                  <c:v>PETRAMAS (**)</c:v>
                </c:pt>
                <c:pt idx="22">
                  <c:v>EGECSAC</c:v>
                </c:pt>
                <c:pt idx="23">
                  <c:v>GEPSA</c:v>
                </c:pt>
                <c:pt idx="24">
                  <c:v>SINERSA</c:v>
                </c:pt>
                <c:pt idx="25">
                  <c:v>P.E. MARCONA</c:v>
                </c:pt>
                <c:pt idx="26">
                  <c:v>AGUA AZUL</c:v>
                </c:pt>
                <c:pt idx="27">
                  <c:v>HUAURA POWER</c:v>
                </c:pt>
                <c:pt idx="28">
                  <c:v>RIO DOBLE</c:v>
                </c:pt>
                <c:pt idx="29">
                  <c:v>HIDROELECTRICA HUANCHOR</c:v>
                </c:pt>
                <c:pt idx="30">
                  <c:v>EMGE JUNÍN</c:v>
                </c:pt>
                <c:pt idx="31">
                  <c:v>CELEPSA RENOVABLES (****)</c:v>
                </c:pt>
                <c:pt idx="32">
                  <c:v>SANTA CRUZ</c:v>
                </c:pt>
                <c:pt idx="33">
                  <c:v>SANTA ANA</c:v>
                </c:pt>
                <c:pt idx="34">
                  <c:v>P.E. TRES HERMANAS</c:v>
                </c:pt>
                <c:pt idx="35">
                  <c:v>SDF ENERGIA</c:v>
                </c:pt>
                <c:pt idx="36">
                  <c:v>EGESUR</c:v>
                </c:pt>
                <c:pt idx="37">
                  <c:v>EMGE HUANZA</c:v>
                </c:pt>
                <c:pt idx="38">
                  <c:v>ENERGÍA EÓLICA</c:v>
                </c:pt>
                <c:pt idx="39">
                  <c:v>LUZ DEL SUR / INLAND (***)</c:v>
                </c:pt>
                <c:pt idx="40">
                  <c:v>SAN GABAN</c:v>
                </c:pt>
                <c:pt idx="41">
                  <c:v>ENEL GREEN POWER PERU</c:v>
                </c:pt>
                <c:pt idx="42">
                  <c:v>EGASA</c:v>
                </c:pt>
                <c:pt idx="43">
                  <c:v>CHINANGO</c:v>
                </c:pt>
                <c:pt idx="44">
                  <c:v>EGEMSA</c:v>
                </c:pt>
                <c:pt idx="45">
                  <c:v>CELEPSA</c:v>
                </c:pt>
                <c:pt idx="46">
                  <c:v>ORAZUL ENERGY PERÚ</c:v>
                </c:pt>
                <c:pt idx="47">
                  <c:v>TERMOCHILCA</c:v>
                </c:pt>
                <c:pt idx="48">
                  <c:v>STATKRAFT</c:v>
                </c:pt>
                <c:pt idx="49">
                  <c:v>EMGE HUALLAGA</c:v>
                </c:pt>
                <c:pt idx="50">
                  <c:v>ENGIE</c:v>
                </c:pt>
                <c:pt idx="51">
                  <c:v>FENIX POWER</c:v>
                </c:pt>
                <c:pt idx="52">
                  <c:v>ENEL GENERACION PERU</c:v>
                </c:pt>
                <c:pt idx="53">
                  <c:v>ELECTROPERU</c:v>
                </c:pt>
                <c:pt idx="54">
                  <c:v>KALLPA (*)</c:v>
                </c:pt>
              </c:strCache>
            </c:strRef>
          </c:cat>
          <c:val>
            <c:numRef>
              <c:f>'9. Pot. Empresa'!$M$7:$M$62</c:f>
              <c:numCache>
                <c:formatCode>General</c:formatCode>
                <c:ptCount val="55"/>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0.88224000000000002</c:v>
                </c:pt>
                <c:pt idx="18" formatCode="0.00">
                  <c:v>3.4587300000000001</c:v>
                </c:pt>
                <c:pt idx="19" formatCode="0.00">
                  <c:v>3.512</c:v>
                </c:pt>
                <c:pt idx="20" formatCode="0.00">
                  <c:v>3.6</c:v>
                </c:pt>
                <c:pt idx="21" formatCode="0.00">
                  <c:v>4.2178000000000004</c:v>
                </c:pt>
                <c:pt idx="22" formatCode="0.00">
                  <c:v>5.04</c:v>
                </c:pt>
                <c:pt idx="23" formatCode="0.00">
                  <c:v>6.4319299999999995</c:v>
                </c:pt>
                <c:pt idx="24" formatCode="0.00">
                  <c:v>6.6779099999999998</c:v>
                </c:pt>
                <c:pt idx="25" formatCode="0.00">
                  <c:v>9.4545200000000005</c:v>
                </c:pt>
                <c:pt idx="26" formatCode="0.00">
                  <c:v>18.205300000000001</c:v>
                </c:pt>
                <c:pt idx="27" formatCode="0.00">
                  <c:v>18.352620000000002</c:v>
                </c:pt>
                <c:pt idx="28" formatCode="0.00">
                  <c:v>18.366520000000001</c:v>
                </c:pt>
                <c:pt idx="29" formatCode="0.00">
                  <c:v>18.835999999999999</c:v>
                </c:pt>
                <c:pt idx="30" formatCode="0.00">
                  <c:v>18.997679999999999</c:v>
                </c:pt>
                <c:pt idx="31" formatCode="0.00">
                  <c:v>19.49907</c:v>
                </c:pt>
                <c:pt idx="32" formatCode="0.00">
                  <c:v>19.817319999999999</c:v>
                </c:pt>
                <c:pt idx="33" formatCode="0.00">
                  <c:v>20.011279999999999</c:v>
                </c:pt>
                <c:pt idx="34" formatCode="0.00">
                  <c:v>24.39481</c:v>
                </c:pt>
                <c:pt idx="35" formatCode="0.00">
                  <c:v>28.139520000000001</c:v>
                </c:pt>
                <c:pt idx="36" formatCode="0.00">
                  <c:v>47.538539999999998</c:v>
                </c:pt>
                <c:pt idx="37" formatCode="0.00">
                  <c:v>70.294110000000003</c:v>
                </c:pt>
                <c:pt idx="38" formatCode="0.00">
                  <c:v>85.443529999999996</c:v>
                </c:pt>
                <c:pt idx="39" formatCode="0.00">
                  <c:v>89.023700000000005</c:v>
                </c:pt>
                <c:pt idx="40" formatCode="0.00">
                  <c:v>110.12584000000001</c:v>
                </c:pt>
                <c:pt idx="41" formatCode="0.00">
                  <c:v>114.7818</c:v>
                </c:pt>
                <c:pt idx="42" formatCode="0.00">
                  <c:v>144.12690000000006</c:v>
                </c:pt>
                <c:pt idx="43" formatCode="0.00">
                  <c:v>159.65100999999999</c:v>
                </c:pt>
                <c:pt idx="44" formatCode="0.00">
                  <c:v>162.91494999999998</c:v>
                </c:pt>
                <c:pt idx="45" formatCode="0.00">
                  <c:v>196.94517999999999</c:v>
                </c:pt>
                <c:pt idx="46" formatCode="0.00">
                  <c:v>243.65327000000002</c:v>
                </c:pt>
                <c:pt idx="47" formatCode="0.00">
                  <c:v>290.56951000000004</c:v>
                </c:pt>
                <c:pt idx="48" formatCode="0.00">
                  <c:v>364.10663</c:v>
                </c:pt>
                <c:pt idx="49" formatCode="0.00">
                  <c:v>442.48277999999999</c:v>
                </c:pt>
                <c:pt idx="50" formatCode="0.00">
                  <c:v>465.27108000000004</c:v>
                </c:pt>
                <c:pt idx="51" formatCode="0.00">
                  <c:v>550.50249999999994</c:v>
                </c:pt>
                <c:pt idx="52" formatCode="0.00">
                  <c:v>749.13831999999991</c:v>
                </c:pt>
                <c:pt idx="53" formatCode="0.00">
                  <c:v>839.44848000000002</c:v>
                </c:pt>
                <c:pt idx="54" formatCode="0.00">
                  <c:v>1168.3217300000001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5"/>
                <c:pt idx="0">
                  <c:v>RIO BAÑOS</c:v>
                </c:pt>
                <c:pt idx="1">
                  <c:v>ECELIM  (**)</c:v>
                </c:pt>
                <c:pt idx="2">
                  <c:v>CERRO DEL AGUILA (*)</c:v>
                </c:pt>
                <c:pt idx="3">
                  <c:v>SHOUGESA</c:v>
                </c:pt>
                <c:pt idx="4">
                  <c:v>CERRO VERDE</c:v>
                </c:pt>
                <c:pt idx="5">
                  <c:v>AGROAURORA</c:v>
                </c:pt>
                <c:pt idx="6">
                  <c:v>IYEPSA</c:v>
                </c:pt>
                <c:pt idx="7">
                  <c:v>PLANTA  ETEN</c:v>
                </c:pt>
                <c:pt idx="8">
                  <c:v>TACNA SOLAR</c:v>
                </c:pt>
                <c:pt idx="9">
                  <c:v>MOQUEGUA FV</c:v>
                </c:pt>
                <c:pt idx="10">
                  <c:v>PANAMERICANA SOLAR</c:v>
                </c:pt>
                <c:pt idx="11">
                  <c:v>GTS REPARTICION</c:v>
                </c:pt>
                <c:pt idx="12">
                  <c:v>GTS MAJES</c:v>
                </c:pt>
                <c:pt idx="13">
                  <c:v>SAMAY I</c:v>
                </c:pt>
                <c:pt idx="14">
                  <c:v>AIPSA</c:v>
                </c:pt>
                <c:pt idx="15">
                  <c:v>TERMOSELVA</c:v>
                </c:pt>
                <c:pt idx="16">
                  <c:v>ENEL GENERACION PIURA</c:v>
                </c:pt>
                <c:pt idx="17">
                  <c:v>ELECTRICA SANTA ROSA</c:v>
                </c:pt>
                <c:pt idx="18">
                  <c:v>ELECTRICA YANAPAMPA</c:v>
                </c:pt>
                <c:pt idx="19">
                  <c:v>MAJA ENERGIA</c:v>
                </c:pt>
                <c:pt idx="20">
                  <c:v>HIDROCAÑETE</c:v>
                </c:pt>
                <c:pt idx="21">
                  <c:v>PETRAMAS (**)</c:v>
                </c:pt>
                <c:pt idx="22">
                  <c:v>EGECSAC</c:v>
                </c:pt>
                <c:pt idx="23">
                  <c:v>GEPSA</c:v>
                </c:pt>
                <c:pt idx="24">
                  <c:v>SINERSA</c:v>
                </c:pt>
                <c:pt idx="25">
                  <c:v>P.E. MARCONA</c:v>
                </c:pt>
                <c:pt idx="26">
                  <c:v>AGUA AZUL</c:v>
                </c:pt>
                <c:pt idx="27">
                  <c:v>HUAURA POWER</c:v>
                </c:pt>
                <c:pt idx="28">
                  <c:v>RIO DOBLE</c:v>
                </c:pt>
                <c:pt idx="29">
                  <c:v>HIDROELECTRICA HUANCHOR</c:v>
                </c:pt>
                <c:pt idx="30">
                  <c:v>EMGE JUNÍN</c:v>
                </c:pt>
                <c:pt idx="31">
                  <c:v>CELEPSA RENOVABLES (****)</c:v>
                </c:pt>
                <c:pt idx="32">
                  <c:v>SANTA CRUZ</c:v>
                </c:pt>
                <c:pt idx="33">
                  <c:v>SANTA ANA</c:v>
                </c:pt>
                <c:pt idx="34">
                  <c:v>P.E. TRES HERMANAS</c:v>
                </c:pt>
                <c:pt idx="35">
                  <c:v>SDF ENERGIA</c:v>
                </c:pt>
                <c:pt idx="36">
                  <c:v>EGESUR</c:v>
                </c:pt>
                <c:pt idx="37">
                  <c:v>EMGE HUANZA</c:v>
                </c:pt>
                <c:pt idx="38">
                  <c:v>ENERGÍA EÓLICA</c:v>
                </c:pt>
                <c:pt idx="39">
                  <c:v>LUZ DEL SUR / INLAND (***)</c:v>
                </c:pt>
                <c:pt idx="40">
                  <c:v>SAN GABAN</c:v>
                </c:pt>
                <c:pt idx="41">
                  <c:v>ENEL GREEN POWER PERU</c:v>
                </c:pt>
                <c:pt idx="42">
                  <c:v>EGASA</c:v>
                </c:pt>
                <c:pt idx="43">
                  <c:v>CHINANGO</c:v>
                </c:pt>
                <c:pt idx="44">
                  <c:v>EGEMSA</c:v>
                </c:pt>
                <c:pt idx="45">
                  <c:v>CELEPSA</c:v>
                </c:pt>
                <c:pt idx="46">
                  <c:v>ORAZUL ENERGY PERÚ</c:v>
                </c:pt>
                <c:pt idx="47">
                  <c:v>TERMOCHILCA</c:v>
                </c:pt>
                <c:pt idx="48">
                  <c:v>STATKRAFT</c:v>
                </c:pt>
                <c:pt idx="49">
                  <c:v>EMGE HUALLAGA</c:v>
                </c:pt>
                <c:pt idx="50">
                  <c:v>ENGIE</c:v>
                </c:pt>
                <c:pt idx="51">
                  <c:v>FENIX POWER</c:v>
                </c:pt>
                <c:pt idx="52">
                  <c:v>ENEL GENERACION PERU</c:v>
                </c:pt>
                <c:pt idx="53">
                  <c:v>ELECTROPERU</c:v>
                </c:pt>
                <c:pt idx="54">
                  <c:v>KALLPA (*)</c:v>
                </c:pt>
              </c:strCache>
            </c:strRef>
          </c:cat>
          <c:val>
            <c:numRef>
              <c:f>'9. Pot. Empresa'!$N$7:$N$62</c:f>
              <c:numCache>
                <c:formatCode>General</c:formatCode>
                <c:ptCount val="55"/>
                <c:pt idx="0">
                  <c:v>0</c:v>
                </c:pt>
                <c:pt idx="1">
                  <c:v>1.4499</c:v>
                </c:pt>
                <c:pt idx="2">
                  <c:v>92.333160000000007</c:v>
                </c:pt>
                <c:pt idx="3" formatCode="0.00">
                  <c:v>0</c:v>
                </c:pt>
                <c:pt idx="4" formatCode="0.00">
                  <c:v>0</c:v>
                </c:pt>
                <c:pt idx="5">
                  <c:v>0</c:v>
                </c:pt>
                <c:pt idx="6" formatCode="0.00">
                  <c:v>0</c:v>
                </c:pt>
                <c:pt idx="7" formatCode="0.00">
                  <c:v>0</c:v>
                </c:pt>
                <c:pt idx="8" formatCode="0.00">
                  <c:v>0</c:v>
                </c:pt>
                <c:pt idx="9" formatCode="0.00">
                  <c:v>0</c:v>
                </c:pt>
                <c:pt idx="10">
                  <c:v>0</c:v>
                </c:pt>
                <c:pt idx="11" formatCode="0.00">
                  <c:v>0</c:v>
                </c:pt>
                <c:pt idx="12" formatCode="0.00">
                  <c:v>0</c:v>
                </c:pt>
                <c:pt idx="13" formatCode="0.00">
                  <c:v>150.16015999999999</c:v>
                </c:pt>
                <c:pt idx="14">
                  <c:v>14.744210000000001</c:v>
                </c:pt>
                <c:pt idx="15">
                  <c:v>0</c:v>
                </c:pt>
                <c:pt idx="16" formatCode="0.00">
                  <c:v>130.42132000000001</c:v>
                </c:pt>
                <c:pt idx="17" formatCode="0.00">
                  <c:v>0.84894999999999998</c:v>
                </c:pt>
                <c:pt idx="18">
                  <c:v>3.68398</c:v>
                </c:pt>
                <c:pt idx="19" formatCode="0.00">
                  <c:v>3.371</c:v>
                </c:pt>
                <c:pt idx="20" formatCode="0.00">
                  <c:v>3.2</c:v>
                </c:pt>
                <c:pt idx="21" formatCode="0.00">
                  <c:v>2.7587999999999999</c:v>
                </c:pt>
                <c:pt idx="22" formatCode="0.00">
                  <c:v>2.52</c:v>
                </c:pt>
                <c:pt idx="23" formatCode="0.00">
                  <c:v>6.67042</c:v>
                </c:pt>
                <c:pt idx="24" formatCode="0.00">
                  <c:v>9.4724699999999995</c:v>
                </c:pt>
                <c:pt idx="25" formatCode="0.00">
                  <c:v>22.759620000000002</c:v>
                </c:pt>
                <c:pt idx="26" formatCode="0.00">
                  <c:v>14.63743</c:v>
                </c:pt>
                <c:pt idx="28" formatCode="0.00">
                  <c:v>14.27637</c:v>
                </c:pt>
                <c:pt idx="29" formatCode="0.00">
                  <c:v>19.103999999999999</c:v>
                </c:pt>
                <c:pt idx="30">
                  <c:v>15.301639999999999</c:v>
                </c:pt>
                <c:pt idx="31" formatCode="0.00">
                  <c:v>19.391210000000001</c:v>
                </c:pt>
                <c:pt idx="32" formatCode="0.00">
                  <c:v>11.451699999999999</c:v>
                </c:pt>
                <c:pt idx="34" formatCode="0.00">
                  <c:v>72.490799999999993</c:v>
                </c:pt>
                <c:pt idx="35" formatCode="0.00">
                  <c:v>28.189550000000001</c:v>
                </c:pt>
                <c:pt idx="36" formatCode="0.00">
                  <c:v>50.037269999999992</c:v>
                </c:pt>
                <c:pt idx="37" formatCode="0.00">
                  <c:v>84.793520000000001</c:v>
                </c:pt>
                <c:pt idx="38" formatCode="0.00">
                  <c:v>45.975669999999994</c:v>
                </c:pt>
                <c:pt idx="39" formatCode="0.00">
                  <c:v>61.922440000000002</c:v>
                </c:pt>
                <c:pt idx="40" formatCode="0.00">
                  <c:v>56.116979999999998</c:v>
                </c:pt>
                <c:pt idx="42" formatCode="0.00">
                  <c:v>201.54909999999998</c:v>
                </c:pt>
                <c:pt idx="43" formatCode="0.00">
                  <c:v>142.41273000000001</c:v>
                </c:pt>
                <c:pt idx="44" formatCode="0.00">
                  <c:v>120.94345</c:v>
                </c:pt>
                <c:pt idx="45" formatCode="0.00">
                  <c:v>197.18293</c:v>
                </c:pt>
                <c:pt idx="46" formatCode="0.00">
                  <c:v>251.28774999999999</c:v>
                </c:pt>
                <c:pt idx="47" formatCode="0.00">
                  <c:v>0</c:v>
                </c:pt>
                <c:pt idx="48" formatCode="0.00">
                  <c:v>331.59863999999999</c:v>
                </c:pt>
                <c:pt idx="49" formatCode="0.00">
                  <c:v>169.79792999999998</c:v>
                </c:pt>
                <c:pt idx="50" formatCode="0.00">
                  <c:v>1187.0706</c:v>
                </c:pt>
                <c:pt idx="51" formatCode="0.00">
                  <c:v>552.06059000000005</c:v>
                </c:pt>
                <c:pt idx="52" formatCode="0.00">
                  <c:v>870.31693000000007</c:v>
                </c:pt>
                <c:pt idx="53" formatCode="0.00">
                  <c:v>865.52495999999996</c:v>
                </c:pt>
                <c:pt idx="54" formatCode="0.00">
                  <c:v>572.93893000000003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8336355949615164"/>
              <c:y val="0.97430729251971848"/>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2162.770216430361</c:v>
                </c:pt>
                <c:pt idx="1">
                  <c:v>1553.11433762206</c:v>
                </c:pt>
                <c:pt idx="2">
                  <c:v>79.400688477227078</c:v>
                </c:pt>
                <c:pt idx="3">
                  <c:v>92.382639279961353</c:v>
                </c:pt>
                <c:pt idx="4">
                  <c:v>10.988658842913875</c:v>
                </c:pt>
                <c:pt idx="5">
                  <c:v>84.876053974485671</c:v>
                </c:pt>
                <c:pt idx="6">
                  <c:v>15.855395925284</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1828.9602865424999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7.0902351625000009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9.8846493975000005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128.59335152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46.704256437500007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'12.Caudales'!$N$4:$N$133</c:f>
              <c:numCache>
                <c:formatCode>0.0</c:formatCode>
                <c:ptCount val="130"/>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'12.Caudales'!$O$4:$O$133</c:f>
              <c:numCache>
                <c:formatCode>0.0</c:formatCode>
                <c:ptCount val="130"/>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'12.Caudales'!$M$4:$M$133</c:f>
              <c:numCache>
                <c:formatCode>0.0</c:formatCode>
                <c:ptCount val="130"/>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'13.Caudales'!$Q$4:$Q$133</c:f>
              <c:numCache>
                <c:formatCode>0.0</c:formatCode>
                <c:ptCount val="130"/>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'13.Caudales'!$R$4:$R$133</c:f>
              <c:numCache>
                <c:formatCode>0.0</c:formatCode>
                <c:ptCount val="130"/>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'13.Caudales'!$S$4:$S$133</c:f>
              <c:numCache>
                <c:formatCode>0.0</c:formatCode>
                <c:ptCount val="130"/>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'13.Caudales'!$T$4:$T$133</c:f>
              <c:numCache>
                <c:formatCode>0.0</c:formatCode>
                <c:ptCount val="130"/>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'13.Caudales'!$U$4:$U$133</c:f>
              <c:numCache>
                <c:formatCode>0.0</c:formatCode>
                <c:ptCount val="130"/>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'13.Caudales'!$V$4:$V$133</c:f>
              <c:numCache>
                <c:formatCode>0.0</c:formatCode>
                <c:ptCount val="130"/>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'13.Caudales'!$N$4:$O$133</c:f>
              <c:multiLvlStrCache>
                <c:ptCount val="12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lvl>
                <c:lvl>
                  <c:pt idx="0">
                    <c:v>2016</c:v>
                  </c:pt>
                  <c:pt idx="52">
                    <c:v>2017</c:v>
                  </c:pt>
                  <c:pt idx="104">
                    <c:v>2018</c:v>
                  </c:pt>
                </c:lvl>
              </c:multiLvlStrCache>
            </c:multiLvlStrRef>
          </c:cat>
          <c:val>
            <c:numRef>
              <c:f>'13.Caudales'!$W$4:$W$133</c:f>
              <c:numCache>
                <c:formatCode>0.0</c:formatCode>
                <c:ptCount val="130"/>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'13.Caudales'!$Y$4:$Y$133</c:f>
              <c:numCache>
                <c:formatCode>0.0</c:formatCode>
                <c:ptCount val="130"/>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'13.Caudales'!$X$4:$X$133</c:f>
              <c:numCache>
                <c:formatCode>0.0</c:formatCode>
                <c:ptCount val="130"/>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10.508462649536783</c:v>
                </c:pt>
                <c:pt idx="1">
                  <c:v>10.284734492720437</c:v>
                </c:pt>
                <c:pt idx="2">
                  <c:v>10.086361511360563</c:v>
                </c:pt>
                <c:pt idx="3">
                  <c:v>10.089925690838585</c:v>
                </c:pt>
                <c:pt idx="4">
                  <c:v>10.017291362078341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CARABAYLLO 220</c:v>
                </c:pt>
                <c:pt idx="2">
                  <c:v>INDEPENDENCIA 220</c:v>
                </c:pt>
                <c:pt idx="3">
                  <c:v>SANTA ROSA 220</c:v>
                </c:pt>
                <c:pt idx="4">
                  <c:v>SAN JUAN 220</c:v>
                </c:pt>
                <c:pt idx="5">
                  <c:v>POMACOCHA 220</c:v>
                </c:pt>
                <c:pt idx="6">
                  <c:v>OROYA NUEVA 50</c:v>
                </c:pt>
              </c:strCache>
            </c:strRef>
          </c:cat>
          <c:val>
            <c:numRef>
              <c:f>'14. CMg'!$C$27:$I$27</c:f>
              <c:numCache>
                <c:formatCode>0.00</c:formatCode>
                <c:ptCount val="7"/>
                <c:pt idx="0">
                  <c:v>9.5693421587592198</c:v>
                </c:pt>
                <c:pt idx="1">
                  <c:v>9.55161918715641</c:v>
                </c:pt>
                <c:pt idx="2">
                  <c:v>9.5254563405704804</c:v>
                </c:pt>
                <c:pt idx="3">
                  <c:v>9.5122667054825936</c:v>
                </c:pt>
                <c:pt idx="4">
                  <c:v>9.4601492877383997</c:v>
                </c:pt>
                <c:pt idx="5">
                  <c:v>9.3625683092377407</c:v>
                </c:pt>
                <c:pt idx="6">
                  <c:v>9.3354342806115813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SAN GABAN 138</c:v>
                </c:pt>
                <c:pt idx="4">
                  <c:v>MOQUEGUA 138</c:v>
                </c:pt>
                <c:pt idx="5">
                  <c:v>DOLORESPATA 138</c:v>
                </c:pt>
                <c:pt idx="6">
                  <c:v>COTARUSE 220</c:v>
                </c:pt>
              </c:strCache>
            </c:strRef>
          </c:cat>
          <c:val>
            <c:numRef>
              <c:f>'14. CMg'!$C$46:$I$46</c:f>
              <c:numCache>
                <c:formatCode>0.00</c:formatCode>
                <c:ptCount val="7"/>
                <c:pt idx="0">
                  <c:v>10.53585063144811</c:v>
                </c:pt>
                <c:pt idx="1">
                  <c:v>10.338577415283696</c:v>
                </c:pt>
                <c:pt idx="2">
                  <c:v>10.139148771041208</c:v>
                </c:pt>
                <c:pt idx="3">
                  <c:v>10.138436978424274</c:v>
                </c:pt>
                <c:pt idx="4">
                  <c:v>10.114099024087059</c:v>
                </c:pt>
                <c:pt idx="5">
                  <c:v>9.8723928402650358</c:v>
                </c:pt>
                <c:pt idx="6">
                  <c:v>9.734490784505855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JUNIO
 2016</c:v>
                </c:pt>
              </c:strCache>
            </c:strRef>
          </c:tx>
          <c:spPr>
            <a:solidFill>
              <a:schemeClr val="accent6"/>
            </a:solidFill>
          </c:spPr>
          <c:invertIfNegative val="0"/>
          <c:cat>
            <c:strRef>
              <c:f>'16. Congestiones'!$C$7:$C$15</c:f>
              <c:strCache>
                <c:ptCount val="9"/>
                <c:pt idx="0">
                  <c:v>ENLACE CENTRO - SUR</c:v>
                </c:pt>
                <c:pt idx="1">
                  <c:v>MACHUPICCHU - QUENCORO</c:v>
                </c:pt>
                <c:pt idx="2">
                  <c:v>SAN JUAN - LOS INDUSTRIALES</c:v>
                </c:pt>
                <c:pt idx="3">
                  <c:v>TINGO MARÍA - AUCAYACU</c:v>
                </c:pt>
                <c:pt idx="4">
                  <c:v>POMACOCHA - SAN JUAN</c:v>
                </c:pt>
                <c:pt idx="5">
                  <c:v>VENTANILLA - ZAPALLAL</c:v>
                </c:pt>
                <c:pt idx="6">
                  <c:v>PARAGSHA II - CONOCOCHA</c:v>
                </c:pt>
                <c:pt idx="7">
                  <c:v>SANTA ROSA N. - CHAVARRÍA</c:v>
                </c:pt>
                <c:pt idx="8">
                  <c:v>SAN JUAN - SANTA ROSA N.</c:v>
                </c:pt>
              </c:strCache>
            </c:strRef>
          </c:cat>
          <c:val>
            <c:numRef>
              <c:f>'16. Congestiones'!$F$7:$F$15</c:f>
              <c:numCache>
                <c:formatCode>#,##0.00</c:formatCode>
                <c:ptCount val="9"/>
                <c:pt idx="0">
                  <c:v>359.06666666666666</c:v>
                </c:pt>
                <c:pt idx="2">
                  <c:v>78.716666666666683</c:v>
                </c:pt>
                <c:pt idx="5">
                  <c:v>7.2333333333333307</c:v>
                </c:pt>
                <c:pt idx="7">
                  <c:v>14.05</c:v>
                </c:pt>
                <c:pt idx="8">
                  <c:v>1.7333333333333325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JUNIO
 2017</c:v>
                </c:pt>
              </c:strCache>
            </c:strRef>
          </c:tx>
          <c:invertIfNegative val="0"/>
          <c:cat>
            <c:strRef>
              <c:f>'16. Congestiones'!$C$7:$C$15</c:f>
              <c:strCache>
                <c:ptCount val="9"/>
                <c:pt idx="0">
                  <c:v>ENLACE CENTRO - SUR</c:v>
                </c:pt>
                <c:pt idx="1">
                  <c:v>MACHUPICCHU - QUENCORO</c:v>
                </c:pt>
                <c:pt idx="2">
                  <c:v>SAN JUAN - LOS INDUSTRIALES</c:v>
                </c:pt>
                <c:pt idx="3">
                  <c:v>TINGO MARÍA - AUCAYACU</c:v>
                </c:pt>
                <c:pt idx="4">
                  <c:v>POMACOCHA - SAN JUAN</c:v>
                </c:pt>
                <c:pt idx="5">
                  <c:v>VENTANILLA - ZAPALLAL</c:v>
                </c:pt>
                <c:pt idx="6">
                  <c:v>PARAGSHA II - CONOCOCHA</c:v>
                </c:pt>
                <c:pt idx="7">
                  <c:v>SANTA ROSA N. - CHAVARRÍA</c:v>
                </c:pt>
                <c:pt idx="8">
                  <c:v>SAN JUAN - SANTA ROSA N.</c:v>
                </c:pt>
              </c:strCache>
            </c:strRef>
          </c:cat>
          <c:val>
            <c:numRef>
              <c:f>'16. Congestiones'!$E$7:$E$15</c:f>
              <c:numCache>
                <c:formatCode>#,##0.00</c:formatCode>
                <c:ptCount val="9"/>
                <c:pt idx="0">
                  <c:v>689.33333333333326</c:v>
                </c:pt>
                <c:pt idx="1">
                  <c:v>9.6999999999999993</c:v>
                </c:pt>
                <c:pt idx="2">
                  <c:v>27.316666666666663</c:v>
                </c:pt>
                <c:pt idx="4">
                  <c:v>13.733333333333333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JUNIO
 2018</c:v>
                </c:pt>
              </c:strCache>
            </c:strRef>
          </c:tx>
          <c:invertIfNegative val="0"/>
          <c:cat>
            <c:strRef>
              <c:f>'16. Congestiones'!$C$7:$C$15</c:f>
              <c:strCache>
                <c:ptCount val="9"/>
                <c:pt idx="0">
                  <c:v>ENLACE CENTRO - SUR</c:v>
                </c:pt>
                <c:pt idx="1">
                  <c:v>MACHUPICCHU - QUENCORO</c:v>
                </c:pt>
                <c:pt idx="2">
                  <c:v>SAN JUAN - LOS INDUSTRIALES</c:v>
                </c:pt>
                <c:pt idx="3">
                  <c:v>TINGO MARÍA - AUCAYACU</c:v>
                </c:pt>
                <c:pt idx="4">
                  <c:v>POMACOCHA - SAN JUAN</c:v>
                </c:pt>
                <c:pt idx="5">
                  <c:v>VENTANILLA - ZAPALLAL</c:v>
                </c:pt>
                <c:pt idx="6">
                  <c:v>PARAGSHA II - CONOCOCHA</c:v>
                </c:pt>
                <c:pt idx="7">
                  <c:v>SANTA ROSA N. - CHAVARRÍA</c:v>
                </c:pt>
                <c:pt idx="8">
                  <c:v>SAN JUAN - SANTA ROSA N.</c:v>
                </c:pt>
              </c:strCache>
            </c:strRef>
          </c:cat>
          <c:val>
            <c:numRef>
              <c:f>'16. Congestiones'!$D$7:$D$15</c:f>
              <c:numCache>
                <c:formatCode>#,##0.00</c:formatCode>
                <c:ptCount val="9"/>
                <c:pt idx="3">
                  <c:v>3.5333333333333341</c:v>
                </c:pt>
                <c:pt idx="6">
                  <c:v>4.033333333333335</c:v>
                </c:pt>
                <c:pt idx="7">
                  <c:v>4.7833333333333323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0243386435985938E-2"/>
                  <c:y val="-6.1503644626446433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0.1172118889127105"/>
                  <c:y val="9.3562941525408491E-4"/>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6.9691883195546186E-2"/>
                  <c:y val="0.13121050708664803"/>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5.385464109978718E-2"/>
                  <c:y val="3.139548992468217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6620409483"/>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57642175241541471"/>
                  <c:y val="0.58935593942408948"/>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3.366917315512509E-2"/>
                  <c:y val="-5.8688501015620786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0146877086198451"/>
                      <c:h val="0.10153196958530315"/>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10</c:v>
                </c:pt>
                <c:pt idx="1">
                  <c:v>9</c:v>
                </c:pt>
                <c:pt idx="2">
                  <c:v>1</c:v>
                </c:pt>
                <c:pt idx="3">
                  <c:v>1</c:v>
                </c:pt>
                <c:pt idx="4">
                  <c:v>6</c:v>
                </c:pt>
                <c:pt idx="5">
                  <c:v>0</c:v>
                </c:pt>
                <c:pt idx="6">
                  <c:v>3</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Eventos'!$A$7:$A$10</c:f>
              <c:strCache>
                <c:ptCount val="4"/>
                <c:pt idx="0">
                  <c:v>BARRA</c:v>
                </c:pt>
                <c:pt idx="1">
                  <c:v>GENERADOR TERMOELÉCTRICO</c:v>
                </c:pt>
                <c:pt idx="2">
                  <c:v>LINEA DE TRANSMISION</c:v>
                </c:pt>
                <c:pt idx="3">
                  <c:v>TRANSFORMADOR</c:v>
                </c:pt>
              </c:strCache>
            </c:strRef>
          </c:cat>
          <c:val>
            <c:numRef>
              <c:f>'17. Eventos'!$B$7:$B$10</c:f>
              <c:numCache>
                <c:formatCode>General</c:formatCode>
                <c:ptCount val="4"/>
                <c:pt idx="2">
                  <c:v>10</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Eventos'!$A$7:$A$10</c:f>
              <c:strCache>
                <c:ptCount val="4"/>
                <c:pt idx="0">
                  <c:v>BARRA</c:v>
                </c:pt>
                <c:pt idx="1">
                  <c:v>GENERADOR TERMOELÉCTRICO</c:v>
                </c:pt>
                <c:pt idx="2">
                  <c:v>LINEA DE TRANSMISION</c:v>
                </c:pt>
                <c:pt idx="3">
                  <c:v>TRANSFORMADOR</c:v>
                </c:pt>
              </c:strCache>
            </c:strRef>
          </c:cat>
          <c:val>
            <c:numRef>
              <c:f>'17. Eventos'!$C$7:$C$10</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Eventos'!$A$7:$A$10</c:f>
              <c:strCache>
                <c:ptCount val="4"/>
                <c:pt idx="0">
                  <c:v>BARRA</c:v>
                </c:pt>
                <c:pt idx="1">
                  <c:v>GENERADOR TERMOELÉCTRICO</c:v>
                </c:pt>
                <c:pt idx="2">
                  <c:v>LINEA DE TRANSMISION</c:v>
                </c:pt>
                <c:pt idx="3">
                  <c:v>TRANSFORMADOR</c:v>
                </c:pt>
              </c:strCache>
            </c:strRef>
          </c:cat>
          <c:val>
            <c:numRef>
              <c:f>'17. Eventos'!$D$7:$D$10</c:f>
              <c:numCache>
                <c:formatCode>General</c:formatCode>
                <c:ptCount val="4"/>
                <c:pt idx="3">
                  <c:v>1</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Eventos'!$A$7:$A$10</c:f>
              <c:strCache>
                <c:ptCount val="4"/>
                <c:pt idx="0">
                  <c:v>BARRA</c:v>
                </c:pt>
                <c:pt idx="1">
                  <c:v>GENERADOR TERMOELÉCTRICO</c:v>
                </c:pt>
                <c:pt idx="2">
                  <c:v>LINEA DE TRANSMISION</c:v>
                </c:pt>
                <c:pt idx="3">
                  <c:v>TRANSFORMADOR</c:v>
                </c:pt>
              </c:strCache>
            </c:strRef>
          </c:cat>
          <c:val>
            <c:numRef>
              <c:f>'17. Eventos'!$E$7:$E$10</c:f>
              <c:numCache>
                <c:formatCode>General</c:formatCode>
                <c:ptCount val="4"/>
                <c:pt idx="2">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Eventos'!$A$7:$A$10</c:f>
              <c:strCache>
                <c:ptCount val="4"/>
                <c:pt idx="0">
                  <c:v>BARRA</c:v>
                </c:pt>
                <c:pt idx="1">
                  <c:v>GENERADOR TERMOELÉCTRICO</c:v>
                </c:pt>
                <c:pt idx="2">
                  <c:v>LINEA DE TRANSMISION</c:v>
                </c:pt>
                <c:pt idx="3">
                  <c:v>TRANSFORMADOR</c:v>
                </c:pt>
              </c:strCache>
            </c:strRef>
          </c:cat>
          <c:val>
            <c:numRef>
              <c:f>'17. Eventos'!$F$7:$F$10</c:f>
              <c:numCache>
                <c:formatCode>General</c:formatCode>
                <c:ptCount val="4"/>
                <c:pt idx="0">
                  <c:v>2</c:v>
                </c:pt>
                <c:pt idx="2">
                  <c:v>4</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Eventos'!$A$7:$A$10</c:f>
              <c:strCache>
                <c:ptCount val="4"/>
                <c:pt idx="0">
                  <c:v>BARRA</c:v>
                </c:pt>
                <c:pt idx="1">
                  <c:v>GENERADOR TERMOELÉCTRICO</c:v>
                </c:pt>
                <c:pt idx="2">
                  <c:v>LINEA DE TRANSMISION</c:v>
                </c:pt>
                <c:pt idx="3">
                  <c:v>TRANSFORMADOR</c:v>
                </c:pt>
              </c:strCache>
            </c:strRef>
          </c:cat>
          <c:val>
            <c:numRef>
              <c:f>'17. Eventos'!$G$7:$G$10</c:f>
              <c:numCache>
                <c:formatCode>General</c:formatCode>
                <c:ptCount val="4"/>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Eventos'!$A$7:$A$10</c:f>
              <c:strCache>
                <c:ptCount val="4"/>
                <c:pt idx="0">
                  <c:v>BARRA</c:v>
                </c:pt>
                <c:pt idx="1">
                  <c:v>GENERADOR TERMOELÉCTRICO</c:v>
                </c:pt>
                <c:pt idx="2">
                  <c:v>LINEA DE TRANSMISION</c:v>
                </c:pt>
                <c:pt idx="3">
                  <c:v>TRANSFORMADOR</c:v>
                </c:pt>
              </c:strCache>
            </c:strRef>
          </c:cat>
          <c:val>
            <c:numRef>
              <c:f>'17. Eventos'!$H$7:$H$10</c:f>
              <c:numCache>
                <c:formatCode>General</c:formatCode>
                <c:ptCount val="4"/>
                <c:pt idx="3">
                  <c:v>3</c:v>
                </c:pt>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generación'!$B$36:$C$36</c:f>
              <c:strCache>
                <c:ptCount val="2"/>
                <c:pt idx="0">
                  <c:v>HIDROELÉCTRICA</c:v>
                </c:pt>
              </c:strCache>
            </c:strRef>
          </c:tx>
          <c:invertIfNegative val="0"/>
          <c:cat>
            <c:strRef>
              <c:f>'2. Oferta de generación'!$D$35:$E$35</c:f>
              <c:strCache>
                <c:ptCount val="2"/>
                <c:pt idx="0">
                  <c:v>JUNIO 2018</c:v>
                </c:pt>
                <c:pt idx="1">
                  <c:v>JUNIO 2017</c:v>
                </c:pt>
              </c:strCache>
            </c:strRef>
          </c:cat>
          <c:val>
            <c:numRef>
              <c:f>'2. Oferta de generación'!$D$36:$E$36</c:f>
              <c:numCache>
                <c:formatCode>#,##0.0</c:formatCode>
                <c:ptCount val="2"/>
                <c:pt idx="0">
                  <c:v>4904.5012475000012</c:v>
                </c:pt>
                <c:pt idx="1">
                  <c:v>4968.0372475000004</c:v>
                </c:pt>
              </c:numCache>
            </c:numRef>
          </c:val>
          <c:extLst>
            <c:ext xmlns:c16="http://schemas.microsoft.com/office/drawing/2014/chart" uri="{C3380CC4-5D6E-409C-BE32-E72D297353CC}">
              <c16:uniqueId val="{00000004-54B0-402D-913D-0304413B844F}"/>
            </c:ext>
          </c:extLst>
        </c:ser>
        <c:ser>
          <c:idx val="1"/>
          <c:order val="1"/>
          <c:tx>
            <c:strRef>
              <c:f>'2. Oferta de generación'!$B$37:$C$37</c:f>
              <c:strCache>
                <c:ptCount val="2"/>
                <c:pt idx="0">
                  <c:v>TERMOELÉCTRICA</c:v>
                </c:pt>
              </c:strCache>
            </c:strRef>
          </c:tx>
          <c:spPr>
            <a:solidFill>
              <a:schemeClr val="accent2"/>
            </a:solidFill>
          </c:spPr>
          <c:invertIfNegative val="0"/>
          <c:cat>
            <c:strRef>
              <c:f>'2. Oferta de generación'!$D$35:$E$35</c:f>
              <c:strCache>
                <c:ptCount val="2"/>
                <c:pt idx="0">
                  <c:v>JUNIO 2018</c:v>
                </c:pt>
                <c:pt idx="1">
                  <c:v>JUNIO 2017</c:v>
                </c:pt>
              </c:strCache>
            </c:strRef>
          </c:cat>
          <c:val>
            <c:numRef>
              <c:f>'2. Oferta de generación'!$D$37:$E$37</c:f>
              <c:numCache>
                <c:formatCode>#,##0.0</c:formatCode>
                <c:ptCount val="2"/>
                <c:pt idx="0">
                  <c:v>7393.5644999999995</c:v>
                </c:pt>
                <c:pt idx="1">
                  <c:v>7373.5784999999987</c:v>
                </c:pt>
              </c:numCache>
            </c:numRef>
          </c:val>
          <c:extLst>
            <c:ext xmlns:c16="http://schemas.microsoft.com/office/drawing/2014/chart" uri="{C3380CC4-5D6E-409C-BE32-E72D297353CC}">
              <c16:uniqueId val="{00000005-54B0-402D-913D-0304413B844F}"/>
            </c:ext>
          </c:extLst>
        </c:ser>
        <c:ser>
          <c:idx val="2"/>
          <c:order val="2"/>
          <c:tx>
            <c:strRef>
              <c:f>'2. Oferta de generación'!$B$38:$C$38</c:f>
              <c:strCache>
                <c:ptCount val="2"/>
                <c:pt idx="0">
                  <c:v>EÓLICA</c:v>
                </c:pt>
              </c:strCache>
            </c:strRef>
          </c:tx>
          <c:spPr>
            <a:solidFill>
              <a:srgbClr val="6DA6D9"/>
            </a:solidFill>
          </c:spPr>
          <c:invertIfNegative val="0"/>
          <c:cat>
            <c:strRef>
              <c:f>'2. Oferta de generación'!$D$35:$E$35</c:f>
              <c:strCache>
                <c:ptCount val="2"/>
                <c:pt idx="0">
                  <c:v>JUNIO 2018</c:v>
                </c:pt>
                <c:pt idx="1">
                  <c:v>JUNIO 2017</c:v>
                </c:pt>
              </c:strCache>
            </c:strRef>
          </c:cat>
          <c:val>
            <c:numRef>
              <c:f>'2. Oferta de generación'!$D$38:$E$38</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generación'!$B$39:$C$39</c:f>
              <c:strCache>
                <c:ptCount val="2"/>
                <c:pt idx="0">
                  <c:v>SOLAR</c:v>
                </c:pt>
              </c:strCache>
            </c:strRef>
          </c:tx>
          <c:invertIfNegative val="0"/>
          <c:cat>
            <c:strRef>
              <c:f>'2. Oferta de generación'!$D$35:$E$35</c:f>
              <c:strCache>
                <c:ptCount val="2"/>
                <c:pt idx="0">
                  <c:v>JUNIO 2018</c:v>
                </c:pt>
                <c:pt idx="1">
                  <c:v>JUNIO 2017</c:v>
                </c:pt>
              </c:strCache>
            </c:strRef>
          </c:cat>
          <c:val>
            <c:numRef>
              <c:f>'2. Oferta de generación'!$D$39:$E$39</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Eventos'!$A$7:$A$10</c:f>
              <c:strCache>
                <c:ptCount val="4"/>
                <c:pt idx="0">
                  <c:v>BARRA</c:v>
                </c:pt>
                <c:pt idx="1">
                  <c:v>GENERADOR TERMOELÉCTRICO</c:v>
                </c:pt>
                <c:pt idx="2">
                  <c:v>LINEA DE TRANSMISION</c:v>
                </c:pt>
                <c:pt idx="3">
                  <c:v>TRANSFORMADOR</c:v>
                </c:pt>
              </c:strCache>
            </c:strRef>
          </c:cat>
          <c:val>
            <c:numRef>
              <c:f>'17. Eventos'!$J$7:$J$10</c:f>
              <c:numCache>
                <c:formatCode>#,##0.00</c:formatCode>
                <c:ptCount val="4"/>
                <c:pt idx="0">
                  <c:v>4.91</c:v>
                </c:pt>
                <c:pt idx="1">
                  <c:v>3.85</c:v>
                </c:pt>
                <c:pt idx="2">
                  <c:v>351.07000000000005</c:v>
                </c:pt>
                <c:pt idx="3">
                  <c:v>127.8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58481294815"/>
          <c:y val="5.2798140554937414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generación'!$L$15:$L$18</c:f>
              <c:strCache>
                <c:ptCount val="4"/>
                <c:pt idx="0">
                  <c:v>Central Solar</c:v>
                </c:pt>
                <c:pt idx="1">
                  <c:v>Central Hidroeléctrica</c:v>
                </c:pt>
                <c:pt idx="2">
                  <c:v>Turbina de Vapor</c:v>
                </c:pt>
                <c:pt idx="3">
                  <c:v>Central Eólica</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Lbls>
            <c:delete val="1"/>
          </c:dLbls>
          <c:cat>
            <c:strRef>
              <c:f>'2. Oferta de generación'!$L$15:$L$18</c:f>
              <c:strCache>
                <c:ptCount val="4"/>
                <c:pt idx="0">
                  <c:v>Central Solar</c:v>
                </c:pt>
                <c:pt idx="1">
                  <c:v>Central Hidroeléctrica</c:v>
                </c:pt>
                <c:pt idx="2">
                  <c:v>Turbina de Vapor</c:v>
                </c:pt>
                <c:pt idx="3">
                  <c:v>Central Eólica</c:v>
                </c:pt>
              </c:strCache>
            </c:strRef>
          </c:cat>
          <c:val>
            <c:numRef>
              <c:f>'2. Oferta de generación'!$M$15:$M$18</c:f>
              <c:numCache>
                <c:formatCode>#,##0.00</c:formatCode>
                <c:ptCount val="4"/>
                <c:pt idx="0">
                  <c:v>189.01999999999998</c:v>
                </c:pt>
                <c:pt idx="1">
                  <c:v>20</c:v>
                </c:pt>
                <c:pt idx="2">
                  <c:v>103.95113000000001</c:v>
                </c:pt>
                <c:pt idx="3" formatCode="General">
                  <c:v>132.30000000000001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12339.799134015351</c:v>
                </c:pt>
                <c:pt idx="1">
                  <c:v>10905.800762376784</c:v>
                </c:pt>
                <c:pt idx="2">
                  <c:v>460.87854803203777</c:v>
                </c:pt>
                <c:pt idx="3">
                  <c:v>115.22454152099991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15387.938461877231</c:v>
                </c:pt>
                <c:pt idx="1">
                  <c:v>8462.2872637061064</c:v>
                </c:pt>
                <c:pt idx="2">
                  <c:v>459.83840211906772</c:v>
                </c:pt>
                <c:pt idx="3">
                  <c:v>105.26838385322201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16327.994869525002</c:v>
                </c:pt>
                <c:pt idx="1">
                  <c:v>7804.0830211675002</c:v>
                </c:pt>
                <c:pt idx="2">
                  <c:v>658.58462278000013</c:v>
                </c:pt>
                <c:pt idx="3">
                  <c:v>330.79512248999998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16327.994869525002</c:v>
                </c:pt>
                <c:pt idx="1">
                  <c:v>7316.9316987624998</c:v>
                </c:pt>
                <c:pt idx="2">
                  <c:v>220.17485597750002</c:v>
                </c:pt>
                <c:pt idx="3">
                  <c:v>113.07860665000001</c:v>
                </c:pt>
                <c:pt idx="4">
                  <c:v>0</c:v>
                </c:pt>
                <c:pt idx="5">
                  <c:v>26.9015129625</c:v>
                </c:pt>
                <c:pt idx="6">
                  <c:v>1.8026657475000003</c:v>
                </c:pt>
                <c:pt idx="7">
                  <c:v>1.4230004125</c:v>
                </c:pt>
                <c:pt idx="8">
                  <c:v>58.4930734625</c:v>
                </c:pt>
                <c:pt idx="9">
                  <c:v>42.383671962499996</c:v>
                </c:pt>
                <c:pt idx="10">
                  <c:v>22.89393523</c:v>
                </c:pt>
                <c:pt idx="11">
                  <c:v>330.79512248999998</c:v>
                </c:pt>
                <c:pt idx="12">
                  <c:v>658.58462278000013</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15387.938461877231</c:v>
                </c:pt>
                <c:pt idx="1">
                  <c:v>7437.7464964669171</c:v>
                </c:pt>
                <c:pt idx="2">
                  <c:v>178.84415006186688</c:v>
                </c:pt>
                <c:pt idx="3">
                  <c:v>41.372165856152698</c:v>
                </c:pt>
                <c:pt idx="4">
                  <c:v>9.7034091828799998</c:v>
                </c:pt>
                <c:pt idx="5">
                  <c:v>370.53524402526688</c:v>
                </c:pt>
                <c:pt idx="6">
                  <c:v>70.548883690095323</c:v>
                </c:pt>
                <c:pt idx="7">
                  <c:v>0.24963529262500003</c:v>
                </c:pt>
                <c:pt idx="8">
                  <c:v>294.33183354479905</c:v>
                </c:pt>
                <c:pt idx="9">
                  <c:v>39.466510054807202</c:v>
                </c:pt>
                <c:pt idx="10">
                  <c:v>19.488935530696626</c:v>
                </c:pt>
                <c:pt idx="11">
                  <c:v>105.26838385322201</c:v>
                </c:pt>
                <c:pt idx="12">
                  <c:v>459.83840211906772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12339.799134015351</c:v>
                </c:pt>
                <c:pt idx="1">
                  <c:v>9440.4133365170055</c:v>
                </c:pt>
                <c:pt idx="2">
                  <c:v>283.89273185415146</c:v>
                </c:pt>
                <c:pt idx="3">
                  <c:v>274.08508507316304</c:v>
                </c:pt>
                <c:pt idx="4">
                  <c:v>62.966086501848004</c:v>
                </c:pt>
                <c:pt idx="5">
                  <c:v>316.45906031777383</c:v>
                </c:pt>
                <c:pt idx="6">
                  <c:v>107.63510308527717</c:v>
                </c:pt>
                <c:pt idx="7">
                  <c:v>2.6969792652423696</c:v>
                </c:pt>
                <c:pt idx="8">
                  <c:v>345.52542474918477</c:v>
                </c:pt>
                <c:pt idx="9">
                  <c:v>47.104414359037399</c:v>
                </c:pt>
                <c:pt idx="10">
                  <c:v>25.022540654100002</c:v>
                </c:pt>
                <c:pt idx="11">
                  <c:v>115.22454152099991</c:v>
                </c:pt>
                <c:pt idx="12">
                  <c:v>460.87854803203777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17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489.35004228032091</c:v>
                </c:pt>
                <c:pt idx="1">
                  <c:v>460.87854803203777</c:v>
                </c:pt>
                <c:pt idx="2">
                  <c:v>115.22454152099991</c:v>
                </c:pt>
                <c:pt idx="3">
                  <c:v>47.104414359037399</c:v>
                </c:pt>
                <c:pt idx="4">
                  <c:v>25.022540654100002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613.23662608277527</c:v>
                </c:pt>
                <c:pt idx="1">
                  <c:v>459.83840211906772</c:v>
                </c:pt>
                <c:pt idx="2">
                  <c:v>105.26838385322201</c:v>
                </c:pt>
                <c:pt idx="3">
                  <c:v>39.466510054807202</c:v>
                </c:pt>
                <c:pt idx="4">
                  <c:v>19.488935530696626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673.49372829250012</c:v>
                </c:pt>
                <c:pt idx="1">
                  <c:v>658.58462278000013</c:v>
                </c:pt>
                <c:pt idx="2">
                  <c:v>330.79512248999998</c:v>
                </c:pt>
                <c:pt idx="3">
                  <c:v>42.383671962499996</c:v>
                </c:pt>
                <c:pt idx="4">
                  <c:v>22.89393523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3.8504132998919409E-2"/>
                  <c:y val="-9.427744254362782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6,67%</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3859.2706454550002</c:v>
                </c:pt>
                <c:pt idx="1">
                  <c:v>90.464329837500003</c:v>
                </c:pt>
                <c:pt idx="2">
                  <c:v>128.59335152</c:v>
                </c:pt>
                <c:pt idx="3">
                  <c:v>46.704256437500007</c:v>
                </c:pt>
                <c:pt idx="4">
                  <c:v>7.0497050225000004</c:v>
                </c:pt>
                <c:pt idx="5">
                  <c:v>2.8349443750000001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RER'!$L$6:$L$24</c:f>
              <c:strCache>
                <c:ptCount val="19"/>
                <c:pt idx="0">
                  <c:v>C.H. RENOVANDES H1</c:v>
                </c:pt>
                <c:pt idx="1">
                  <c:v>C.H. YARUCAYA</c:v>
                </c:pt>
                <c:pt idx="2">
                  <c:v>C.H. LAS PIZARRAS</c:v>
                </c:pt>
                <c:pt idx="3">
                  <c:v>C.H. POTRERO</c:v>
                </c:pt>
                <c:pt idx="4">
                  <c:v>C.H. RUNATULLO III</c:v>
                </c:pt>
                <c:pt idx="5">
                  <c:v>C.H. RUNATULLO II</c:v>
                </c:pt>
                <c:pt idx="6">
                  <c:v>C.H. CARHUAQUERO IV</c:v>
                </c:pt>
                <c:pt idx="7">
                  <c:v>C.H. LA JOYA</c:v>
                </c:pt>
                <c:pt idx="8">
                  <c:v>C.H. POECHOS II</c:v>
                </c:pt>
                <c:pt idx="9">
                  <c:v>C.H. HUASAHUASI II</c:v>
                </c:pt>
                <c:pt idx="10">
                  <c:v>C.H. HUASAHUASI I</c:v>
                </c:pt>
                <c:pt idx="11">
                  <c:v>C.H. CANCHAYLLO</c:v>
                </c:pt>
                <c:pt idx="12">
                  <c:v>C.H. CAÑA BRAVA</c:v>
                </c:pt>
                <c:pt idx="13">
                  <c:v>C.H. IMPERIAL</c:v>
                </c:pt>
                <c:pt idx="14">
                  <c:v>C.H. RONCADOR</c:v>
                </c:pt>
                <c:pt idx="15">
                  <c:v>C.H. YANAPAMPA</c:v>
                </c:pt>
                <c:pt idx="16">
                  <c:v>C.H. SANTA CRUZ II</c:v>
                </c:pt>
                <c:pt idx="17">
                  <c:v>C.H. SANTA CRUZ I</c:v>
                </c:pt>
                <c:pt idx="18">
                  <c:v>C.H. PURMACANA</c:v>
                </c:pt>
              </c:strCache>
            </c:strRef>
          </c:cat>
          <c:val>
            <c:numRef>
              <c:f>'6. FP RER'!$O$6:$O$24</c:f>
              <c:numCache>
                <c:formatCode>0.00</c:formatCode>
                <c:ptCount val="19"/>
                <c:pt idx="0">
                  <c:v>13.33211028</c:v>
                </c:pt>
                <c:pt idx="1">
                  <c:v>12.470861017500001</c:v>
                </c:pt>
                <c:pt idx="2">
                  <c:v>8.957812517499999</c:v>
                </c:pt>
                <c:pt idx="3">
                  <c:v>8.0265881674999999</c:v>
                </c:pt>
                <c:pt idx="4">
                  <c:v>7.2532329499999992</c:v>
                </c:pt>
                <c:pt idx="5">
                  <c:v>4.9413198725000003</c:v>
                </c:pt>
                <c:pt idx="6">
                  <c:v>4.9412679900000001</c:v>
                </c:pt>
                <c:pt idx="7">
                  <c:v>4.2412612075</c:v>
                </c:pt>
                <c:pt idx="8">
                  <c:v>3.855760225</c:v>
                </c:pt>
                <c:pt idx="9">
                  <c:v>3.5786952799999998</c:v>
                </c:pt>
                <c:pt idx="10">
                  <c:v>3.3082820974999998</c:v>
                </c:pt>
                <c:pt idx="11">
                  <c:v>2.9469849999999997</c:v>
                </c:pt>
                <c:pt idx="12">
                  <c:v>2.9406452299999999</c:v>
                </c:pt>
                <c:pt idx="13">
                  <c:v>2.3473999999999999</c:v>
                </c:pt>
                <c:pt idx="14">
                  <c:v>2.1166320000000001</c:v>
                </c:pt>
                <c:pt idx="15">
                  <c:v>1.8361374774999999</c:v>
                </c:pt>
                <c:pt idx="16">
                  <c:v>1.696896835</c:v>
                </c:pt>
                <c:pt idx="17">
                  <c:v>1.4516324575000001</c:v>
                </c:pt>
                <c:pt idx="18">
                  <c:v>0.22080923250000001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RER'!$L$6:$L$24</c:f>
              <c:strCache>
                <c:ptCount val="19"/>
                <c:pt idx="0">
                  <c:v>C.H. RENOVANDES H1</c:v>
                </c:pt>
                <c:pt idx="1">
                  <c:v>C.H. YARUCAYA</c:v>
                </c:pt>
                <c:pt idx="2">
                  <c:v>C.H. LAS PIZARRAS</c:v>
                </c:pt>
                <c:pt idx="3">
                  <c:v>C.H. POTRERO</c:v>
                </c:pt>
                <c:pt idx="4">
                  <c:v>C.H. RUNATULLO III</c:v>
                </c:pt>
                <c:pt idx="5">
                  <c:v>C.H. RUNATULLO II</c:v>
                </c:pt>
                <c:pt idx="6">
                  <c:v>C.H. CARHUAQUERO IV</c:v>
                </c:pt>
                <c:pt idx="7">
                  <c:v>C.H. LA JOYA</c:v>
                </c:pt>
                <c:pt idx="8">
                  <c:v>C.H. POECHOS II</c:v>
                </c:pt>
                <c:pt idx="9">
                  <c:v>C.H. HUASAHUASI II</c:v>
                </c:pt>
                <c:pt idx="10">
                  <c:v>C.H. HUASAHUASI I</c:v>
                </c:pt>
                <c:pt idx="11">
                  <c:v>C.H. CANCHAYLLO</c:v>
                </c:pt>
                <c:pt idx="12">
                  <c:v>C.H. CAÑA BRAVA</c:v>
                </c:pt>
                <c:pt idx="13">
                  <c:v>C.H. IMPERIAL</c:v>
                </c:pt>
                <c:pt idx="14">
                  <c:v>C.H. RONCADOR</c:v>
                </c:pt>
                <c:pt idx="15">
                  <c:v>C.H. YANAPAMPA</c:v>
                </c:pt>
                <c:pt idx="16">
                  <c:v>C.H. SANTA CRUZ II</c:v>
                </c:pt>
                <c:pt idx="17">
                  <c:v>C.H. SANTA CRUZ I</c:v>
                </c:pt>
                <c:pt idx="18">
                  <c:v>C.H. PURMACANA</c:v>
                </c:pt>
              </c:strCache>
            </c:strRef>
          </c:cat>
          <c:val>
            <c:numRef>
              <c:f>'6. FP RER'!$P$6:$P$24</c:f>
              <c:numCache>
                <c:formatCode>0.00</c:formatCode>
                <c:ptCount val="19"/>
                <c:pt idx="0">
                  <c:v>0.92584099166666667</c:v>
                </c:pt>
                <c:pt idx="1">
                  <c:v>1</c:v>
                </c:pt>
                <c:pt idx="2">
                  <c:v>0.64800678529678135</c:v>
                </c:pt>
                <c:pt idx="3">
                  <c:v>0.56020297093104421</c:v>
                </c:pt>
                <c:pt idx="4">
                  <c:v>0.50455447524680841</c:v>
                </c:pt>
                <c:pt idx="5">
                  <c:v>0.34371434203240903</c:v>
                </c:pt>
                <c:pt idx="6">
                  <c:v>0.68745589585628908</c:v>
                </c:pt>
                <c:pt idx="7">
                  <c:v>0.76057334615522565</c:v>
                </c:pt>
                <c:pt idx="8">
                  <c:v>0.55981837076335161</c:v>
                </c:pt>
                <c:pt idx="9">
                  <c:v>0.48624634231178943</c:v>
                </c:pt>
                <c:pt idx="10">
                  <c:v>0.46648083721094197</c:v>
                </c:pt>
                <c:pt idx="11">
                  <c:v>0.78879065758763189</c:v>
                </c:pt>
                <c:pt idx="12">
                  <c:v>0.72032266068979045</c:v>
                </c:pt>
                <c:pt idx="13">
                  <c:v>0.82247168965130624</c:v>
                </c:pt>
                <c:pt idx="14">
                  <c:v>0.84476053639846749</c:v>
                </c:pt>
                <c:pt idx="15">
                  <c:v>0.65118850648259974</c:v>
                </c:pt>
                <c:pt idx="16">
                  <c:v>0.31745705276430791</c:v>
                </c:pt>
                <c:pt idx="17">
                  <c:v>0.28976087826562552</c:v>
                </c:pt>
                <c:pt idx="18">
                  <c:v>0.17892618995527035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JUNIO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(10,09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(10,28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(10,02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(10,51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(10,09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(10,14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(10,54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(9,51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(10,11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17</xdr:row>
      <xdr:rowOff>135639</xdr:rowOff>
    </xdr:from>
    <xdr:to>
      <xdr:col>7</xdr:col>
      <xdr:colOff>654327</xdr:colOff>
      <xdr:row>53</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300272</xdr:colOff>
      <xdr:row>15</xdr:row>
      <xdr:rowOff>57264</xdr:rowOff>
    </xdr:from>
    <xdr:to>
      <xdr:col>3</xdr:col>
      <xdr:colOff>256564</xdr:colOff>
      <xdr:row>30</xdr:row>
      <xdr:rowOff>114746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16</xdr:row>
      <xdr:rowOff>13082</xdr:rowOff>
    </xdr:from>
    <xdr:to>
      <xdr:col>9</xdr:col>
      <xdr:colOff>643958</xdr:colOff>
      <xdr:row>32</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37</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223345</xdr:colOff>
      <xdr:row>41</xdr:row>
      <xdr:rowOff>105103</xdr:rowOff>
    </xdr:from>
    <xdr:to>
      <xdr:col>9</xdr:col>
      <xdr:colOff>381000</xdr:colOff>
      <xdr:row>52</xdr:row>
      <xdr:rowOff>131380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100853</xdr:rowOff>
    </xdr:from>
    <xdr:to>
      <xdr:col>8</xdr:col>
      <xdr:colOff>429240</xdr:colOff>
      <xdr:row>28</xdr:row>
      <xdr:rowOff>89647</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681263</xdr:colOff>
      <xdr:row>16</xdr:row>
      <xdr:rowOff>84660</xdr:rowOff>
    </xdr:from>
    <xdr:to>
      <xdr:col>1</xdr:col>
      <xdr:colOff>513961</xdr:colOff>
      <xdr:row>17</xdr:row>
      <xdr:rowOff>118333</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681263" y="3676145"/>
          <a:ext cx="516257" cy="179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O30" sqref="O30"/>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40" zoomScaleNormal="100" zoomScaleSheetLayoutView="140" zoomScalePageLayoutView="145" workbookViewId="0">
      <selection activeCell="R31" sqref="R31"/>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18" t="s">
        <v>283</v>
      </c>
      <c r="B2" s="918"/>
      <c r="C2" s="918"/>
      <c r="D2" s="918"/>
      <c r="E2" s="918"/>
      <c r="F2" s="918"/>
      <c r="G2" s="918"/>
      <c r="H2" s="918"/>
      <c r="I2" s="918"/>
      <c r="J2" s="918"/>
      <c r="K2" s="918"/>
    </row>
    <row r="3" spans="1:12" ht="11.25" customHeight="1">
      <c r="A3" s="84"/>
      <c r="B3" s="84"/>
      <c r="C3" s="84"/>
      <c r="D3" s="84"/>
      <c r="E3" s="84"/>
      <c r="F3" s="84"/>
      <c r="G3" s="84"/>
      <c r="H3" s="84"/>
      <c r="I3" s="84"/>
      <c r="J3" s="84"/>
      <c r="K3" s="84"/>
      <c r="L3" s="45"/>
    </row>
    <row r="4" spans="1:12" ht="11.25" customHeight="1">
      <c r="A4" s="919" t="s">
        <v>494</v>
      </c>
      <c r="B4" s="919"/>
      <c r="C4" s="919"/>
      <c r="D4" s="919"/>
      <c r="E4" s="919"/>
      <c r="F4" s="919"/>
      <c r="G4" s="919"/>
      <c r="H4" s="919"/>
      <c r="I4" s="919"/>
      <c r="J4" s="919"/>
      <c r="K4" s="919"/>
      <c r="L4" s="45"/>
    </row>
    <row r="5" spans="1:12" ht="11.25" customHeight="1">
      <c r="A5" s="84"/>
      <c r="B5" s="85"/>
      <c r="C5" s="86"/>
      <c r="D5" s="87"/>
      <c r="E5" s="87"/>
      <c r="F5" s="87"/>
      <c r="G5" s="87"/>
      <c r="H5" s="88"/>
      <c r="I5" s="83"/>
      <c r="J5" s="83"/>
      <c r="K5" s="89"/>
      <c r="L5" s="10"/>
    </row>
    <row r="6" spans="1:12" ht="12.75" customHeight="1">
      <c r="A6" s="901" t="s">
        <v>231</v>
      </c>
      <c r="B6" s="898" t="s">
        <v>286</v>
      </c>
      <c r="C6" s="899"/>
      <c r="D6" s="899"/>
      <c r="E6" s="899" t="s">
        <v>34</v>
      </c>
      <c r="F6" s="899"/>
      <c r="G6" s="900" t="s">
        <v>285</v>
      </c>
      <c r="H6" s="900"/>
      <c r="I6" s="900"/>
      <c r="J6" s="900"/>
      <c r="K6" s="900"/>
      <c r="L6" s="20"/>
    </row>
    <row r="7" spans="1:12" ht="12.75" customHeight="1">
      <c r="A7" s="901"/>
      <c r="B7" s="387">
        <f>+'5. RER'!B5</f>
        <v>43194</v>
      </c>
      <c r="C7" s="387">
        <f>+'5. RER'!C5</f>
        <v>43224</v>
      </c>
      <c r="D7" s="387">
        <f>+'5. RER'!D5</f>
        <v>43252</v>
      </c>
      <c r="E7" s="387">
        <f>+'5. RER'!E5</f>
        <v>42887</v>
      </c>
      <c r="F7" s="920" t="s">
        <v>131</v>
      </c>
      <c r="G7" s="388">
        <v>2018</v>
      </c>
      <c r="H7" s="388">
        <v>2017</v>
      </c>
      <c r="I7" s="920" t="s">
        <v>43</v>
      </c>
      <c r="J7" s="388">
        <v>2016</v>
      </c>
      <c r="K7" s="920" t="s">
        <v>36</v>
      </c>
      <c r="L7" s="17"/>
    </row>
    <row r="8" spans="1:12" ht="12.75" customHeight="1">
      <c r="A8" s="901"/>
      <c r="B8" s="389">
        <v>43214.78125</v>
      </c>
      <c r="C8" s="389">
        <v>43228.78125</v>
      </c>
      <c r="D8" s="389">
        <v>43256.78125</v>
      </c>
      <c r="E8" s="389">
        <v>42907.864583333336</v>
      </c>
      <c r="F8" s="921"/>
      <c r="G8" s="390">
        <v>43214.78125</v>
      </c>
      <c r="H8" s="390">
        <v>42801.8125</v>
      </c>
      <c r="I8" s="921"/>
      <c r="J8" s="390">
        <v>42459.791666666664</v>
      </c>
      <c r="K8" s="921"/>
      <c r="L8" s="19"/>
    </row>
    <row r="9" spans="1:12" ht="12.75" customHeight="1">
      <c r="A9" s="901"/>
      <c r="B9" s="391">
        <v>43214.78125</v>
      </c>
      <c r="C9" s="391">
        <v>43228.78125</v>
      </c>
      <c r="D9" s="391">
        <v>43256.78125</v>
      </c>
      <c r="E9" s="391">
        <v>42907.864583333336</v>
      </c>
      <c r="F9" s="921"/>
      <c r="G9" s="391">
        <v>43214.78125</v>
      </c>
      <c r="H9" s="392">
        <v>42801.8125</v>
      </c>
      <c r="I9" s="921"/>
      <c r="J9" s="393">
        <v>42459.791666666664</v>
      </c>
      <c r="K9" s="921"/>
      <c r="L9" s="18"/>
    </row>
    <row r="10" spans="1:12" ht="12.75" customHeight="1">
      <c r="A10" s="394" t="s">
        <v>37</v>
      </c>
      <c r="B10" s="542">
        <v>4457.8647499999988</v>
      </c>
      <c r="C10" s="543">
        <v>4251.6648000000005</v>
      </c>
      <c r="D10" s="544">
        <v>4072.4372500000009</v>
      </c>
      <c r="E10" s="542">
        <v>3137.6784500000008</v>
      </c>
      <c r="F10" s="395">
        <f>+IF(E10=0,"",D10/E10-1)</f>
        <v>0.29791414732124633</v>
      </c>
      <c r="G10" s="542">
        <v>4457.8647499999988</v>
      </c>
      <c r="H10" s="543">
        <v>4181.7234999999982</v>
      </c>
      <c r="I10" s="395">
        <f>+IF(H10=0,"",G10/H10-1)</f>
        <v>6.6035272298611059E-2</v>
      </c>
      <c r="J10" s="542">
        <v>3527.2958100000001</v>
      </c>
      <c r="K10" s="395">
        <f t="shared" ref="K10:K20" si="0">+IF(J10=0,"",H10/J10-1)</f>
        <v>0.18553240931613213</v>
      </c>
      <c r="L10" s="18"/>
    </row>
    <row r="11" spans="1:12" ht="12.75" customHeight="1">
      <c r="A11" s="193" t="s">
        <v>38</v>
      </c>
      <c r="B11" s="545">
        <v>1943.7948299999998</v>
      </c>
      <c r="C11" s="358">
        <v>2130.1075900000001</v>
      </c>
      <c r="D11" s="546">
        <v>2235.7231999999999</v>
      </c>
      <c r="E11" s="545">
        <v>3121.8625699999998</v>
      </c>
      <c r="F11" s="183">
        <f>+IF(E11=0,"",D11/E11-1)</f>
        <v>-0.28384957701709457</v>
      </c>
      <c r="G11" s="545">
        <v>1943.7948299999998</v>
      </c>
      <c r="H11" s="358">
        <v>2286.1302900000001</v>
      </c>
      <c r="I11" s="183">
        <f>+IF(H11=0,"",G11/H11-1)</f>
        <v>-0.14974450996841493</v>
      </c>
      <c r="J11" s="545">
        <v>2770.9643299999998</v>
      </c>
      <c r="K11" s="183">
        <f t="shared" si="0"/>
        <v>-0.1749694266183498</v>
      </c>
      <c r="L11" s="18"/>
    </row>
    <row r="12" spans="1:12" ht="12.75" customHeight="1">
      <c r="A12" s="194" t="s">
        <v>39</v>
      </c>
      <c r="B12" s="547">
        <v>309.01528000000002</v>
      </c>
      <c r="C12" s="359">
        <v>234.90339</v>
      </c>
      <c r="D12" s="548">
        <v>234.07465999999999</v>
      </c>
      <c r="E12" s="547">
        <v>141.22609</v>
      </c>
      <c r="F12" s="184">
        <f>+IF(E12=0,"",D12/E12-1)</f>
        <v>0.65744629763523155</v>
      </c>
      <c r="G12" s="547">
        <v>309.01528000000002</v>
      </c>
      <c r="H12" s="359">
        <v>91.209550000000007</v>
      </c>
      <c r="I12" s="184">
        <f>+IF(H12=0,"",G12/H12-1)</f>
        <v>2.3879706675452295</v>
      </c>
      <c r="J12" s="547">
        <v>146.64738</v>
      </c>
      <c r="K12" s="184">
        <f t="shared" si="0"/>
        <v>-0.37803491613692652</v>
      </c>
      <c r="L12" s="17"/>
    </row>
    <row r="13" spans="1:12" ht="12.75" customHeight="1">
      <c r="A13" s="195" t="s">
        <v>30</v>
      </c>
      <c r="B13" s="549">
        <v>0</v>
      </c>
      <c r="C13" s="550">
        <v>0</v>
      </c>
      <c r="D13" s="551">
        <v>0</v>
      </c>
      <c r="E13" s="549">
        <v>0</v>
      </c>
      <c r="F13" s="185" t="str">
        <f>+IF(E13=0,"",D13/E13-1)</f>
        <v/>
      </c>
      <c r="G13" s="549">
        <v>0</v>
      </c>
      <c r="H13" s="550">
        <v>0</v>
      </c>
      <c r="I13" s="185" t="str">
        <f>+IF(H13=0,"",G13/H13-1)</f>
        <v/>
      </c>
      <c r="J13" s="549">
        <v>0</v>
      </c>
      <c r="K13" s="185" t="str">
        <f t="shared" si="0"/>
        <v/>
      </c>
      <c r="L13" s="19"/>
    </row>
    <row r="14" spans="1:12" ht="12.75" customHeight="1">
      <c r="A14" s="196" t="s">
        <v>44</v>
      </c>
      <c r="B14" s="552">
        <f>+SUM(B10:B13)</f>
        <v>6710.6748599999983</v>
      </c>
      <c r="C14" s="553">
        <f>+SUM(C10:C13)</f>
        <v>6616.6757800000005</v>
      </c>
      <c r="D14" s="554">
        <f>+SUM(D10:D13)</f>
        <v>6542.2351100000014</v>
      </c>
      <c r="E14" s="552">
        <f>+SUM(E10:E13)</f>
        <v>6400.7671100000007</v>
      </c>
      <c r="F14" s="186">
        <f>+IF(E14=0,"",D14/E14-1)</f>
        <v>2.2101725866417343E-2</v>
      </c>
      <c r="G14" s="552">
        <f>+SUM(G10:G13)</f>
        <v>6710.6748599999983</v>
      </c>
      <c r="H14" s="553">
        <f>+SUM(H10:H13)</f>
        <v>6559.0633399999979</v>
      </c>
      <c r="I14" s="186">
        <f>+IF(H14=0,"",G14/H14-1)</f>
        <v>2.3114812609813962E-2</v>
      </c>
      <c r="J14" s="552">
        <f>+SUM(J10:J13)</f>
        <v>6444.9075200000007</v>
      </c>
      <c r="K14" s="186">
        <f t="shared" si="0"/>
        <v>1.7712561374348068E-2</v>
      </c>
      <c r="L14" s="18"/>
    </row>
    <row r="15" spans="1:12" ht="6.75" customHeight="1">
      <c r="A15" s="365"/>
      <c r="B15" s="365"/>
      <c r="C15" s="365"/>
      <c r="D15" s="365"/>
      <c r="E15" s="365"/>
      <c r="F15" s="365"/>
      <c r="G15" s="365"/>
      <c r="H15" s="365"/>
      <c r="I15" s="365"/>
      <c r="J15" s="365"/>
      <c r="K15" s="365"/>
      <c r="L15" s="18"/>
    </row>
    <row r="16" spans="1:12" ht="12.75" customHeight="1">
      <c r="A16" s="396" t="s">
        <v>40</v>
      </c>
      <c r="B16" s="397">
        <v>0</v>
      </c>
      <c r="C16" s="398">
        <v>0</v>
      </c>
      <c r="D16" s="399">
        <v>0</v>
      </c>
      <c r="E16" s="397">
        <v>0</v>
      </c>
      <c r="F16" s="400" t="str">
        <f>+IF(E16=0,"",D16/E16-1)</f>
        <v/>
      </c>
      <c r="G16" s="397">
        <v>0</v>
      </c>
      <c r="H16" s="398">
        <v>36.515999999999998</v>
      </c>
      <c r="I16" s="400">
        <f>+IF(H16=0,"",G16/H16-1)</f>
        <v>-1</v>
      </c>
      <c r="J16" s="397">
        <v>0</v>
      </c>
      <c r="K16" s="400" t="str">
        <f t="shared" si="0"/>
        <v/>
      </c>
      <c r="L16" s="20"/>
    </row>
    <row r="17" spans="1:12" ht="12.75" customHeight="1">
      <c r="A17" s="401" t="s">
        <v>41</v>
      </c>
      <c r="B17" s="360">
        <v>0</v>
      </c>
      <c r="C17" s="342">
        <v>0</v>
      </c>
      <c r="D17" s="361">
        <v>0</v>
      </c>
      <c r="E17" s="360">
        <v>0</v>
      </c>
      <c r="F17" s="168" t="str">
        <f>+IF(E17=0,"",D17/E17-1)</f>
        <v/>
      </c>
      <c r="G17" s="360">
        <v>0</v>
      </c>
      <c r="H17" s="342">
        <v>0</v>
      </c>
      <c r="I17" s="168" t="str">
        <f>+IF(H17=0,"",G17/H17-1)</f>
        <v/>
      </c>
      <c r="J17" s="360">
        <v>0</v>
      </c>
      <c r="K17" s="168" t="str">
        <f t="shared" si="0"/>
        <v/>
      </c>
      <c r="L17" s="20"/>
    </row>
    <row r="18" spans="1:12" ht="24" customHeight="1">
      <c r="A18" s="402" t="s">
        <v>42</v>
      </c>
      <c r="B18" s="403">
        <f>+B17-B16</f>
        <v>0</v>
      </c>
      <c r="C18" s="404">
        <f>+C17-C16</f>
        <v>0</v>
      </c>
      <c r="D18" s="405">
        <f>+D17-D16</f>
        <v>0</v>
      </c>
      <c r="E18" s="403">
        <f>+E17-E16</f>
        <v>0</v>
      </c>
      <c r="F18" s="406"/>
      <c r="G18" s="403">
        <f>+G17-G16</f>
        <v>0</v>
      </c>
      <c r="H18" s="404">
        <f>+H17-H16</f>
        <v>-36.515999999999998</v>
      </c>
      <c r="I18" s="406">
        <f>+IF(H18=0,"",G18/H18-1)</f>
        <v>-1</v>
      </c>
      <c r="J18" s="403">
        <f>+J17-J16</f>
        <v>0</v>
      </c>
      <c r="K18" s="406" t="str">
        <f t="shared" si="0"/>
        <v/>
      </c>
      <c r="L18" s="20"/>
    </row>
    <row r="19" spans="1:12" ht="6" customHeight="1">
      <c r="A19" s="29"/>
      <c r="B19" s="29"/>
      <c r="C19" s="29"/>
      <c r="D19" s="29"/>
      <c r="E19" s="29"/>
      <c r="F19" s="29"/>
      <c r="G19" s="29"/>
      <c r="H19" s="29"/>
      <c r="I19" s="29"/>
      <c r="J19" s="29"/>
      <c r="K19" s="29"/>
      <c r="L19" s="20"/>
    </row>
    <row r="20" spans="1:12" ht="24" customHeight="1">
      <c r="A20" s="407" t="s">
        <v>284</v>
      </c>
      <c r="B20" s="555">
        <f t="shared" ref="B20:E20" si="1">+B14-B18</f>
        <v>6710.6748599999983</v>
      </c>
      <c r="C20" s="556">
        <f t="shared" si="1"/>
        <v>6616.6757800000005</v>
      </c>
      <c r="D20" s="557">
        <f t="shared" si="1"/>
        <v>6542.2351100000014</v>
      </c>
      <c r="E20" s="555">
        <f t="shared" si="1"/>
        <v>6400.7671100000007</v>
      </c>
      <c r="F20" s="408">
        <f>+IF(E20=0,"",D20/E20-1)</f>
        <v>2.2101725866417343E-2</v>
      </c>
      <c r="G20" s="555">
        <f>+G14-G18</f>
        <v>6710.6748599999983</v>
      </c>
      <c r="H20" s="555">
        <f>+H14-H18</f>
        <v>6595.5793399999975</v>
      </c>
      <c r="I20" s="408">
        <f>+IF(H20=0,"",G20/H20-1)</f>
        <v>1.7450403378818313E-2</v>
      </c>
      <c r="J20" s="555">
        <f>+J14-J18</f>
        <v>6444.9075200000007</v>
      </c>
      <c r="K20" s="759">
        <f t="shared" si="0"/>
        <v>2.3378430106627324E-2</v>
      </c>
      <c r="L20" s="20"/>
    </row>
    <row r="21" spans="1:12" ht="11.25" customHeight="1">
      <c r="A21" s="383" t="s">
        <v>523</v>
      </c>
      <c r="B21" s="159"/>
      <c r="C21" s="159"/>
      <c r="D21" s="159"/>
      <c r="E21" s="159"/>
      <c r="F21" s="159"/>
      <c r="G21" s="159"/>
      <c r="H21" s="159"/>
      <c r="I21" s="159"/>
      <c r="J21" s="159"/>
      <c r="K21" s="159"/>
      <c r="L21" s="22"/>
    </row>
    <row r="22" spans="1:12" ht="17.25" customHeight="1">
      <c r="A22" s="916" t="s">
        <v>516</v>
      </c>
      <c r="B22" s="916"/>
      <c r="C22" s="916"/>
      <c r="D22" s="916"/>
      <c r="E22" s="916"/>
      <c r="F22" s="916"/>
      <c r="G22" s="916"/>
      <c r="H22" s="916"/>
      <c r="I22" s="916"/>
      <c r="J22" s="916"/>
      <c r="K22" s="916"/>
      <c r="L22" s="20"/>
    </row>
    <row r="23" spans="1:12" ht="11.25" customHeight="1">
      <c r="A23" s="187"/>
      <c r="B23" s="187"/>
      <c r="C23" s="187"/>
      <c r="D23" s="187"/>
      <c r="E23" s="187"/>
      <c r="F23" s="187"/>
      <c r="G23" s="187"/>
      <c r="H23" s="187"/>
      <c r="I23" s="187"/>
      <c r="J23" s="187"/>
      <c r="K23" s="187"/>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8"/>
      <c r="B52" s="188"/>
      <c r="C52" s="188"/>
      <c r="D52" s="188"/>
      <c r="E52" s="188"/>
      <c r="F52" s="188"/>
      <c r="G52" s="188"/>
      <c r="H52" s="188"/>
      <c r="I52" s="188"/>
      <c r="J52" s="188"/>
      <c r="K52" s="188"/>
      <c r="L52" s="20"/>
    </row>
    <row r="53" spans="1:12" ht="11.25" customHeight="1">
      <c r="L53" s="15"/>
    </row>
    <row r="54" spans="1:12" ht="11.25" customHeight="1">
      <c r="A54" s="189"/>
      <c r="B54" s="159"/>
      <c r="C54" s="159"/>
      <c r="D54" s="159"/>
      <c r="E54" s="159"/>
      <c r="F54" s="159"/>
      <c r="G54" s="159"/>
      <c r="H54" s="159"/>
      <c r="I54" s="159"/>
      <c r="J54" s="159"/>
      <c r="K54" s="159"/>
      <c r="L54" s="14"/>
    </row>
    <row r="55" spans="1:12" ht="11.25" customHeight="1">
      <c r="A55" s="189"/>
      <c r="B55" s="190"/>
      <c r="C55" s="190"/>
      <c r="D55" s="190"/>
      <c r="E55" s="190"/>
      <c r="F55" s="190"/>
      <c r="G55" s="159"/>
      <c r="H55" s="159"/>
      <c r="I55" s="159"/>
      <c r="J55" s="159"/>
      <c r="K55" s="159"/>
      <c r="L55" s="14"/>
    </row>
    <row r="56" spans="1:12" ht="11.25" customHeight="1">
      <c r="A56" s="179"/>
      <c r="B56" s="191"/>
      <c r="C56" s="191"/>
      <c r="D56" s="192"/>
      <c r="E56" s="192"/>
      <c r="F56" s="192"/>
      <c r="G56" s="159"/>
      <c r="H56" s="159"/>
      <c r="I56" s="159"/>
      <c r="J56" s="159"/>
      <c r="K56" s="159"/>
      <c r="L56" s="14"/>
    </row>
    <row r="57" spans="1:12" ht="11.25" customHeight="1">
      <c r="L57" s="14"/>
    </row>
    <row r="58" spans="1:12" ht="12">
      <c r="A58" s="917" t="str">
        <f>"Gráfico N° 11: Comparación de la máxima potencia coincidente de potencia (MW) por tipo de generación en el SEIN en "&amp;'1. Resumen'!Q4</f>
        <v>Gráfico N° 11: Comparación de la máxima potencia coincidente de potencia (MW) por tipo de generación en el SEIN en junio</v>
      </c>
      <c r="B58" s="917"/>
      <c r="C58" s="917"/>
      <c r="D58" s="917"/>
      <c r="E58" s="917"/>
      <c r="F58" s="917"/>
      <c r="G58" s="917"/>
      <c r="H58" s="917"/>
      <c r="I58" s="917"/>
      <c r="J58" s="917"/>
      <c r="K58" s="917"/>
      <c r="L58" s="14"/>
    </row>
    <row r="59" spans="1:12" ht="12">
      <c r="A59" s="179"/>
      <c r="B59" s="191"/>
      <c r="C59" s="191"/>
      <c r="D59" s="192"/>
      <c r="E59" s="192"/>
      <c r="F59" s="192"/>
      <c r="G59" s="159"/>
      <c r="H59" s="159"/>
      <c r="I59" s="159"/>
      <c r="J59" s="159"/>
      <c r="K59" s="159"/>
      <c r="L59" s="14"/>
    </row>
    <row r="60" spans="1:12" ht="12">
      <c r="A60" s="179"/>
      <c r="B60" s="191"/>
      <c r="C60" s="191"/>
      <c r="D60" s="192"/>
      <c r="E60" s="192"/>
      <c r="F60" s="192"/>
      <c r="G60" s="159"/>
      <c r="H60" s="159"/>
      <c r="I60" s="159"/>
      <c r="J60" s="159"/>
      <c r="K60" s="159"/>
      <c r="L60" s="14"/>
    </row>
    <row r="61" spans="1:12" ht="12.75">
      <c r="A61" s="23"/>
      <c r="B61" s="181"/>
      <c r="C61" s="181"/>
      <c r="D61" s="182"/>
      <c r="E61" s="182"/>
      <c r="F61" s="182"/>
      <c r="G61" s="91"/>
      <c r="H61" s="91"/>
      <c r="I61" s="91"/>
      <c r="J61" s="91"/>
      <c r="K61" s="91"/>
      <c r="L61" s="14"/>
    </row>
    <row r="62" spans="1:12" ht="12.75">
      <c r="A62" s="23"/>
      <c r="B62" s="181"/>
      <c r="C62" s="181"/>
      <c r="D62" s="182"/>
      <c r="E62" s="182"/>
      <c r="F62" s="182"/>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Junio 2018
INFSGI-MES-06-2018
10/07/2018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R31" sqref="R31"/>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24" t="s">
        <v>289</v>
      </c>
      <c r="B1" s="924"/>
      <c r="C1" s="924"/>
      <c r="D1" s="924"/>
      <c r="E1" s="924"/>
      <c r="F1" s="924"/>
      <c r="G1" s="924"/>
      <c r="H1" s="924"/>
      <c r="I1" s="924"/>
      <c r="J1" s="924"/>
    </row>
    <row r="2" spans="1:15" ht="7.5" customHeight="1">
      <c r="A2" s="92"/>
      <c r="B2" s="91"/>
      <c r="C2" s="91"/>
      <c r="D2" s="91"/>
      <c r="E2" s="91"/>
      <c r="F2" s="91"/>
      <c r="G2" s="91"/>
      <c r="H2" s="91"/>
      <c r="I2" s="91"/>
      <c r="J2" s="91"/>
      <c r="K2" s="45"/>
      <c r="L2" s="45"/>
    </row>
    <row r="3" spans="1:15" ht="11.25" customHeight="1">
      <c r="A3" s="925" t="s">
        <v>132</v>
      </c>
      <c r="B3" s="927" t="str">
        <f>+'1. Resumen'!Q4</f>
        <v>junio</v>
      </c>
      <c r="C3" s="928"/>
      <c r="D3" s="929"/>
      <c r="E3" s="159"/>
      <c r="F3" s="159"/>
      <c r="G3" s="930" t="s">
        <v>288</v>
      </c>
      <c r="H3" s="930"/>
      <c r="I3" s="930"/>
      <c r="J3" s="159"/>
      <c r="K3" s="175"/>
      <c r="L3" s="175"/>
    </row>
    <row r="4" spans="1:15" ht="11.25" customHeight="1">
      <c r="A4" s="925"/>
      <c r="B4" s="197">
        <v>2018</v>
      </c>
      <c r="C4" s="198">
        <v>2017</v>
      </c>
      <c r="D4" s="931" t="s">
        <v>35</v>
      </c>
      <c r="E4" s="159"/>
      <c r="F4" s="159"/>
      <c r="G4" s="159"/>
      <c r="H4" s="159"/>
      <c r="I4" s="159"/>
      <c r="J4" s="159"/>
      <c r="K4" s="31"/>
      <c r="L4" s="152"/>
    </row>
    <row r="5" spans="1:15" ht="11.25" customHeight="1">
      <c r="A5" s="925"/>
      <c r="B5" s="199">
        <f>+'8. Max Potencia'!D8</f>
        <v>43256.78125</v>
      </c>
      <c r="C5" s="199">
        <f>+'8. Max Potencia'!E8</f>
        <v>42907.864583333336</v>
      </c>
      <c r="D5" s="931"/>
      <c r="E5" s="159"/>
      <c r="F5" s="159"/>
      <c r="G5" s="159"/>
      <c r="H5" s="159"/>
      <c r="I5" s="159"/>
      <c r="J5" s="159"/>
      <c r="K5" s="31"/>
      <c r="L5" s="26"/>
    </row>
    <row r="6" spans="1:15" ht="11.25" customHeight="1" thickBot="1">
      <c r="A6" s="926"/>
      <c r="B6" s="414">
        <f>+'8. Max Potencia'!D9</f>
        <v>43256.78125</v>
      </c>
      <c r="C6" s="414">
        <f>+'8. Max Potencia'!E9</f>
        <v>42907.864583333336</v>
      </c>
      <c r="D6" s="932"/>
      <c r="E6" s="159"/>
      <c r="F6" s="159"/>
      <c r="G6" s="159"/>
      <c r="H6" s="159"/>
      <c r="I6" s="159"/>
      <c r="J6" s="159"/>
      <c r="K6" s="32"/>
      <c r="L6" s="300" t="s">
        <v>287</v>
      </c>
      <c r="M6" s="3">
        <v>2018</v>
      </c>
      <c r="N6" s="3">
        <v>2017</v>
      </c>
    </row>
    <row r="7" spans="1:15" ht="9.75" customHeight="1">
      <c r="A7" s="682" t="s">
        <v>578</v>
      </c>
      <c r="B7" s="683">
        <v>1168.3217300000001</v>
      </c>
      <c r="C7" s="683">
        <v>572.93893000000003</v>
      </c>
      <c r="D7" s="684">
        <f>IF(C7=0,"",B7/C7-1)</f>
        <v>1.0391732326515148</v>
      </c>
      <c r="E7" s="159"/>
      <c r="F7" s="159"/>
      <c r="G7" s="159"/>
      <c r="H7" s="159"/>
      <c r="I7" s="159"/>
      <c r="J7" s="159"/>
      <c r="K7" s="30"/>
      <c r="L7" s="415" t="s">
        <v>129</v>
      </c>
      <c r="N7" s="3">
        <v>0</v>
      </c>
      <c r="O7" s="410"/>
    </row>
    <row r="8" spans="1:15" ht="9.75" customHeight="1">
      <c r="A8" s="685" t="s">
        <v>95</v>
      </c>
      <c r="B8" s="686">
        <v>839.44848000000002</v>
      </c>
      <c r="C8" s="686">
        <v>865.52495999999996</v>
      </c>
      <c r="D8" s="687">
        <f t="shared" ref="D8:D63" si="0">IF(C8=0,"",B8/C8-1)</f>
        <v>-3.0127935305297227E-2</v>
      </c>
      <c r="E8" s="159"/>
      <c r="F8" s="159"/>
      <c r="G8" s="159"/>
      <c r="H8" s="159"/>
      <c r="I8" s="159"/>
      <c r="J8" s="159"/>
      <c r="K8" s="33"/>
      <c r="L8" s="415" t="s">
        <v>613</v>
      </c>
      <c r="N8" s="3">
        <v>1.4499</v>
      </c>
      <c r="O8" s="410"/>
    </row>
    <row r="9" spans="1:15" ht="9.75" customHeight="1">
      <c r="A9" s="688" t="s">
        <v>94</v>
      </c>
      <c r="B9" s="689">
        <v>749.13831999999991</v>
      </c>
      <c r="C9" s="689">
        <v>870.31693000000007</v>
      </c>
      <c r="D9" s="690">
        <f t="shared" si="0"/>
        <v>-0.13923503705713292</v>
      </c>
      <c r="E9" s="769"/>
      <c r="F9" s="159"/>
      <c r="G9" s="159"/>
      <c r="H9" s="159"/>
      <c r="I9" s="159"/>
      <c r="J9" s="159"/>
      <c r="K9" s="32"/>
      <c r="L9" s="415" t="s">
        <v>579</v>
      </c>
      <c r="N9" s="3">
        <v>92.333160000000007</v>
      </c>
      <c r="O9" s="410"/>
    </row>
    <row r="10" spans="1:15" ht="9.75" customHeight="1">
      <c r="A10" s="685" t="s">
        <v>274</v>
      </c>
      <c r="B10" s="686">
        <v>550.50249999999994</v>
      </c>
      <c r="C10" s="686">
        <v>552.06059000000005</v>
      </c>
      <c r="D10" s="687">
        <f t="shared" si="0"/>
        <v>-2.8223170213981241E-3</v>
      </c>
      <c r="E10" s="159"/>
      <c r="F10" s="159"/>
      <c r="G10" s="159"/>
      <c r="H10" s="159"/>
      <c r="I10" s="159"/>
      <c r="J10" s="159"/>
      <c r="K10" s="32"/>
      <c r="L10" s="410" t="s">
        <v>126</v>
      </c>
      <c r="M10" s="413">
        <v>0</v>
      </c>
      <c r="N10" s="413">
        <v>0</v>
      </c>
      <c r="O10" s="410"/>
    </row>
    <row r="11" spans="1:15" ht="9.75" customHeight="1">
      <c r="A11" s="688" t="s">
        <v>93</v>
      </c>
      <c r="B11" s="689">
        <v>465.27108000000004</v>
      </c>
      <c r="C11" s="689">
        <v>1187.0706</v>
      </c>
      <c r="D11" s="690">
        <f t="shared" si="0"/>
        <v>-0.60805104599507387</v>
      </c>
      <c r="E11" s="159"/>
      <c r="F11" s="159"/>
      <c r="G11" s="159"/>
      <c r="H11" s="159"/>
      <c r="I11" s="159"/>
      <c r="J11" s="159"/>
      <c r="K11" s="32"/>
      <c r="L11" s="367" t="s">
        <v>270</v>
      </c>
      <c r="M11" s="413">
        <v>0</v>
      </c>
      <c r="N11" s="413">
        <v>0</v>
      </c>
      <c r="O11" s="410"/>
    </row>
    <row r="12" spans="1:15" ht="9.75" customHeight="1">
      <c r="A12" s="685" t="s">
        <v>271</v>
      </c>
      <c r="B12" s="686">
        <v>442.48277999999999</v>
      </c>
      <c r="C12" s="686">
        <v>169.79792999999998</v>
      </c>
      <c r="D12" s="687">
        <f t="shared" si="0"/>
        <v>1.605937422205324</v>
      </c>
      <c r="E12" s="159"/>
      <c r="F12" s="159"/>
      <c r="G12" s="159"/>
      <c r="H12" s="159"/>
      <c r="I12" s="159"/>
      <c r="J12" s="159"/>
      <c r="K12" s="30"/>
      <c r="L12" s="415" t="s">
        <v>128</v>
      </c>
      <c r="M12" s="385">
        <v>0</v>
      </c>
      <c r="N12" s="3">
        <v>0</v>
      </c>
      <c r="O12" s="410"/>
    </row>
    <row r="13" spans="1:15" ht="9.75" customHeight="1">
      <c r="A13" s="688" t="s">
        <v>96</v>
      </c>
      <c r="B13" s="689">
        <v>364.10663</v>
      </c>
      <c r="C13" s="689">
        <v>331.59863999999999</v>
      </c>
      <c r="D13" s="690">
        <f t="shared" si="0"/>
        <v>9.8034147546564254E-2</v>
      </c>
      <c r="E13" s="159"/>
      <c r="F13" s="159"/>
      <c r="G13" s="159"/>
      <c r="H13" s="159"/>
      <c r="I13" s="159"/>
      <c r="J13" s="159"/>
      <c r="K13" s="33"/>
      <c r="L13" s="367" t="s">
        <v>124</v>
      </c>
      <c r="M13" s="413">
        <v>0</v>
      </c>
      <c r="N13" s="413">
        <v>0</v>
      </c>
      <c r="O13" s="410"/>
    </row>
    <row r="14" spans="1:15" ht="9.75" customHeight="1">
      <c r="A14" s="685" t="s">
        <v>106</v>
      </c>
      <c r="B14" s="686">
        <v>290.56951000000004</v>
      </c>
      <c r="C14" s="686">
        <v>0</v>
      </c>
      <c r="D14" s="687" t="str">
        <f t="shared" si="0"/>
        <v/>
      </c>
      <c r="E14" s="159"/>
      <c r="F14" s="159"/>
      <c r="G14" s="159"/>
      <c r="H14" s="159"/>
      <c r="I14" s="159"/>
      <c r="J14" s="159"/>
      <c r="K14" s="33"/>
      <c r="L14" s="367" t="s">
        <v>278</v>
      </c>
      <c r="M14" s="413">
        <v>0</v>
      </c>
      <c r="N14" s="413">
        <v>0</v>
      </c>
      <c r="O14" s="410"/>
    </row>
    <row r="15" spans="1:15" ht="9.75" customHeight="1">
      <c r="A15" s="688" t="s">
        <v>276</v>
      </c>
      <c r="B15" s="689">
        <v>243.65327000000002</v>
      </c>
      <c r="C15" s="689">
        <v>251.28774999999999</v>
      </c>
      <c r="D15" s="690">
        <f t="shared" si="0"/>
        <v>-3.0381425278390828E-2</v>
      </c>
      <c r="E15" s="159"/>
      <c r="F15" s="159"/>
      <c r="G15" s="159"/>
      <c r="H15" s="159"/>
      <c r="I15" s="159"/>
      <c r="J15" s="159"/>
      <c r="K15" s="33"/>
      <c r="L15" s="367" t="s">
        <v>115</v>
      </c>
      <c r="M15" s="413">
        <v>0</v>
      </c>
      <c r="N15" s="413">
        <v>0</v>
      </c>
      <c r="O15" s="410"/>
    </row>
    <row r="16" spans="1:15" ht="9.75" customHeight="1">
      <c r="A16" s="685" t="s">
        <v>100</v>
      </c>
      <c r="B16" s="686">
        <v>196.94517999999999</v>
      </c>
      <c r="C16" s="686">
        <v>197.18293</v>
      </c>
      <c r="D16" s="687">
        <f t="shared" si="0"/>
        <v>-1.2057331737590493E-3</v>
      </c>
      <c r="E16" s="159"/>
      <c r="F16" s="159"/>
      <c r="G16" s="159"/>
      <c r="H16" s="159"/>
      <c r="I16" s="159"/>
      <c r="J16" s="159"/>
      <c r="K16" s="33"/>
      <c r="L16" s="410" t="s">
        <v>116</v>
      </c>
      <c r="M16" s="413">
        <v>0</v>
      </c>
      <c r="N16" s="413">
        <v>0</v>
      </c>
      <c r="O16" s="410"/>
    </row>
    <row r="17" spans="1:15" ht="9.75" customHeight="1">
      <c r="A17" s="688" t="s">
        <v>98</v>
      </c>
      <c r="B17" s="689">
        <v>162.91494999999998</v>
      </c>
      <c r="C17" s="689">
        <v>120.94345</v>
      </c>
      <c r="D17" s="690">
        <f t="shared" si="0"/>
        <v>0.34703408907220679</v>
      </c>
      <c r="E17" s="159"/>
      <c r="F17" s="159"/>
      <c r="G17" s="159"/>
      <c r="H17" s="159"/>
      <c r="I17" s="159"/>
      <c r="J17" s="159"/>
      <c r="K17" s="33"/>
      <c r="L17" s="415" t="s">
        <v>113</v>
      </c>
      <c r="M17" s="3">
        <v>0</v>
      </c>
      <c r="N17" s="3">
        <v>0</v>
      </c>
      <c r="O17" s="410"/>
    </row>
    <row r="18" spans="1:15" ht="9.75" customHeight="1">
      <c r="A18" s="685" t="s">
        <v>99</v>
      </c>
      <c r="B18" s="686">
        <v>159.65100999999999</v>
      </c>
      <c r="C18" s="686">
        <v>142.41273000000001</v>
      </c>
      <c r="D18" s="687">
        <f t="shared" si="0"/>
        <v>0.12104451617492318</v>
      </c>
      <c r="E18" s="159"/>
      <c r="F18" s="159"/>
      <c r="G18" s="159"/>
      <c r="H18" s="159"/>
      <c r="I18" s="159"/>
      <c r="J18" s="159"/>
      <c r="K18" s="33"/>
      <c r="L18" s="410" t="s">
        <v>118</v>
      </c>
      <c r="M18" s="413">
        <v>0</v>
      </c>
      <c r="N18" s="413">
        <v>0</v>
      </c>
      <c r="O18" s="410"/>
    </row>
    <row r="19" spans="1:15" ht="9.75" customHeight="1">
      <c r="A19" s="688" t="s">
        <v>97</v>
      </c>
      <c r="B19" s="689">
        <v>144.12690000000006</v>
      </c>
      <c r="C19" s="689">
        <v>201.54909999999998</v>
      </c>
      <c r="D19" s="690">
        <f t="shared" si="0"/>
        <v>-0.2849042739461497</v>
      </c>
      <c r="E19" s="159"/>
      <c r="F19" s="159"/>
      <c r="G19" s="159"/>
      <c r="H19" s="159"/>
      <c r="I19" s="159"/>
      <c r="J19" s="159"/>
      <c r="K19" s="33"/>
      <c r="L19" s="412" t="s">
        <v>117</v>
      </c>
      <c r="M19" s="413">
        <v>0</v>
      </c>
      <c r="N19" s="413">
        <v>0</v>
      </c>
      <c r="O19" s="410"/>
    </row>
    <row r="20" spans="1:15" ht="9.75" customHeight="1">
      <c r="A20" s="685" t="s">
        <v>104</v>
      </c>
      <c r="B20" s="686">
        <v>114.7818</v>
      </c>
      <c r="C20" s="686"/>
      <c r="D20" s="687" t="str">
        <f t="shared" si="0"/>
        <v/>
      </c>
      <c r="E20" s="159"/>
      <c r="F20" s="159"/>
      <c r="G20" s="159"/>
      <c r="H20" s="159"/>
      <c r="I20" s="159"/>
      <c r="J20" s="159"/>
      <c r="K20" s="38"/>
      <c r="L20" s="410" t="s">
        <v>279</v>
      </c>
      <c r="M20" s="413">
        <v>0</v>
      </c>
      <c r="N20" s="413">
        <v>150.16015999999999</v>
      </c>
      <c r="O20" s="410"/>
    </row>
    <row r="21" spans="1:15" ht="9.75" customHeight="1">
      <c r="A21" s="688" t="s">
        <v>101</v>
      </c>
      <c r="B21" s="689">
        <v>110.12584000000001</v>
      </c>
      <c r="C21" s="689">
        <v>56.116979999999998</v>
      </c>
      <c r="D21" s="690">
        <f t="shared" si="0"/>
        <v>0.96243347378992983</v>
      </c>
      <c r="E21" s="159"/>
      <c r="F21" s="159"/>
      <c r="G21" s="159"/>
      <c r="H21" s="159"/>
      <c r="I21" s="159"/>
      <c r="J21" s="159"/>
      <c r="K21" s="33"/>
      <c r="L21" s="415" t="s">
        <v>112</v>
      </c>
      <c r="M21" s="3">
        <v>0</v>
      </c>
      <c r="N21" s="3">
        <v>14.744210000000001</v>
      </c>
      <c r="O21" s="410"/>
    </row>
    <row r="22" spans="1:15" ht="9.75" customHeight="1">
      <c r="A22" s="685" t="s">
        <v>610</v>
      </c>
      <c r="B22" s="686">
        <v>89.023700000000005</v>
      </c>
      <c r="C22" s="686">
        <v>61.922440000000002</v>
      </c>
      <c r="D22" s="687">
        <f t="shared" si="0"/>
        <v>0.43766460107192162</v>
      </c>
      <c r="E22" s="159"/>
      <c r="F22" s="159"/>
      <c r="G22" s="159"/>
      <c r="H22" s="159"/>
      <c r="I22" s="159"/>
      <c r="J22" s="159"/>
      <c r="K22" s="33"/>
      <c r="L22" s="415" t="s">
        <v>111</v>
      </c>
      <c r="M22" s="3">
        <v>0</v>
      </c>
      <c r="N22" s="3">
        <v>0</v>
      </c>
      <c r="O22" s="410"/>
    </row>
    <row r="23" spans="1:15" ht="9.75" customHeight="1">
      <c r="A23" s="688" t="s">
        <v>103</v>
      </c>
      <c r="B23" s="689">
        <v>85.443529999999996</v>
      </c>
      <c r="C23" s="689">
        <v>45.975669999999994</v>
      </c>
      <c r="D23" s="690">
        <f t="shared" si="0"/>
        <v>0.85845100245412431</v>
      </c>
      <c r="E23" s="159"/>
      <c r="F23" s="159"/>
      <c r="G23" s="159"/>
      <c r="H23" s="159"/>
      <c r="I23" s="159"/>
      <c r="J23" s="159"/>
      <c r="K23" s="33"/>
      <c r="L23" s="410" t="s">
        <v>102</v>
      </c>
      <c r="M23" s="413">
        <v>0</v>
      </c>
      <c r="N23" s="413">
        <v>130.42132000000001</v>
      </c>
      <c r="O23" s="410"/>
    </row>
    <row r="24" spans="1:15" ht="9.75" customHeight="1">
      <c r="A24" s="685" t="s">
        <v>272</v>
      </c>
      <c r="B24" s="686">
        <v>70.294110000000003</v>
      </c>
      <c r="C24" s="686">
        <v>84.793520000000001</v>
      </c>
      <c r="D24" s="687">
        <f t="shared" si="0"/>
        <v>-0.17099667521763451</v>
      </c>
      <c r="E24" s="159"/>
      <c r="F24" s="159"/>
      <c r="G24" s="159"/>
      <c r="H24" s="159"/>
      <c r="I24" s="159"/>
      <c r="J24" s="159"/>
      <c r="K24" s="38"/>
      <c r="L24" s="410" t="s">
        <v>125</v>
      </c>
      <c r="M24" s="413">
        <v>0.88224000000000002</v>
      </c>
      <c r="N24" s="413">
        <v>0.84894999999999998</v>
      </c>
      <c r="O24" s="410"/>
    </row>
    <row r="25" spans="1:15" ht="9.75" customHeight="1">
      <c r="A25" s="688" t="s">
        <v>107</v>
      </c>
      <c r="B25" s="689">
        <v>47.538539999999998</v>
      </c>
      <c r="C25" s="689">
        <v>50.037269999999992</v>
      </c>
      <c r="D25" s="690">
        <f t="shared" si="0"/>
        <v>-4.9937376679423107E-2</v>
      </c>
      <c r="E25" s="159"/>
      <c r="F25" s="159"/>
      <c r="G25" s="159"/>
      <c r="H25" s="159"/>
      <c r="I25" s="159"/>
      <c r="J25" s="159"/>
      <c r="K25" s="33"/>
      <c r="L25" s="415" t="s">
        <v>121</v>
      </c>
      <c r="M25" s="385">
        <v>3.4587300000000001</v>
      </c>
      <c r="N25" s="3">
        <v>3.68398</v>
      </c>
      <c r="O25" s="410"/>
    </row>
    <row r="26" spans="1:15" ht="9.75" customHeight="1">
      <c r="A26" s="685" t="s">
        <v>108</v>
      </c>
      <c r="B26" s="686">
        <v>28.139520000000001</v>
      </c>
      <c r="C26" s="686">
        <v>28.189550000000001</v>
      </c>
      <c r="D26" s="687">
        <f t="shared" si="0"/>
        <v>-1.7747711474641603E-3</v>
      </c>
      <c r="E26" s="159"/>
      <c r="F26" s="159"/>
      <c r="G26" s="159"/>
      <c r="H26" s="159"/>
      <c r="I26" s="159"/>
      <c r="J26" s="159"/>
      <c r="K26" s="33"/>
      <c r="L26" s="410" t="s">
        <v>123</v>
      </c>
      <c r="M26" s="413">
        <v>3.512</v>
      </c>
      <c r="N26" s="413">
        <v>3.371</v>
      </c>
      <c r="O26" s="410"/>
    </row>
    <row r="27" spans="1:15" ht="9.75" customHeight="1">
      <c r="A27" s="688" t="s">
        <v>105</v>
      </c>
      <c r="B27" s="689">
        <v>24.39481</v>
      </c>
      <c r="C27" s="689">
        <v>72.490799999999993</v>
      </c>
      <c r="D27" s="690">
        <f t="shared" si="0"/>
        <v>-0.66347715848080036</v>
      </c>
      <c r="E27" s="159"/>
      <c r="F27" s="159"/>
      <c r="G27" s="159"/>
      <c r="H27" s="159"/>
      <c r="I27" s="159"/>
      <c r="J27" s="159"/>
      <c r="K27" s="33"/>
      <c r="L27" s="410" t="s">
        <v>122</v>
      </c>
      <c r="M27" s="413">
        <v>3.6</v>
      </c>
      <c r="N27" s="413">
        <v>3.2</v>
      </c>
      <c r="O27" s="410"/>
    </row>
    <row r="28" spans="1:15" ht="9.75" customHeight="1">
      <c r="A28" s="685" t="s">
        <v>519</v>
      </c>
      <c r="B28" s="686">
        <v>20.011279999999999</v>
      </c>
      <c r="C28" s="686"/>
      <c r="D28" s="687" t="str">
        <f t="shared" si="0"/>
        <v/>
      </c>
      <c r="E28" s="159"/>
      <c r="F28" s="159"/>
      <c r="G28" s="159"/>
      <c r="H28" s="159"/>
      <c r="I28" s="159"/>
      <c r="J28" s="159"/>
      <c r="K28" s="33"/>
      <c r="L28" s="410" t="s">
        <v>612</v>
      </c>
      <c r="M28" s="413">
        <v>4.2178000000000004</v>
      </c>
      <c r="N28" s="413">
        <v>2.7587999999999999</v>
      </c>
      <c r="O28" s="410"/>
    </row>
    <row r="29" spans="1:15" ht="9.75" customHeight="1">
      <c r="A29" s="691" t="s">
        <v>280</v>
      </c>
      <c r="B29" s="692">
        <v>19.817319999999999</v>
      </c>
      <c r="C29" s="692">
        <v>11.451699999999999</v>
      </c>
      <c r="D29" s="693">
        <f t="shared" si="0"/>
        <v>0.73051337356025758</v>
      </c>
      <c r="E29" s="159"/>
      <c r="F29" s="159"/>
      <c r="G29" s="159"/>
      <c r="H29" s="159"/>
      <c r="I29" s="159"/>
      <c r="J29" s="159"/>
      <c r="K29" s="33"/>
      <c r="L29" s="411" t="s">
        <v>120</v>
      </c>
      <c r="M29" s="413">
        <v>5.04</v>
      </c>
      <c r="N29" s="413">
        <v>2.52</v>
      </c>
      <c r="O29" s="410"/>
    </row>
    <row r="30" spans="1:15" ht="9.75" customHeight="1">
      <c r="A30" s="694" t="s">
        <v>609</v>
      </c>
      <c r="B30" s="695">
        <v>19.49907</v>
      </c>
      <c r="C30" s="695">
        <v>19.391210000000001</v>
      </c>
      <c r="D30" s="696">
        <f t="shared" si="0"/>
        <v>5.5623140587925946E-3</v>
      </c>
      <c r="E30" s="159"/>
      <c r="F30" s="159"/>
      <c r="G30" s="159"/>
      <c r="H30" s="159"/>
      <c r="I30" s="159"/>
      <c r="J30" s="159"/>
      <c r="K30" s="33"/>
      <c r="L30" s="367" t="s">
        <v>114</v>
      </c>
      <c r="M30" s="413">
        <v>6.4319299999999995</v>
      </c>
      <c r="N30" s="413">
        <v>6.67042</v>
      </c>
      <c r="O30" s="410"/>
    </row>
    <row r="31" spans="1:15" ht="9.75" customHeight="1">
      <c r="A31" s="697" t="s">
        <v>273</v>
      </c>
      <c r="B31" s="698">
        <v>18.997679999999999</v>
      </c>
      <c r="C31" s="698">
        <v>15.301639999999999</v>
      </c>
      <c r="D31" s="699">
        <f t="shared" si="0"/>
        <v>0.24154535069443539</v>
      </c>
      <c r="E31" s="159"/>
      <c r="F31" s="159"/>
      <c r="G31" s="159"/>
      <c r="H31" s="159"/>
      <c r="I31" s="159"/>
      <c r="J31" s="159"/>
      <c r="K31" s="33"/>
      <c r="L31" s="367" t="s">
        <v>119</v>
      </c>
      <c r="M31" s="413">
        <v>6.6779099999999998</v>
      </c>
      <c r="N31" s="413">
        <v>9.4724699999999995</v>
      </c>
      <c r="O31" s="410"/>
    </row>
    <row r="32" spans="1:15" ht="9.75" customHeight="1">
      <c r="A32" s="694" t="s">
        <v>109</v>
      </c>
      <c r="B32" s="695">
        <v>18.835999999999999</v>
      </c>
      <c r="C32" s="695">
        <v>19.103999999999999</v>
      </c>
      <c r="D32" s="696">
        <f t="shared" si="0"/>
        <v>-1.4028475711892807E-2</v>
      </c>
      <c r="E32" s="159"/>
      <c r="F32" s="159"/>
      <c r="G32" s="159"/>
      <c r="H32" s="159"/>
      <c r="I32" s="159"/>
      <c r="J32" s="159"/>
      <c r="K32" s="33"/>
      <c r="L32" s="410" t="s">
        <v>277</v>
      </c>
      <c r="M32" s="413">
        <v>9.4545200000000005</v>
      </c>
      <c r="N32" s="413">
        <v>22.759620000000002</v>
      </c>
      <c r="O32" s="410"/>
    </row>
    <row r="33" spans="1:15" ht="9.75" customHeight="1">
      <c r="A33" s="697" t="s">
        <v>110</v>
      </c>
      <c r="B33" s="698">
        <v>18.366520000000001</v>
      </c>
      <c r="C33" s="698">
        <v>14.27637</v>
      </c>
      <c r="D33" s="699">
        <f t="shared" si="0"/>
        <v>0.28649789827526195</v>
      </c>
      <c r="E33" s="159"/>
      <c r="F33" s="159"/>
      <c r="G33" s="159"/>
      <c r="H33" s="159"/>
      <c r="I33" s="159"/>
      <c r="J33" s="159"/>
      <c r="K33" s="33"/>
      <c r="L33" s="367" t="s">
        <v>127</v>
      </c>
      <c r="M33" s="413">
        <v>18.205300000000001</v>
      </c>
      <c r="N33" s="413">
        <v>14.63743</v>
      </c>
      <c r="O33" s="410"/>
    </row>
    <row r="34" spans="1:15" ht="9.75" customHeight="1">
      <c r="A34" s="694" t="s">
        <v>275</v>
      </c>
      <c r="B34" s="695">
        <v>18.352620000000002</v>
      </c>
      <c r="C34" s="695"/>
      <c r="D34" s="696" t="str">
        <f t="shared" si="0"/>
        <v/>
      </c>
      <c r="E34" s="159"/>
      <c r="F34" s="159"/>
      <c r="G34" s="159"/>
      <c r="H34" s="159"/>
      <c r="I34" s="159"/>
      <c r="J34" s="159"/>
      <c r="K34" s="33"/>
      <c r="L34" s="410" t="s">
        <v>275</v>
      </c>
      <c r="M34" s="413">
        <v>18.352620000000002</v>
      </c>
      <c r="N34" s="413"/>
      <c r="O34" s="410"/>
    </row>
    <row r="35" spans="1:15" ht="9.75" customHeight="1">
      <c r="A35" s="697" t="s">
        <v>127</v>
      </c>
      <c r="B35" s="698">
        <v>18.205300000000001</v>
      </c>
      <c r="C35" s="698">
        <v>14.63743</v>
      </c>
      <c r="D35" s="699">
        <f t="shared" si="0"/>
        <v>0.24374975661711118</v>
      </c>
      <c r="E35" s="159"/>
      <c r="F35" s="159"/>
      <c r="G35" s="159"/>
      <c r="H35" s="159"/>
      <c r="I35" s="159"/>
      <c r="J35" s="159"/>
      <c r="K35" s="33"/>
      <c r="L35" s="411" t="s">
        <v>110</v>
      </c>
      <c r="M35" s="413">
        <v>18.366520000000001</v>
      </c>
      <c r="N35" s="413">
        <v>14.27637</v>
      </c>
      <c r="O35" s="410"/>
    </row>
    <row r="36" spans="1:15" ht="9.75" customHeight="1">
      <c r="A36" s="694" t="s">
        <v>277</v>
      </c>
      <c r="B36" s="695">
        <v>9.4545200000000005</v>
      </c>
      <c r="C36" s="695">
        <v>22.759620000000002</v>
      </c>
      <c r="D36" s="696">
        <f t="shared" si="0"/>
        <v>-0.58459236138388948</v>
      </c>
      <c r="E36" s="159"/>
      <c r="F36" s="159"/>
      <c r="G36" s="159"/>
      <c r="H36" s="159"/>
      <c r="I36" s="159"/>
      <c r="J36" s="159"/>
      <c r="K36" s="43"/>
      <c r="L36" s="367" t="s">
        <v>109</v>
      </c>
      <c r="M36" s="413">
        <v>18.835999999999999</v>
      </c>
      <c r="N36" s="413">
        <v>19.103999999999999</v>
      </c>
      <c r="O36" s="410"/>
    </row>
    <row r="37" spans="1:15" ht="9.75" customHeight="1">
      <c r="A37" s="697" t="s">
        <v>119</v>
      </c>
      <c r="B37" s="698">
        <v>6.6779099999999998</v>
      </c>
      <c r="C37" s="698">
        <v>9.4724699999999995</v>
      </c>
      <c r="D37" s="699">
        <f t="shared" si="0"/>
        <v>-0.29501914495374493</v>
      </c>
      <c r="E37" s="159"/>
      <c r="F37" s="159"/>
      <c r="G37" s="159"/>
      <c r="H37" s="159"/>
      <c r="I37" s="159"/>
      <c r="J37" s="159"/>
      <c r="K37" s="43"/>
      <c r="L37" s="415" t="s">
        <v>273</v>
      </c>
      <c r="M37" s="385">
        <v>18.997679999999999</v>
      </c>
      <c r="N37" s="3">
        <v>15.301639999999999</v>
      </c>
      <c r="O37" s="410"/>
    </row>
    <row r="38" spans="1:15" ht="9.75" customHeight="1">
      <c r="A38" s="694" t="s">
        <v>114</v>
      </c>
      <c r="B38" s="695">
        <v>6.4319299999999995</v>
      </c>
      <c r="C38" s="695">
        <v>6.67042</v>
      </c>
      <c r="D38" s="696">
        <f t="shared" si="0"/>
        <v>-3.5753370852210309E-2</v>
      </c>
      <c r="E38" s="159"/>
      <c r="F38" s="159"/>
      <c r="G38" s="159"/>
      <c r="H38" s="159"/>
      <c r="I38" s="159"/>
      <c r="J38" s="159"/>
      <c r="K38" s="38"/>
      <c r="L38" s="367" t="s">
        <v>609</v>
      </c>
      <c r="M38" s="413">
        <v>19.49907</v>
      </c>
      <c r="N38" s="413">
        <v>19.391210000000001</v>
      </c>
      <c r="O38" s="410"/>
    </row>
    <row r="39" spans="1:15" ht="9.75" customHeight="1">
      <c r="A39" s="697" t="s">
        <v>120</v>
      </c>
      <c r="B39" s="698">
        <v>5.04</v>
      </c>
      <c r="C39" s="698">
        <v>2.52</v>
      </c>
      <c r="D39" s="699">
        <f t="shared" si="0"/>
        <v>1</v>
      </c>
      <c r="E39" s="159"/>
      <c r="F39" s="159"/>
      <c r="G39" s="159"/>
      <c r="H39" s="159"/>
      <c r="I39" s="159"/>
      <c r="J39" s="159"/>
      <c r="K39" s="38"/>
      <c r="L39" s="367" t="s">
        <v>280</v>
      </c>
      <c r="M39" s="413">
        <v>19.817319999999999</v>
      </c>
      <c r="N39" s="413">
        <v>11.451699999999999</v>
      </c>
      <c r="O39" s="410"/>
    </row>
    <row r="40" spans="1:15" ht="9.75" customHeight="1">
      <c r="A40" s="694" t="s">
        <v>612</v>
      </c>
      <c r="B40" s="695">
        <v>4.2178000000000004</v>
      </c>
      <c r="C40" s="695">
        <v>2.7587999999999999</v>
      </c>
      <c r="D40" s="696">
        <f t="shared" si="0"/>
        <v>0.52885312454690458</v>
      </c>
      <c r="E40" s="159"/>
      <c r="F40" s="159"/>
      <c r="G40" s="159"/>
      <c r="H40" s="159"/>
      <c r="I40" s="159"/>
      <c r="J40" s="159"/>
      <c r="K40" s="38"/>
      <c r="L40" s="367" t="s">
        <v>519</v>
      </c>
      <c r="M40" s="413">
        <v>20.011279999999999</v>
      </c>
      <c r="N40" s="413"/>
      <c r="O40" s="410"/>
    </row>
    <row r="41" spans="1:15" ht="9.75" customHeight="1">
      <c r="A41" s="697" t="s">
        <v>122</v>
      </c>
      <c r="B41" s="698">
        <v>3.6</v>
      </c>
      <c r="C41" s="698">
        <v>3.2</v>
      </c>
      <c r="D41" s="699">
        <f t="shared" si="0"/>
        <v>0.125</v>
      </c>
      <c r="E41" s="159"/>
      <c r="F41" s="159"/>
      <c r="G41" s="159"/>
      <c r="H41" s="159"/>
      <c r="I41" s="159"/>
      <c r="J41" s="159"/>
      <c r="K41" s="43"/>
      <c r="L41" s="367" t="s">
        <v>105</v>
      </c>
      <c r="M41" s="413">
        <v>24.39481</v>
      </c>
      <c r="N41" s="413">
        <v>72.490799999999993</v>
      </c>
      <c r="O41" s="410"/>
    </row>
    <row r="42" spans="1:15" ht="9.75" customHeight="1">
      <c r="A42" s="694" t="s">
        <v>123</v>
      </c>
      <c r="B42" s="695">
        <v>3.512</v>
      </c>
      <c r="C42" s="695">
        <v>3.371</v>
      </c>
      <c r="D42" s="696">
        <f t="shared" si="0"/>
        <v>4.1827350934440899E-2</v>
      </c>
      <c r="E42" s="159"/>
      <c r="F42" s="159"/>
      <c r="G42" s="159"/>
      <c r="H42" s="159"/>
      <c r="I42" s="159"/>
      <c r="J42" s="159"/>
      <c r="K42" s="43"/>
      <c r="L42" s="410" t="s">
        <v>108</v>
      </c>
      <c r="M42" s="413">
        <v>28.139520000000001</v>
      </c>
      <c r="N42" s="413">
        <v>28.189550000000001</v>
      </c>
      <c r="O42" s="410"/>
    </row>
    <row r="43" spans="1:15" ht="9.75" customHeight="1">
      <c r="A43" s="697" t="s">
        <v>121</v>
      </c>
      <c r="B43" s="698">
        <v>3.4587300000000001</v>
      </c>
      <c r="C43" s="698">
        <v>3.68398</v>
      </c>
      <c r="D43" s="699">
        <f t="shared" si="0"/>
        <v>-6.1143111526121174E-2</v>
      </c>
      <c r="E43" s="159"/>
      <c r="F43" s="159"/>
      <c r="G43" s="159"/>
      <c r="H43" s="159"/>
      <c r="I43" s="159"/>
      <c r="J43" s="159"/>
      <c r="K43" s="43"/>
      <c r="L43" s="367" t="s">
        <v>107</v>
      </c>
      <c r="M43" s="413">
        <v>47.538539999999998</v>
      </c>
      <c r="N43" s="413">
        <v>50.037269999999992</v>
      </c>
      <c r="O43" s="410"/>
    </row>
    <row r="44" spans="1:15" ht="9.75" customHeight="1">
      <c r="A44" s="694" t="s">
        <v>125</v>
      </c>
      <c r="B44" s="695">
        <v>0.88224000000000002</v>
      </c>
      <c r="C44" s="695">
        <v>0.84894999999999998</v>
      </c>
      <c r="D44" s="696">
        <f t="shared" si="0"/>
        <v>3.9213145650509595E-2</v>
      </c>
      <c r="E44" s="159"/>
      <c r="F44" s="159"/>
      <c r="G44" s="159"/>
      <c r="H44" s="159"/>
      <c r="I44" s="159"/>
      <c r="J44" s="159"/>
      <c r="K44" s="160"/>
      <c r="L44" s="367" t="s">
        <v>272</v>
      </c>
      <c r="M44" s="413">
        <v>70.294110000000003</v>
      </c>
      <c r="N44" s="413">
        <v>84.793520000000001</v>
      </c>
      <c r="O44" s="410"/>
    </row>
    <row r="45" spans="1:15" ht="9.75" customHeight="1">
      <c r="A45" s="697" t="s">
        <v>102</v>
      </c>
      <c r="B45" s="698">
        <v>0</v>
      </c>
      <c r="C45" s="698">
        <v>130.42132000000001</v>
      </c>
      <c r="D45" s="699">
        <f t="shared" si="0"/>
        <v>-1</v>
      </c>
      <c r="E45" s="159"/>
      <c r="F45" s="159"/>
      <c r="G45" s="159"/>
      <c r="H45" s="159"/>
      <c r="I45" s="159"/>
      <c r="J45" s="159"/>
      <c r="L45" s="410" t="s">
        <v>103</v>
      </c>
      <c r="M45" s="413">
        <v>85.443529999999996</v>
      </c>
      <c r="N45" s="413">
        <v>45.975669999999994</v>
      </c>
      <c r="O45" s="410"/>
    </row>
    <row r="46" spans="1:15" ht="9.75" customHeight="1">
      <c r="A46" s="694" t="s">
        <v>111</v>
      </c>
      <c r="B46" s="695">
        <v>0</v>
      </c>
      <c r="C46" s="695">
        <v>0</v>
      </c>
      <c r="D46" s="696" t="str">
        <f t="shared" si="0"/>
        <v/>
      </c>
      <c r="E46" s="159"/>
      <c r="F46" s="159"/>
      <c r="G46" s="159"/>
      <c r="H46" s="159"/>
      <c r="I46" s="159"/>
      <c r="J46" s="159"/>
      <c r="L46" s="412" t="s">
        <v>610</v>
      </c>
      <c r="M46" s="413">
        <v>89.023700000000005</v>
      </c>
      <c r="N46" s="413">
        <v>61.922440000000002</v>
      </c>
      <c r="O46" s="410"/>
    </row>
    <row r="47" spans="1:15" ht="9.75" customHeight="1">
      <c r="A47" s="697" t="s">
        <v>112</v>
      </c>
      <c r="B47" s="698">
        <v>0</v>
      </c>
      <c r="C47" s="698">
        <v>14.744210000000001</v>
      </c>
      <c r="D47" s="699">
        <f t="shared" si="0"/>
        <v>-1</v>
      </c>
      <c r="E47" s="159"/>
      <c r="F47" s="159"/>
      <c r="G47" s="159"/>
      <c r="H47" s="159"/>
      <c r="I47" s="159"/>
      <c r="J47" s="159"/>
      <c r="L47" s="410" t="s">
        <v>101</v>
      </c>
      <c r="M47" s="413">
        <v>110.12584000000001</v>
      </c>
      <c r="N47" s="413">
        <v>56.116979999999998</v>
      </c>
      <c r="O47" s="410"/>
    </row>
    <row r="48" spans="1:15" ht="9.75" customHeight="1">
      <c r="A48" s="694" t="s">
        <v>279</v>
      </c>
      <c r="B48" s="695">
        <v>0</v>
      </c>
      <c r="C48" s="695">
        <v>150.16015999999999</v>
      </c>
      <c r="D48" s="696">
        <f t="shared" si="0"/>
        <v>-1</v>
      </c>
      <c r="E48" s="159"/>
      <c r="F48" s="159"/>
      <c r="G48" s="159"/>
      <c r="H48" s="159"/>
      <c r="I48" s="159"/>
      <c r="J48" s="159"/>
      <c r="L48" s="410" t="s">
        <v>104</v>
      </c>
      <c r="M48" s="413">
        <v>114.7818</v>
      </c>
      <c r="N48" s="413"/>
      <c r="O48" s="410"/>
    </row>
    <row r="49" spans="1:15" ht="9.75" customHeight="1">
      <c r="A49" s="697" t="s">
        <v>117</v>
      </c>
      <c r="B49" s="698">
        <v>0</v>
      </c>
      <c r="C49" s="698">
        <v>0</v>
      </c>
      <c r="D49" s="699" t="str">
        <f t="shared" si="0"/>
        <v/>
      </c>
      <c r="E49" s="159"/>
      <c r="F49" s="159"/>
      <c r="G49" s="159"/>
      <c r="H49" s="159"/>
      <c r="I49" s="159"/>
      <c r="J49" s="159"/>
      <c r="L49" s="367" t="s">
        <v>97</v>
      </c>
      <c r="M49" s="413">
        <v>144.12690000000006</v>
      </c>
      <c r="N49" s="413">
        <v>201.54909999999998</v>
      </c>
      <c r="O49" s="410"/>
    </row>
    <row r="50" spans="1:15" ht="9.75" customHeight="1">
      <c r="A50" s="694" t="s">
        <v>118</v>
      </c>
      <c r="B50" s="695">
        <v>0</v>
      </c>
      <c r="C50" s="695">
        <v>0</v>
      </c>
      <c r="D50" s="696" t="str">
        <f t="shared" si="0"/>
        <v/>
      </c>
      <c r="E50" s="159"/>
      <c r="F50" s="159"/>
      <c r="G50" s="159"/>
      <c r="H50" s="159"/>
      <c r="I50" s="159"/>
      <c r="J50" s="159"/>
      <c r="L50" s="367" t="s">
        <v>99</v>
      </c>
      <c r="M50" s="413">
        <v>159.65100999999999</v>
      </c>
      <c r="N50" s="413">
        <v>142.41273000000001</v>
      </c>
      <c r="O50" s="410"/>
    </row>
    <row r="51" spans="1:15" ht="9.75" customHeight="1">
      <c r="A51" s="697" t="s">
        <v>113</v>
      </c>
      <c r="B51" s="698">
        <v>0</v>
      </c>
      <c r="C51" s="698">
        <v>0</v>
      </c>
      <c r="D51" s="699" t="str">
        <f t="shared" si="0"/>
        <v/>
      </c>
      <c r="E51" s="159"/>
      <c r="F51" s="159"/>
      <c r="G51" s="159"/>
      <c r="H51" s="159"/>
      <c r="I51" s="159"/>
      <c r="J51" s="159"/>
      <c r="L51" s="367" t="s">
        <v>98</v>
      </c>
      <c r="M51" s="413">
        <v>162.91494999999998</v>
      </c>
      <c r="N51" s="413">
        <v>120.94345</v>
      </c>
      <c r="O51" s="410"/>
    </row>
    <row r="52" spans="1:15" ht="9.75" customHeight="1">
      <c r="A52" s="694" t="s">
        <v>116</v>
      </c>
      <c r="B52" s="695">
        <v>0</v>
      </c>
      <c r="C52" s="695">
        <v>0</v>
      </c>
      <c r="D52" s="696" t="str">
        <f t="shared" si="0"/>
        <v/>
      </c>
      <c r="E52" s="159"/>
      <c r="F52" s="159"/>
      <c r="G52" s="159"/>
      <c r="H52" s="159"/>
      <c r="I52" s="159"/>
      <c r="J52" s="159"/>
      <c r="L52" s="367" t="s">
        <v>100</v>
      </c>
      <c r="M52" s="413">
        <v>196.94517999999999</v>
      </c>
      <c r="N52" s="413">
        <v>197.18293</v>
      </c>
      <c r="O52" s="410"/>
    </row>
    <row r="53" spans="1:15" ht="9.75" customHeight="1">
      <c r="A53" s="697" t="s">
        <v>115</v>
      </c>
      <c r="B53" s="698">
        <v>0</v>
      </c>
      <c r="C53" s="698">
        <v>0</v>
      </c>
      <c r="D53" s="699" t="str">
        <f t="shared" si="0"/>
        <v/>
      </c>
      <c r="E53" s="159"/>
      <c r="F53" s="159"/>
      <c r="G53" s="159"/>
      <c r="H53" s="159"/>
      <c r="I53" s="159"/>
      <c r="J53" s="159"/>
      <c r="L53" s="367" t="s">
        <v>276</v>
      </c>
      <c r="M53" s="413">
        <v>243.65327000000002</v>
      </c>
      <c r="N53" s="413">
        <v>251.28774999999999</v>
      </c>
      <c r="O53" s="410"/>
    </row>
    <row r="54" spans="1:15" ht="9.75" customHeight="1">
      <c r="A54" s="694" t="s">
        <v>278</v>
      </c>
      <c r="B54" s="695">
        <v>0</v>
      </c>
      <c r="C54" s="695">
        <v>0</v>
      </c>
      <c r="D54" s="696" t="str">
        <f t="shared" si="0"/>
        <v/>
      </c>
      <c r="E54" s="159"/>
      <c r="F54" s="159"/>
      <c r="G54" s="159"/>
      <c r="H54" s="159"/>
      <c r="I54" s="159"/>
      <c r="J54" s="159"/>
      <c r="L54" s="367" t="s">
        <v>106</v>
      </c>
      <c r="M54" s="413">
        <v>290.56951000000004</v>
      </c>
      <c r="N54" s="413">
        <v>0</v>
      </c>
      <c r="O54" s="410"/>
    </row>
    <row r="55" spans="1:15" ht="9.75" customHeight="1">
      <c r="A55" s="697" t="s">
        <v>124</v>
      </c>
      <c r="B55" s="698">
        <v>0</v>
      </c>
      <c r="C55" s="698">
        <v>0</v>
      </c>
      <c r="D55" s="699" t="str">
        <f t="shared" si="0"/>
        <v/>
      </c>
      <c r="E55" s="159"/>
      <c r="F55" s="159"/>
      <c r="G55" s="159"/>
      <c r="H55" s="159"/>
      <c r="I55" s="159"/>
      <c r="J55" s="159"/>
      <c r="L55" s="367" t="s">
        <v>96</v>
      </c>
      <c r="M55" s="413">
        <v>364.10663</v>
      </c>
      <c r="N55" s="413">
        <v>331.59863999999999</v>
      </c>
      <c r="O55" s="410"/>
    </row>
    <row r="56" spans="1:15" ht="9.75" customHeight="1">
      <c r="A56" s="694" t="s">
        <v>128</v>
      </c>
      <c r="B56" s="695">
        <v>0</v>
      </c>
      <c r="C56" s="695">
        <v>0</v>
      </c>
      <c r="D56" s="696" t="str">
        <f t="shared" si="0"/>
        <v/>
      </c>
      <c r="E56" s="159"/>
      <c r="F56" s="159"/>
      <c r="G56" s="159"/>
      <c r="H56" s="159"/>
      <c r="I56" s="159"/>
      <c r="J56" s="159"/>
      <c r="L56" s="367" t="s">
        <v>271</v>
      </c>
      <c r="M56" s="413">
        <v>442.48277999999999</v>
      </c>
      <c r="N56" s="413">
        <v>169.79792999999998</v>
      </c>
      <c r="O56" s="410"/>
    </row>
    <row r="57" spans="1:15" ht="9.75" customHeight="1">
      <c r="A57" s="697" t="s">
        <v>270</v>
      </c>
      <c r="B57" s="698">
        <v>0</v>
      </c>
      <c r="C57" s="698">
        <v>0</v>
      </c>
      <c r="D57" s="699" t="str">
        <f t="shared" si="0"/>
        <v/>
      </c>
      <c r="E57" s="159"/>
      <c r="F57" s="159"/>
      <c r="G57" s="159"/>
      <c r="H57" s="159"/>
      <c r="I57" s="159"/>
      <c r="J57" s="159"/>
      <c r="L57" s="367" t="s">
        <v>93</v>
      </c>
      <c r="M57" s="413">
        <v>465.27108000000004</v>
      </c>
      <c r="N57" s="413">
        <v>1187.0706</v>
      </c>
      <c r="O57" s="410"/>
    </row>
    <row r="58" spans="1:15" ht="9.75" customHeight="1">
      <c r="A58" s="694" t="s">
        <v>126</v>
      </c>
      <c r="B58" s="695">
        <v>0</v>
      </c>
      <c r="C58" s="695">
        <v>0</v>
      </c>
      <c r="D58" s="696" t="str">
        <f t="shared" si="0"/>
        <v/>
      </c>
      <c r="E58" s="159"/>
      <c r="F58" s="159"/>
      <c r="G58" s="159"/>
      <c r="H58" s="159"/>
      <c r="I58" s="159"/>
      <c r="J58" s="159"/>
      <c r="L58" s="367" t="s">
        <v>274</v>
      </c>
      <c r="M58" s="413">
        <v>550.50249999999994</v>
      </c>
      <c r="N58" s="413">
        <v>552.06059000000005</v>
      </c>
      <c r="O58" s="410"/>
    </row>
    <row r="59" spans="1:15" ht="9.75" customHeight="1">
      <c r="A59" s="677" t="s">
        <v>579</v>
      </c>
      <c r="B59" s="678"/>
      <c r="C59" s="678">
        <v>92.333160000000007</v>
      </c>
      <c r="D59" s="699">
        <f t="shared" si="0"/>
        <v>-1</v>
      </c>
      <c r="E59" s="159"/>
      <c r="F59" s="159"/>
      <c r="G59" s="159"/>
      <c r="H59" s="159"/>
      <c r="I59" s="159"/>
      <c r="J59" s="159"/>
      <c r="L59" s="410" t="s">
        <v>94</v>
      </c>
      <c r="M59" s="413">
        <v>749.13831999999991</v>
      </c>
      <c r="N59" s="413">
        <v>870.31693000000007</v>
      </c>
      <c r="O59" s="410"/>
    </row>
    <row r="60" spans="1:15" ht="9.75" customHeight="1">
      <c r="A60" s="700" t="s">
        <v>613</v>
      </c>
      <c r="B60" s="701"/>
      <c r="C60" s="701">
        <v>1.4499</v>
      </c>
      <c r="D60" s="702">
        <f t="shared" si="0"/>
        <v>-1</v>
      </c>
      <c r="E60" s="159"/>
      <c r="F60" s="159"/>
      <c r="G60" s="159"/>
      <c r="H60" s="159"/>
      <c r="I60" s="159"/>
      <c r="J60" s="159"/>
      <c r="L60" s="367" t="s">
        <v>95</v>
      </c>
      <c r="M60" s="413">
        <v>839.44848000000002</v>
      </c>
      <c r="N60" s="413">
        <v>865.52495999999996</v>
      </c>
      <c r="O60" s="410"/>
    </row>
    <row r="61" spans="1:15" ht="9.75" customHeight="1">
      <c r="A61" s="677" t="s">
        <v>129</v>
      </c>
      <c r="B61" s="678"/>
      <c r="C61" s="678">
        <v>0</v>
      </c>
      <c r="D61" s="690" t="str">
        <f t="shared" si="0"/>
        <v/>
      </c>
      <c r="E61" s="159"/>
      <c r="F61" s="159"/>
      <c r="G61" s="159"/>
      <c r="H61" s="159"/>
      <c r="I61" s="159"/>
      <c r="J61" s="159"/>
      <c r="L61" s="367" t="s">
        <v>578</v>
      </c>
      <c r="M61" s="413">
        <v>1168.3217300000001</v>
      </c>
      <c r="N61" s="413">
        <v>572.93893000000003</v>
      </c>
      <c r="O61" s="410"/>
    </row>
    <row r="62" spans="1:15" ht="9.75" hidden="1" customHeight="1">
      <c r="A62" s="685"/>
      <c r="B62" s="686"/>
      <c r="C62" s="686"/>
      <c r="D62" s="687"/>
      <c r="E62" s="159"/>
      <c r="F62" s="159"/>
      <c r="G62" s="159"/>
      <c r="H62" s="159"/>
      <c r="I62" s="159"/>
      <c r="J62" s="159"/>
      <c r="L62" s="367" t="s">
        <v>93</v>
      </c>
      <c r="M62" s="413">
        <v>964.9787399999999</v>
      </c>
      <c r="N62" s="413">
        <v>1059.69</v>
      </c>
      <c r="O62" s="410"/>
    </row>
    <row r="63" spans="1:15" ht="9.75" customHeight="1">
      <c r="A63" s="679" t="s">
        <v>44</v>
      </c>
      <c r="B63" s="680">
        <f>SUM(B7:B62)</f>
        <v>6542.2351099999978</v>
      </c>
      <c r="C63" s="680">
        <f>SUM(C7:C62)</f>
        <v>6400.767109999998</v>
      </c>
      <c r="D63" s="681">
        <f t="shared" si="0"/>
        <v>2.2101725866417343E-2</v>
      </c>
      <c r="E63" s="200"/>
      <c r="F63" s="200"/>
      <c r="G63" s="200"/>
      <c r="H63" s="201"/>
      <c r="I63" s="201"/>
      <c r="J63" s="201"/>
      <c r="L63" s="367"/>
      <c r="M63" s="413"/>
      <c r="N63" s="413"/>
    </row>
    <row r="64" spans="1:15" ht="32.25" customHeight="1">
      <c r="A64" s="913" t="str">
        <f>"Cuadro N° 8: Participación de las empresas generadoras del COES en la máxima potencia coincidente (MW) en "&amp;'1. Resumen'!Q4</f>
        <v>Cuadro N° 8: Participación de las empresas generadoras del COES en la máxima potencia coincidente (MW) en junio</v>
      </c>
      <c r="B64" s="913"/>
      <c r="C64" s="913"/>
      <c r="D64" s="913"/>
      <c r="E64" s="180"/>
      <c r="F64" s="913" t="str">
        <f>"Gráfico N° 12: Comparación de la máxima potencia coincidente  (MW) de las empresas generadoras del COES en "&amp;'1. Resumen'!Q4</f>
        <v>Gráfico N° 12: Comparación de la máxima potencia coincidente  (MW) de las empresas generadoras del COES en junio</v>
      </c>
      <c r="G64" s="913"/>
      <c r="H64" s="913"/>
      <c r="I64" s="913"/>
      <c r="J64" s="913"/>
    </row>
    <row r="65" spans="1:10" ht="7.5" customHeight="1">
      <c r="A65" s="673"/>
      <c r="B65" s="673"/>
      <c r="C65" s="673"/>
      <c r="D65" s="673"/>
      <c r="E65" s="180"/>
      <c r="F65" s="673"/>
      <c r="G65" s="673"/>
      <c r="H65" s="673"/>
      <c r="I65" s="673"/>
      <c r="J65" s="673"/>
    </row>
    <row r="66" spans="1:10" ht="12.75" customHeight="1">
      <c r="A66" s="915" t="s">
        <v>577</v>
      </c>
      <c r="B66" s="915"/>
      <c r="C66" s="915"/>
      <c r="D66" s="915"/>
      <c r="E66" s="915"/>
      <c r="F66" s="915"/>
      <c r="G66" s="915"/>
      <c r="H66" s="915"/>
      <c r="I66" s="915"/>
      <c r="J66" s="915"/>
    </row>
    <row r="67" spans="1:10" ht="12.75" customHeight="1">
      <c r="A67" s="915" t="s">
        <v>614</v>
      </c>
      <c r="B67" s="915"/>
      <c r="C67" s="915"/>
      <c r="D67" s="915"/>
      <c r="E67" s="915"/>
      <c r="F67" s="915"/>
      <c r="G67" s="915"/>
      <c r="H67" s="915"/>
      <c r="I67" s="915"/>
      <c r="J67" s="915"/>
    </row>
    <row r="68" spans="1:10" ht="12.75" customHeight="1">
      <c r="A68" s="915" t="s">
        <v>607</v>
      </c>
      <c r="B68" s="915"/>
      <c r="C68" s="915"/>
      <c r="D68" s="915"/>
      <c r="E68" s="915"/>
      <c r="F68" s="915"/>
      <c r="G68" s="915"/>
      <c r="H68" s="915"/>
      <c r="I68" s="915"/>
      <c r="J68" s="915"/>
    </row>
    <row r="69" spans="1:10">
      <c r="A69" s="915" t="s">
        <v>608</v>
      </c>
      <c r="B69" s="915"/>
      <c r="C69" s="915"/>
      <c r="D69" s="915"/>
      <c r="E69" s="915"/>
      <c r="F69" s="915"/>
      <c r="G69" s="915"/>
      <c r="H69" s="915"/>
      <c r="I69" s="915"/>
      <c r="J69" s="915"/>
    </row>
    <row r="70" spans="1:10">
      <c r="A70" s="908"/>
      <c r="B70" s="908"/>
      <c r="C70" s="908"/>
      <c r="D70" s="908"/>
      <c r="E70" s="908"/>
      <c r="F70" s="908"/>
      <c r="G70" s="908"/>
      <c r="H70" s="908"/>
      <c r="I70" s="908"/>
      <c r="J70" s="908"/>
    </row>
    <row r="71" spans="1:10">
      <c r="A71" s="907"/>
      <c r="B71" s="907"/>
      <c r="C71" s="907"/>
      <c r="D71" s="907"/>
      <c r="E71" s="907"/>
      <c r="F71" s="907"/>
      <c r="G71" s="907"/>
      <c r="H71" s="907"/>
      <c r="I71" s="907"/>
      <c r="J71" s="907"/>
    </row>
    <row r="72" spans="1:10">
      <c r="A72" s="922"/>
      <c r="B72" s="922"/>
      <c r="C72" s="922"/>
      <c r="D72" s="922"/>
      <c r="E72" s="922"/>
      <c r="F72" s="922"/>
      <c r="G72" s="922"/>
      <c r="H72" s="922"/>
      <c r="I72" s="922"/>
      <c r="J72" s="922"/>
    </row>
    <row r="73" spans="1:10">
      <c r="A73" s="923"/>
      <c r="B73" s="923"/>
      <c r="C73" s="923"/>
      <c r="D73" s="923"/>
      <c r="E73" s="923"/>
      <c r="F73" s="923"/>
      <c r="G73" s="923"/>
      <c r="H73" s="923"/>
      <c r="I73" s="923"/>
      <c r="J73" s="923"/>
    </row>
  </sheetData>
  <autoFilter ref="L6:N62" xr:uid="{51C3E269-94FB-4FDB-993A-26794E6E080A}">
    <sortState ref="L7:N62">
      <sortCondition ref="M6:M62"/>
    </sortState>
  </autoFilter>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 right="0.5892857142857143" top="0.86956521739130432" bottom="0.61458333333333337" header="0.3" footer="0.3"/>
  <pageSetup orientation="portrait" r:id="rId1"/>
  <headerFooter>
    <oddHeader>&amp;R&amp;7Informe de la Operación Mensual - Junio 2018
INFSGI-MES-06-2018
10/07/2018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R31" sqref="R31"/>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585" customWidth="1"/>
    <col min="12" max="31" width="9.33203125" style="585"/>
    <col min="32" max="16384" width="9.33203125" style="95"/>
  </cols>
  <sheetData>
    <row r="1" spans="1:38" ht="11.25" customHeight="1"/>
    <row r="2" spans="1:38" ht="17.25" customHeight="1">
      <c r="A2" s="918" t="s">
        <v>290</v>
      </c>
      <c r="B2" s="918"/>
      <c r="C2" s="918"/>
      <c r="D2" s="918"/>
      <c r="E2" s="918"/>
      <c r="F2" s="918"/>
      <c r="G2" s="918"/>
      <c r="H2" s="918"/>
    </row>
    <row r="3" spans="1:38" ht="11.25" customHeight="1">
      <c r="A3" s="207"/>
      <c r="B3" s="207"/>
      <c r="C3" s="207"/>
      <c r="D3" s="207"/>
      <c r="E3" s="207"/>
      <c r="F3" s="102"/>
      <c r="G3" s="102"/>
      <c r="H3" s="102"/>
      <c r="I3" s="45"/>
      <c r="J3" s="586"/>
    </row>
    <row r="4" spans="1:38" ht="11.25" customHeight="1">
      <c r="A4" s="933" t="s">
        <v>291</v>
      </c>
      <c r="B4" s="933"/>
      <c r="C4" s="933"/>
      <c r="D4" s="933"/>
      <c r="E4" s="933"/>
      <c r="F4" s="933"/>
      <c r="G4" s="933"/>
      <c r="H4" s="933"/>
      <c r="I4" s="45"/>
      <c r="J4" s="586"/>
    </row>
    <row r="5" spans="1:38" ht="11.25" customHeight="1">
      <c r="A5" s="97"/>
      <c r="B5" s="208"/>
      <c r="C5" s="99"/>
      <c r="D5" s="99"/>
      <c r="E5" s="100"/>
      <c r="F5" s="96"/>
      <c r="G5" s="96"/>
      <c r="H5" s="101"/>
      <c r="I5" s="209"/>
      <c r="J5" s="587"/>
    </row>
    <row r="6" spans="1:38" ht="42.75" customHeight="1">
      <c r="A6" s="97"/>
      <c r="C6" s="216" t="s">
        <v>133</v>
      </c>
      <c r="D6" s="217" t="s">
        <v>741</v>
      </c>
      <c r="E6" s="217" t="s">
        <v>742</v>
      </c>
      <c r="F6" s="218" t="s">
        <v>134</v>
      </c>
      <c r="G6" s="219"/>
      <c r="H6" s="220"/>
    </row>
    <row r="7" spans="1:38" ht="11.25" customHeight="1">
      <c r="A7" s="97"/>
      <c r="C7" s="221" t="s">
        <v>135</v>
      </c>
      <c r="D7" s="222">
        <v>18.07600021</v>
      </c>
      <c r="E7" s="222">
        <v>20.674999239999998</v>
      </c>
      <c r="F7" s="223">
        <f>IF(E7=0,"",(D7-E7)/E7)</f>
        <v>-0.12570733376239768</v>
      </c>
      <c r="G7" s="158"/>
      <c r="H7" s="841"/>
    </row>
    <row r="8" spans="1:38" ht="11.25" customHeight="1">
      <c r="A8" s="97"/>
      <c r="C8" s="224" t="s">
        <v>136</v>
      </c>
      <c r="D8" s="225">
        <v>112.34899900000001</v>
      </c>
      <c r="E8" s="225">
        <v>116.53399659999999</v>
      </c>
      <c r="F8" s="226">
        <f t="shared" ref="F8:F28" si="0">IF(E8=0,"",(D8-E8)/E8)</f>
        <v>-3.5912246401064295E-2</v>
      </c>
      <c r="G8" s="158"/>
      <c r="H8" s="841"/>
    </row>
    <row r="9" spans="1:38" ht="11.25" customHeight="1">
      <c r="A9" s="97"/>
      <c r="C9" s="221" t="s">
        <v>137</v>
      </c>
      <c r="D9" s="222">
        <v>98.206001279999995</v>
      </c>
      <c r="E9" s="222">
        <v>84.620002749999998</v>
      </c>
      <c r="F9" s="223">
        <f t="shared" si="0"/>
        <v>0.16055303815267247</v>
      </c>
      <c r="G9" s="158"/>
      <c r="H9" s="841"/>
      <c r="M9" s="588" t="s">
        <v>298</v>
      </c>
      <c r="N9" s="589"/>
      <c r="O9" s="589"/>
      <c r="P9" s="589"/>
      <c r="Q9" s="589"/>
      <c r="R9" s="589"/>
      <c r="S9" s="589"/>
      <c r="T9" s="589"/>
      <c r="U9" s="589"/>
      <c r="V9" s="589"/>
      <c r="W9" s="589"/>
      <c r="X9" s="589"/>
      <c r="Y9" s="589"/>
      <c r="Z9" s="589"/>
      <c r="AA9" s="589"/>
      <c r="AB9" s="589"/>
      <c r="AC9" s="589"/>
      <c r="AD9" s="589"/>
      <c r="AE9" s="589"/>
      <c r="AF9" s="419"/>
      <c r="AG9" s="419"/>
      <c r="AH9" s="419"/>
      <c r="AI9" s="419"/>
      <c r="AJ9" s="419"/>
      <c r="AK9" s="419"/>
      <c r="AL9" s="419"/>
    </row>
    <row r="10" spans="1:38" ht="11.25" customHeight="1">
      <c r="A10" s="97"/>
      <c r="C10" s="224" t="s">
        <v>138</v>
      </c>
      <c r="D10" s="225">
        <v>78.761001590000006</v>
      </c>
      <c r="E10" s="225">
        <v>79.306999210000001</v>
      </c>
      <c r="F10" s="226">
        <f t="shared" si="0"/>
        <v>-6.8846082368370356E-3</v>
      </c>
      <c r="G10" s="158"/>
      <c r="H10" s="841"/>
      <c r="M10" s="588" t="s">
        <v>299</v>
      </c>
      <c r="N10" s="589"/>
      <c r="O10" s="589"/>
      <c r="P10" s="589"/>
      <c r="Q10" s="589"/>
      <c r="R10" s="589"/>
      <c r="S10" s="589"/>
      <c r="T10" s="589"/>
      <c r="AD10" s="589"/>
      <c r="AE10" s="589"/>
      <c r="AF10" s="419"/>
      <c r="AG10" s="419"/>
      <c r="AH10" s="419"/>
      <c r="AI10" s="419"/>
      <c r="AJ10" s="419"/>
      <c r="AK10" s="419"/>
      <c r="AL10" s="419"/>
    </row>
    <row r="11" spans="1:38" ht="11.25" customHeight="1">
      <c r="A11" s="97"/>
      <c r="C11" s="221" t="s">
        <v>139</v>
      </c>
      <c r="D11" s="222">
        <v>27.541000369999999</v>
      </c>
      <c r="E11" s="222">
        <v>30.70400047</v>
      </c>
      <c r="F11" s="223">
        <f>IF(E11=0,"",(D11-E11)/E11)</f>
        <v>-0.10301589537462645</v>
      </c>
      <c r="G11" s="158"/>
      <c r="H11" s="841"/>
      <c r="M11" s="589"/>
      <c r="N11" s="590">
        <v>2016</v>
      </c>
      <c r="O11" s="590">
        <v>2017</v>
      </c>
      <c r="P11" s="590">
        <v>2018</v>
      </c>
      <c r="Q11" s="589"/>
      <c r="R11" s="589"/>
      <c r="S11" s="589"/>
      <c r="T11" s="589"/>
      <c r="AD11" s="589"/>
      <c r="AE11" s="589"/>
      <c r="AF11" s="419"/>
      <c r="AG11" s="419"/>
      <c r="AH11" s="419"/>
      <c r="AI11" s="419"/>
      <c r="AJ11" s="419"/>
      <c r="AK11" s="419"/>
      <c r="AL11" s="419"/>
    </row>
    <row r="12" spans="1:38" ht="11.25" customHeight="1">
      <c r="A12" s="97"/>
      <c r="C12" s="224" t="s">
        <v>140</v>
      </c>
      <c r="D12" s="225">
        <v>25.75</v>
      </c>
      <c r="E12" s="225">
        <v>22.934999470000001</v>
      </c>
      <c r="F12" s="226">
        <f t="shared" si="0"/>
        <v>0.12273819904300172</v>
      </c>
      <c r="G12" s="158"/>
      <c r="H12" s="841"/>
      <c r="M12" s="591">
        <v>1</v>
      </c>
      <c r="N12" s="592">
        <v>138.54</v>
      </c>
      <c r="O12" s="592">
        <v>93.1</v>
      </c>
      <c r="P12" s="592">
        <v>104.46</v>
      </c>
      <c r="Q12" s="589"/>
      <c r="R12" s="589"/>
      <c r="S12" s="589"/>
      <c r="T12" s="589"/>
      <c r="AD12" s="589"/>
      <c r="AE12" s="589"/>
      <c r="AF12" s="419"/>
      <c r="AG12" s="419"/>
      <c r="AH12" s="419"/>
      <c r="AI12" s="419"/>
      <c r="AJ12" s="419"/>
      <c r="AK12" s="419"/>
      <c r="AL12" s="419"/>
    </row>
    <row r="13" spans="1:38" ht="11.25" customHeight="1">
      <c r="A13" s="97"/>
      <c r="C13" s="221" t="s">
        <v>141</v>
      </c>
      <c r="D13" s="222">
        <v>99.989997860000003</v>
      </c>
      <c r="E13" s="222">
        <v>90.244003300000003</v>
      </c>
      <c r="F13" s="223">
        <f t="shared" si="0"/>
        <v>0.1079960352335123</v>
      </c>
      <c r="G13" s="158"/>
      <c r="H13" s="841"/>
      <c r="M13" s="591">
        <v>2</v>
      </c>
      <c r="N13" s="592">
        <v>140.53</v>
      </c>
      <c r="O13" s="592">
        <v>93.1</v>
      </c>
      <c r="P13" s="592">
        <v>103.4720001</v>
      </c>
      <c r="Q13" s="589"/>
      <c r="R13" s="589"/>
      <c r="S13" s="589"/>
      <c r="T13" s="589"/>
      <c r="AD13" s="589"/>
      <c r="AE13" s="589"/>
      <c r="AF13" s="419"/>
      <c r="AG13" s="419"/>
      <c r="AH13" s="419"/>
      <c r="AI13" s="419"/>
      <c r="AJ13" s="419"/>
      <c r="AK13" s="419"/>
      <c r="AL13" s="419"/>
    </row>
    <row r="14" spans="1:38" ht="11.25" customHeight="1">
      <c r="A14" s="97"/>
      <c r="C14" s="224" t="s">
        <v>142</v>
      </c>
      <c r="D14" s="225">
        <v>221.80799870000001</v>
      </c>
      <c r="E14" s="225">
        <v>232.7910004</v>
      </c>
      <c r="F14" s="226">
        <f t="shared" si="0"/>
        <v>-4.7179666229055769E-2</v>
      </c>
      <c r="G14" s="158"/>
      <c r="H14" s="841"/>
      <c r="M14" s="591">
        <v>3</v>
      </c>
      <c r="N14" s="592">
        <v>140.53</v>
      </c>
      <c r="O14" s="592">
        <v>98.74</v>
      </c>
      <c r="P14" s="592">
        <v>106.08699799999999</v>
      </c>
      <c r="Q14" s="589"/>
      <c r="R14" s="589"/>
      <c r="S14" s="589"/>
      <c r="T14" s="589"/>
      <c r="AD14" s="589"/>
      <c r="AE14" s="589"/>
      <c r="AF14" s="419"/>
      <c r="AG14" s="419"/>
      <c r="AH14" s="419"/>
      <c r="AI14" s="419"/>
      <c r="AJ14" s="419"/>
      <c r="AK14" s="419"/>
      <c r="AL14" s="419"/>
    </row>
    <row r="15" spans="1:38" ht="11.25" customHeight="1">
      <c r="A15" s="97"/>
      <c r="C15" s="221" t="s">
        <v>143</v>
      </c>
      <c r="D15" s="222">
        <v>30.700000760000002</v>
      </c>
      <c r="E15" s="222">
        <v>22.399999900000001</v>
      </c>
      <c r="F15" s="223">
        <f t="shared" si="0"/>
        <v>0.37053575433274893</v>
      </c>
      <c r="G15" s="158"/>
      <c r="H15" s="841"/>
      <c r="M15" s="591">
        <v>4</v>
      </c>
      <c r="N15" s="592">
        <v>137.43800000000002</v>
      </c>
      <c r="O15" s="592">
        <v>98.74</v>
      </c>
      <c r="P15" s="592">
        <v>112.7200012</v>
      </c>
      <c r="Q15" s="589"/>
      <c r="R15" s="589"/>
      <c r="S15" s="589"/>
      <c r="T15" s="589"/>
      <c r="AD15" s="589"/>
      <c r="AE15" s="589"/>
      <c r="AF15" s="419"/>
      <c r="AG15" s="419"/>
      <c r="AH15" s="419"/>
      <c r="AI15" s="419"/>
      <c r="AJ15" s="419"/>
      <c r="AK15" s="419"/>
      <c r="AL15" s="419"/>
    </row>
    <row r="16" spans="1:38" ht="11.25" customHeight="1">
      <c r="A16" s="97"/>
      <c r="C16" s="224" t="s">
        <v>144</v>
      </c>
      <c r="D16" s="225">
        <v>282.71701050000001</v>
      </c>
      <c r="E16" s="225">
        <v>268.55099489999998</v>
      </c>
      <c r="F16" s="226">
        <f t="shared" si="0"/>
        <v>5.2749816120677639E-2</v>
      </c>
      <c r="G16" s="158"/>
      <c r="H16" s="841"/>
      <c r="M16" s="591">
        <v>5</v>
      </c>
      <c r="N16" s="592">
        <v>137.43800000000002</v>
      </c>
      <c r="O16" s="592">
        <v>125.15</v>
      </c>
      <c r="P16" s="592">
        <v>122.3190002</v>
      </c>
      <c r="Q16" s="589"/>
      <c r="R16" s="589"/>
      <c r="S16" s="589"/>
      <c r="T16" s="589"/>
      <c r="AD16" s="589"/>
      <c r="AE16" s="589"/>
      <c r="AF16" s="419"/>
      <c r="AG16" s="419"/>
      <c r="AH16" s="419"/>
      <c r="AI16" s="419"/>
      <c r="AJ16" s="419"/>
      <c r="AK16" s="419"/>
      <c r="AL16" s="419"/>
    </row>
    <row r="17" spans="1:38" ht="11.25" customHeight="1">
      <c r="A17" s="97"/>
      <c r="C17" s="221" t="s">
        <v>145</v>
      </c>
      <c r="D17" s="222">
        <v>204.03999329999999</v>
      </c>
      <c r="E17" s="222">
        <v>207.36000060000001</v>
      </c>
      <c r="F17" s="223">
        <f t="shared" si="0"/>
        <v>-1.6010837627283527E-2</v>
      </c>
      <c r="G17" s="158"/>
      <c r="H17" s="841"/>
      <c r="M17" s="591">
        <v>6</v>
      </c>
      <c r="N17" s="592">
        <v>137.43800000000002</v>
      </c>
      <c r="O17" s="592">
        <v>125.15</v>
      </c>
      <c r="P17" s="592">
        <v>126.1559982</v>
      </c>
      <c r="Q17" s="589"/>
      <c r="R17" s="589"/>
      <c r="S17" s="589"/>
      <c r="T17" s="589"/>
      <c r="AD17" s="589"/>
      <c r="AE17" s="589"/>
      <c r="AF17" s="419"/>
      <c r="AG17" s="419"/>
      <c r="AH17" s="419"/>
      <c r="AI17" s="419"/>
      <c r="AJ17" s="419"/>
      <c r="AK17" s="419"/>
      <c r="AL17" s="419"/>
    </row>
    <row r="18" spans="1:38" ht="11.25" customHeight="1">
      <c r="A18" s="97"/>
      <c r="C18" s="224" t="s">
        <v>146</v>
      </c>
      <c r="D18" s="225">
        <v>27.43600082</v>
      </c>
      <c r="E18" s="225">
        <v>27.670000080000001</v>
      </c>
      <c r="F18" s="226">
        <f t="shared" si="0"/>
        <v>-8.4567856640208917E-3</v>
      </c>
      <c r="G18" s="158"/>
      <c r="H18" s="841"/>
      <c r="M18" s="591">
        <v>7</v>
      </c>
      <c r="N18" s="592">
        <v>151.05499267578099</v>
      </c>
      <c r="O18" s="592">
        <v>142.99</v>
      </c>
      <c r="P18" s="592">
        <v>142.9900055</v>
      </c>
      <c r="Q18" s="589"/>
      <c r="R18" s="589"/>
      <c r="S18" s="589"/>
      <c r="T18" s="589"/>
      <c r="AD18" s="589"/>
      <c r="AE18" s="589"/>
      <c r="AF18" s="419"/>
      <c r="AG18" s="419"/>
      <c r="AH18" s="419"/>
      <c r="AI18" s="419"/>
      <c r="AJ18" s="419"/>
      <c r="AK18" s="419"/>
      <c r="AL18" s="419"/>
    </row>
    <row r="19" spans="1:38" ht="11.25" customHeight="1">
      <c r="A19" s="97"/>
      <c r="C19" s="221" t="s">
        <v>147</v>
      </c>
      <c r="D19" s="222">
        <v>58.19900131</v>
      </c>
      <c r="E19" s="222">
        <v>50.962001800000003</v>
      </c>
      <c r="F19" s="223">
        <f t="shared" si="0"/>
        <v>0.14200775586488043</v>
      </c>
      <c r="G19" s="158"/>
      <c r="H19" s="841"/>
      <c r="M19" s="591">
        <v>8</v>
      </c>
      <c r="N19" s="592">
        <v>151.05499267578099</v>
      </c>
      <c r="O19" s="592">
        <v>142.99</v>
      </c>
      <c r="P19" s="592">
        <v>134.13600159999999</v>
      </c>
      <c r="Q19" s="589"/>
      <c r="R19" s="589"/>
      <c r="S19" s="589"/>
      <c r="T19" s="589"/>
      <c r="AD19" s="589"/>
      <c r="AE19" s="589"/>
      <c r="AF19" s="419"/>
      <c r="AG19" s="419"/>
      <c r="AH19" s="419"/>
      <c r="AI19" s="419"/>
      <c r="AJ19" s="419"/>
      <c r="AK19" s="419"/>
      <c r="AL19" s="419"/>
    </row>
    <row r="20" spans="1:38" ht="11.25" customHeight="1">
      <c r="A20" s="97"/>
      <c r="C20" s="224" t="s">
        <v>148</v>
      </c>
      <c r="D20" s="225">
        <v>24.881000520000001</v>
      </c>
      <c r="E20" s="225">
        <v>23.524999619999999</v>
      </c>
      <c r="F20" s="226">
        <f t="shared" si="0"/>
        <v>5.764084683968218E-2</v>
      </c>
      <c r="G20" s="158"/>
      <c r="H20" s="841"/>
      <c r="M20" s="591">
        <v>9</v>
      </c>
      <c r="N20" s="592">
        <v>165.00500489999999</v>
      </c>
      <c r="O20" s="592">
        <v>159.53</v>
      </c>
      <c r="P20" s="592">
        <v>153.34500120000001</v>
      </c>
      <c r="Q20" s="589"/>
      <c r="R20" s="589"/>
      <c r="S20" s="589"/>
      <c r="T20" s="589"/>
      <c r="AD20" s="589"/>
      <c r="AE20" s="589"/>
      <c r="AF20" s="419"/>
      <c r="AG20" s="419"/>
      <c r="AH20" s="419"/>
      <c r="AI20" s="419"/>
      <c r="AJ20" s="419"/>
      <c r="AK20" s="419"/>
      <c r="AL20" s="419"/>
    </row>
    <row r="21" spans="1:38" ht="11.25" customHeight="1">
      <c r="A21" s="97"/>
      <c r="C21" s="221" t="s">
        <v>149</v>
      </c>
      <c r="D21" s="429" t="s">
        <v>315</v>
      </c>
      <c r="E21" s="429" t="s">
        <v>315</v>
      </c>
      <c r="F21" s="223"/>
      <c r="G21" s="158"/>
      <c r="H21" s="841"/>
      <c r="M21" s="591">
        <v>10</v>
      </c>
      <c r="N21" s="592">
        <v>165.00500489999999</v>
      </c>
      <c r="O21" s="592">
        <v>159.53</v>
      </c>
      <c r="P21" s="592">
        <v>153.0590057</v>
      </c>
      <c r="Q21" s="589"/>
      <c r="R21" s="589"/>
      <c r="S21" s="589"/>
      <c r="T21" s="589"/>
      <c r="AD21" s="589"/>
      <c r="AE21" s="589"/>
      <c r="AF21" s="419"/>
      <c r="AG21" s="419"/>
      <c r="AH21" s="419"/>
      <c r="AI21" s="419"/>
      <c r="AJ21" s="419"/>
      <c r="AK21" s="419"/>
      <c r="AL21" s="419"/>
    </row>
    <row r="22" spans="1:38" ht="11.25" customHeight="1">
      <c r="A22" s="97"/>
      <c r="C22" s="224" t="s">
        <v>150</v>
      </c>
      <c r="D22" s="225">
        <v>6.7030000689999998</v>
      </c>
      <c r="E22" s="225">
        <v>8.0889997480000009</v>
      </c>
      <c r="F22" s="226">
        <f t="shared" si="0"/>
        <v>-0.17134376587694769</v>
      </c>
      <c r="G22" s="158"/>
      <c r="H22" s="841"/>
      <c r="M22" s="591">
        <v>11</v>
      </c>
      <c r="N22" s="592">
        <v>186.45199584960901</v>
      </c>
      <c r="O22" s="592">
        <v>184.94</v>
      </c>
      <c r="P22" s="592">
        <v>162.93200680000001</v>
      </c>
      <c r="Q22" s="593"/>
      <c r="R22" s="593"/>
      <c r="S22" s="593"/>
      <c r="T22" s="593"/>
      <c r="AD22" s="593"/>
      <c r="AE22" s="593"/>
      <c r="AF22" s="420"/>
      <c r="AG22" s="420"/>
      <c r="AH22" s="420"/>
      <c r="AI22" s="420"/>
      <c r="AJ22" s="420"/>
      <c r="AK22" s="420"/>
      <c r="AL22" s="420"/>
    </row>
    <row r="23" spans="1:38" ht="11.25" customHeight="1">
      <c r="A23" s="97"/>
      <c r="C23" s="221" t="s">
        <v>151</v>
      </c>
      <c r="D23" s="222">
        <v>6.5999999049999998</v>
      </c>
      <c r="E23" s="222">
        <v>8.0830001829999993</v>
      </c>
      <c r="F23" s="223">
        <f t="shared" si="0"/>
        <v>-0.18347151359949435</v>
      </c>
      <c r="G23" s="158"/>
      <c r="H23" s="841"/>
      <c r="M23" s="591">
        <v>12</v>
      </c>
      <c r="N23" s="592">
        <v>186.45199584960901</v>
      </c>
      <c r="O23" s="592">
        <v>184.94</v>
      </c>
      <c r="P23" s="592">
        <v>172.76199339999999</v>
      </c>
      <c r="Q23" s="593"/>
      <c r="R23" s="593"/>
      <c r="S23" s="593"/>
      <c r="T23" s="593"/>
      <c r="AD23" s="593"/>
      <c r="AE23" s="593"/>
      <c r="AF23" s="420"/>
      <c r="AG23" s="420"/>
      <c r="AH23" s="420"/>
      <c r="AI23" s="420"/>
      <c r="AJ23" s="420"/>
      <c r="AK23" s="420"/>
      <c r="AL23" s="420"/>
    </row>
    <row r="24" spans="1:38" ht="11.25" customHeight="1">
      <c r="A24" s="97"/>
      <c r="C24" s="224" t="s">
        <v>292</v>
      </c>
      <c r="D24" s="225">
        <v>0.13899999900000001</v>
      </c>
      <c r="E24" s="225">
        <v>10.9090004</v>
      </c>
      <c r="F24" s="226">
        <f t="shared" si="0"/>
        <v>-0.98725822771076266</v>
      </c>
      <c r="G24" s="158"/>
      <c r="H24" s="841"/>
      <c r="M24" s="591">
        <v>13</v>
      </c>
      <c r="N24" s="592">
        <v>195.64999389648401</v>
      </c>
      <c r="O24" s="592">
        <v>203.73</v>
      </c>
      <c r="P24" s="592">
        <v>182.13900760000001</v>
      </c>
      <c r="Q24" s="593"/>
      <c r="R24" s="593"/>
      <c r="S24" s="593"/>
      <c r="T24" s="593"/>
      <c r="AD24" s="593"/>
      <c r="AE24" s="593"/>
      <c r="AF24" s="420"/>
      <c r="AG24" s="420"/>
      <c r="AH24" s="420"/>
      <c r="AI24" s="420"/>
      <c r="AJ24" s="420"/>
      <c r="AK24" s="420"/>
      <c r="AL24" s="420"/>
    </row>
    <row r="25" spans="1:38" ht="11.25" customHeight="1">
      <c r="A25" s="97"/>
      <c r="C25" s="221" t="s">
        <v>152</v>
      </c>
      <c r="D25" s="222">
        <v>209.85200499999999</v>
      </c>
      <c r="E25" s="222">
        <v>225.5599976</v>
      </c>
      <c r="F25" s="223">
        <f t="shared" si="0"/>
        <v>-6.9639975027203191E-2</v>
      </c>
      <c r="G25" s="158"/>
      <c r="H25" s="841"/>
      <c r="M25" s="591">
        <v>14</v>
      </c>
      <c r="N25" s="592">
        <v>195.64999389648401</v>
      </c>
      <c r="O25" s="592">
        <v>203.73</v>
      </c>
      <c r="P25" s="592">
        <v>191.4750061</v>
      </c>
      <c r="Q25" s="593"/>
      <c r="R25" s="593"/>
      <c r="S25" s="593"/>
      <c r="T25" s="593"/>
      <c r="AD25" s="593"/>
      <c r="AE25" s="593"/>
      <c r="AF25" s="420"/>
      <c r="AG25" s="420"/>
      <c r="AH25" s="420"/>
      <c r="AI25" s="420"/>
      <c r="AJ25" s="420"/>
      <c r="AK25" s="420"/>
      <c r="AL25" s="420"/>
    </row>
    <row r="26" spans="1:38" ht="11.25" customHeight="1">
      <c r="A26" s="97"/>
      <c r="C26" s="224" t="s">
        <v>153</v>
      </c>
      <c r="D26" s="225">
        <v>47.099998470000003</v>
      </c>
      <c r="E26" s="225">
        <v>47.840000150000002</v>
      </c>
      <c r="F26" s="226">
        <f t="shared" si="0"/>
        <v>-1.5468262493306009E-2</v>
      </c>
      <c r="G26" s="842"/>
      <c r="H26" s="842"/>
      <c r="M26" s="591">
        <v>15</v>
      </c>
      <c r="N26" s="592">
        <v>201.93600463867099</v>
      </c>
      <c r="O26" s="592">
        <v>203.73</v>
      </c>
      <c r="P26" s="592">
        <v>198.43899540000001</v>
      </c>
      <c r="Q26" s="593"/>
      <c r="R26" s="593"/>
      <c r="S26" s="593"/>
      <c r="T26" s="593"/>
      <c r="AD26" s="593"/>
      <c r="AE26" s="593"/>
      <c r="AF26" s="420"/>
      <c r="AG26" s="420"/>
      <c r="AH26" s="420"/>
      <c r="AI26" s="420"/>
      <c r="AJ26" s="420"/>
      <c r="AK26" s="420"/>
      <c r="AL26" s="420"/>
    </row>
    <row r="27" spans="1:38" ht="11.25" customHeight="1">
      <c r="A27" s="97"/>
      <c r="C27" s="221" t="s">
        <v>154</v>
      </c>
      <c r="D27" s="222">
        <v>67.331999999999994</v>
      </c>
      <c r="E27" s="222">
        <v>67.150999999999996</v>
      </c>
      <c r="F27" s="223">
        <f t="shared" si="0"/>
        <v>2.6954177897573735E-3</v>
      </c>
      <c r="G27" s="842"/>
      <c r="H27" s="842"/>
      <c r="M27" s="591">
        <v>16</v>
      </c>
      <c r="N27" s="592">
        <v>201.93600463867099</v>
      </c>
      <c r="O27" s="592">
        <v>222.8</v>
      </c>
      <c r="P27" s="592">
        <v>201.52999879999999</v>
      </c>
      <c r="Q27" s="593"/>
      <c r="R27" s="593"/>
      <c r="S27" s="593"/>
      <c r="T27" s="593"/>
      <c r="AD27" s="593"/>
      <c r="AE27" s="593"/>
      <c r="AF27" s="420"/>
      <c r="AG27" s="420"/>
      <c r="AH27" s="420"/>
      <c r="AI27" s="420"/>
      <c r="AJ27" s="420"/>
      <c r="AK27" s="420"/>
      <c r="AL27" s="420"/>
    </row>
    <row r="28" spans="1:38" ht="11.25" customHeight="1">
      <c r="A28" s="97"/>
      <c r="C28" s="224" t="s">
        <v>155</v>
      </c>
      <c r="D28" s="225">
        <v>379.19699100000003</v>
      </c>
      <c r="E28" s="225">
        <v>379.91198730000002</v>
      </c>
      <c r="F28" s="226">
        <f t="shared" si="0"/>
        <v>-1.8820051061863288E-3</v>
      </c>
      <c r="G28" s="842"/>
      <c r="H28" s="842"/>
      <c r="M28" s="591">
        <v>17</v>
      </c>
      <c r="N28" s="592">
        <v>201.93600463867099</v>
      </c>
      <c r="O28" s="592">
        <v>222.8</v>
      </c>
      <c r="P28" s="592">
        <v>206.03700259999999</v>
      </c>
      <c r="Q28" s="593"/>
      <c r="R28" s="593"/>
      <c r="S28" s="593"/>
      <c r="T28" s="593"/>
      <c r="AD28" s="593"/>
      <c r="AE28" s="593"/>
      <c r="AF28" s="420"/>
      <c r="AG28" s="420"/>
      <c r="AH28" s="420"/>
      <c r="AI28" s="420"/>
      <c r="AJ28" s="420"/>
      <c r="AK28" s="420"/>
      <c r="AL28" s="420"/>
    </row>
    <row r="29" spans="1:38" ht="35.25" customHeight="1">
      <c r="A29" s="94"/>
      <c r="C29" s="934" t="str">
        <f>"Cuadro N°9: Volúmen útil de los principales embalses y lagunas del SEIN al término del periodo mensual ("&amp;'1. Resumen'!Q7&amp;" de "&amp;'1. Resumen'!Q4&amp;") "</f>
        <v xml:space="preserve">Cuadro N°9: Volúmen útil de los principales embalses y lagunas del SEIN al término del periodo mensual (30 de junio) </v>
      </c>
      <c r="D29" s="934"/>
      <c r="E29" s="934"/>
      <c r="F29" s="934"/>
      <c r="G29" s="842"/>
      <c r="H29" s="842"/>
      <c r="I29" s="212"/>
      <c r="J29" s="594"/>
      <c r="M29" s="591">
        <v>18</v>
      </c>
      <c r="N29" s="592">
        <v>207.58900451660099</v>
      </c>
      <c r="O29" s="592">
        <v>225.58</v>
      </c>
      <c r="P29" s="592">
        <v>213.67399599999999</v>
      </c>
      <c r="Q29" s="593"/>
      <c r="R29" s="593"/>
      <c r="S29" s="593"/>
      <c r="T29" s="593"/>
      <c r="AD29" s="593"/>
      <c r="AE29" s="593"/>
      <c r="AF29" s="420"/>
      <c r="AG29" s="420"/>
      <c r="AH29" s="420"/>
      <c r="AI29" s="420"/>
      <c r="AJ29" s="420"/>
      <c r="AK29" s="420"/>
      <c r="AL29" s="420"/>
    </row>
    <row r="30" spans="1:38" ht="11.25" customHeight="1">
      <c r="A30" s="94"/>
      <c r="B30" s="229"/>
      <c r="C30" s="229" t="s">
        <v>316</v>
      </c>
      <c r="D30" s="229"/>
      <c r="E30" s="229"/>
      <c r="F30" s="227"/>
      <c r="G30" s="842"/>
      <c r="H30" s="842"/>
      <c r="M30" s="591">
        <v>19</v>
      </c>
      <c r="N30" s="592">
        <v>207.58900451660099</v>
      </c>
      <c r="O30" s="592">
        <v>225.58</v>
      </c>
      <c r="P30" s="592">
        <v>216.75700380000001</v>
      </c>
      <c r="Q30" s="593"/>
      <c r="R30" s="593"/>
      <c r="S30" s="593"/>
      <c r="T30" s="593"/>
      <c r="AD30" s="593"/>
      <c r="AE30" s="593"/>
      <c r="AF30" s="420"/>
      <c r="AG30" s="420"/>
      <c r="AH30" s="420"/>
      <c r="AI30" s="420"/>
      <c r="AJ30" s="420"/>
      <c r="AK30" s="420"/>
      <c r="AL30" s="420"/>
    </row>
    <row r="31" spans="1:38" ht="11.25" customHeight="1">
      <c r="A31" s="94"/>
      <c r="B31" s="229"/>
      <c r="C31" s="229"/>
      <c r="D31" s="229"/>
      <c r="E31" s="229"/>
      <c r="F31" s="227"/>
      <c r="G31" s="227"/>
      <c r="H31" s="227"/>
      <c r="I31" s="212"/>
      <c r="J31" s="594"/>
      <c r="M31" s="591">
        <v>20</v>
      </c>
      <c r="N31" s="592">
        <v>205.7</v>
      </c>
      <c r="O31" s="592">
        <v>226.61</v>
      </c>
      <c r="P31" s="592">
        <v>217.29400630000001</v>
      </c>
      <c r="Q31" s="593"/>
      <c r="R31" s="593"/>
      <c r="S31" s="593"/>
      <c r="T31" s="593"/>
      <c r="AD31" s="593"/>
      <c r="AE31" s="593"/>
      <c r="AF31" s="420"/>
      <c r="AG31" s="420"/>
      <c r="AH31" s="420"/>
      <c r="AI31" s="420"/>
      <c r="AJ31" s="420"/>
      <c r="AK31" s="420"/>
      <c r="AL31" s="420"/>
    </row>
    <row r="32" spans="1:38" ht="11.25" customHeight="1">
      <c r="A32" s="933" t="s">
        <v>495</v>
      </c>
      <c r="B32" s="933"/>
      <c r="C32" s="933"/>
      <c r="D32" s="933"/>
      <c r="E32" s="933"/>
      <c r="F32" s="933"/>
      <c r="G32" s="933"/>
      <c r="H32" s="933"/>
      <c r="I32" s="211"/>
      <c r="J32" s="594"/>
      <c r="M32" s="591">
        <v>21</v>
      </c>
      <c r="N32" s="592">
        <v>205.7</v>
      </c>
      <c r="O32" s="592">
        <v>226.61</v>
      </c>
      <c r="P32" s="592">
        <v>218.3190002</v>
      </c>
      <c r="Q32" s="593"/>
      <c r="R32" s="593"/>
      <c r="S32" s="593"/>
      <c r="T32" s="593"/>
      <c r="AD32" s="593"/>
      <c r="AE32" s="593"/>
      <c r="AF32" s="420"/>
      <c r="AG32" s="420"/>
      <c r="AH32" s="420"/>
      <c r="AI32" s="420"/>
      <c r="AJ32" s="420"/>
      <c r="AK32" s="420"/>
      <c r="AL32" s="420"/>
    </row>
    <row r="33" spans="1:38" ht="11.25" customHeight="1">
      <c r="A33" s="94"/>
      <c r="B33" s="102"/>
      <c r="C33" s="102"/>
      <c r="D33" s="102"/>
      <c r="E33" s="102"/>
      <c r="F33" s="102"/>
      <c r="G33" s="102"/>
      <c r="H33" s="102"/>
      <c r="I33" s="211"/>
      <c r="J33" s="594"/>
      <c r="M33" s="591">
        <v>22</v>
      </c>
      <c r="N33" s="592">
        <v>204.65</v>
      </c>
      <c r="O33" s="592">
        <v>227.42</v>
      </c>
      <c r="P33" s="592">
        <v>218.79899599999999</v>
      </c>
      <c r="Q33" s="593"/>
      <c r="R33" s="593"/>
      <c r="S33" s="593"/>
      <c r="T33" s="593"/>
      <c r="AD33" s="593"/>
      <c r="AE33" s="593"/>
      <c r="AF33" s="420"/>
      <c r="AG33" s="420"/>
      <c r="AH33" s="420"/>
      <c r="AI33" s="420"/>
      <c r="AJ33" s="420"/>
      <c r="AK33" s="420"/>
      <c r="AL33" s="420"/>
    </row>
    <row r="34" spans="1:38" ht="11.25" customHeight="1">
      <c r="A34" s="94"/>
      <c r="B34" s="102"/>
      <c r="C34" s="102"/>
      <c r="D34" s="102"/>
      <c r="E34" s="102"/>
      <c r="F34" s="102"/>
      <c r="G34" s="102"/>
      <c r="H34" s="102"/>
      <c r="I34" s="211"/>
      <c r="J34" s="594"/>
      <c r="M34" s="591">
        <v>23</v>
      </c>
      <c r="N34" s="592">
        <v>204.65</v>
      </c>
      <c r="O34" s="592">
        <v>227.42</v>
      </c>
      <c r="P34" s="592">
        <v>217.8880005</v>
      </c>
      <c r="Q34" s="593"/>
      <c r="R34" s="593"/>
      <c r="S34" s="593"/>
      <c r="T34" s="593"/>
      <c r="AD34" s="593"/>
      <c r="AE34" s="593"/>
      <c r="AF34" s="420"/>
      <c r="AG34" s="420"/>
      <c r="AH34" s="420"/>
      <c r="AI34" s="420"/>
      <c r="AJ34" s="420"/>
      <c r="AK34" s="420"/>
      <c r="AL34" s="420"/>
    </row>
    <row r="35" spans="1:38" ht="11.25" customHeight="1">
      <c r="A35" s="94"/>
      <c r="B35" s="102"/>
      <c r="C35" s="102"/>
      <c r="D35" s="102"/>
      <c r="E35" s="102"/>
      <c r="F35" s="102"/>
      <c r="G35" s="102"/>
      <c r="H35" s="102"/>
      <c r="I35" s="213"/>
      <c r="J35" s="594"/>
      <c r="M35" s="591">
        <v>24</v>
      </c>
      <c r="N35" s="592">
        <v>200.38</v>
      </c>
      <c r="O35" s="592">
        <v>227.45</v>
      </c>
      <c r="P35" s="592">
        <v>216.04899599999999</v>
      </c>
      <c r="Q35" s="593"/>
      <c r="R35" s="593"/>
      <c r="S35" s="593"/>
      <c r="T35" s="593"/>
      <c r="AD35" s="593"/>
      <c r="AE35" s="593"/>
      <c r="AF35" s="420"/>
      <c r="AG35" s="420"/>
      <c r="AH35" s="420"/>
      <c r="AI35" s="420"/>
      <c r="AJ35" s="420"/>
      <c r="AK35" s="420"/>
      <c r="AL35" s="420"/>
    </row>
    <row r="36" spans="1:38" ht="11.25" customHeight="1">
      <c r="A36" s="94"/>
      <c r="B36" s="102"/>
      <c r="C36" s="102"/>
      <c r="D36" s="102"/>
      <c r="E36" s="102"/>
      <c r="F36" s="102"/>
      <c r="G36" s="102"/>
      <c r="H36" s="102"/>
      <c r="I36" s="211"/>
      <c r="J36" s="594"/>
      <c r="M36" s="591">
        <v>25</v>
      </c>
      <c r="N36" s="592">
        <v>200.38</v>
      </c>
      <c r="O36" s="592">
        <v>227.45</v>
      </c>
      <c r="P36" s="592">
        <v>212.24600219999999</v>
      </c>
      <c r="Q36" s="593"/>
      <c r="R36" s="593"/>
      <c r="S36" s="593"/>
      <c r="T36" s="593"/>
      <c r="AD36" s="593"/>
      <c r="AE36" s="593"/>
      <c r="AF36" s="420"/>
      <c r="AG36" s="420"/>
      <c r="AH36" s="420"/>
      <c r="AI36" s="420"/>
      <c r="AJ36" s="420"/>
      <c r="AK36" s="420"/>
      <c r="AL36" s="420"/>
    </row>
    <row r="37" spans="1:38" ht="11.25" customHeight="1">
      <c r="A37" s="94"/>
      <c r="B37" s="102"/>
      <c r="C37" s="102"/>
      <c r="D37" s="102"/>
      <c r="E37" s="102"/>
      <c r="F37" s="102"/>
      <c r="G37" s="102"/>
      <c r="H37" s="102"/>
      <c r="I37" s="211"/>
      <c r="J37" s="595"/>
      <c r="M37" s="591">
        <v>26</v>
      </c>
      <c r="N37" s="592">
        <v>193.55099487304599</v>
      </c>
      <c r="O37" s="592">
        <v>225.56</v>
      </c>
      <c r="P37" s="592">
        <v>210.22099299999999</v>
      </c>
      <c r="Q37" s="593"/>
      <c r="R37" s="593"/>
      <c r="S37" s="593"/>
      <c r="T37" s="593"/>
      <c r="AD37" s="593"/>
      <c r="AE37" s="593"/>
      <c r="AF37" s="420"/>
      <c r="AG37" s="420"/>
      <c r="AH37" s="420"/>
      <c r="AI37" s="420"/>
      <c r="AJ37" s="420"/>
      <c r="AK37" s="420"/>
      <c r="AL37" s="420"/>
    </row>
    <row r="38" spans="1:38" ht="11.25" customHeight="1">
      <c r="A38" s="94"/>
      <c r="B38" s="102"/>
      <c r="C38" s="102"/>
      <c r="D38" s="102"/>
      <c r="E38" s="102"/>
      <c r="F38" s="102"/>
      <c r="G38" s="102"/>
      <c r="H38" s="102"/>
      <c r="I38" s="211"/>
      <c r="J38" s="595"/>
      <c r="M38" s="591">
        <v>27</v>
      </c>
      <c r="N38" s="592">
        <v>193.55099487304599</v>
      </c>
      <c r="O38" s="592">
        <v>225.56</v>
      </c>
      <c r="P38" s="592"/>
      <c r="Q38" s="593"/>
      <c r="R38" s="593"/>
      <c r="S38" s="593"/>
      <c r="T38" s="593"/>
      <c r="AD38" s="593"/>
      <c r="AE38" s="593"/>
      <c r="AF38" s="420"/>
      <c r="AG38" s="420"/>
      <c r="AH38" s="420"/>
      <c r="AI38" s="420"/>
      <c r="AJ38" s="420"/>
      <c r="AK38" s="420"/>
      <c r="AL38" s="420"/>
    </row>
    <row r="39" spans="1:38" ht="11.25" customHeight="1">
      <c r="A39" s="94"/>
      <c r="B39" s="102"/>
      <c r="C39" s="102"/>
      <c r="D39" s="102"/>
      <c r="E39" s="102"/>
      <c r="F39" s="102"/>
      <c r="G39" s="102"/>
      <c r="H39" s="102"/>
      <c r="I39" s="211"/>
      <c r="J39" s="596"/>
      <c r="M39" s="591">
        <v>28</v>
      </c>
      <c r="N39" s="592">
        <v>186.01199339999999</v>
      </c>
      <c r="O39" s="597">
        <v>225.56</v>
      </c>
      <c r="P39" s="597"/>
      <c r="Q39" s="593"/>
      <c r="R39" s="593"/>
      <c r="S39" s="593"/>
      <c r="T39" s="593"/>
      <c r="AD39" s="593"/>
      <c r="AE39" s="593"/>
      <c r="AF39" s="420"/>
      <c r="AG39" s="420"/>
      <c r="AH39" s="420"/>
      <c r="AI39" s="420"/>
      <c r="AJ39" s="420"/>
      <c r="AK39" s="420"/>
      <c r="AL39" s="420"/>
    </row>
    <row r="40" spans="1:38" ht="11.25" customHeight="1">
      <c r="A40" s="94"/>
      <c r="B40" s="102"/>
      <c r="C40" s="102"/>
      <c r="D40" s="102"/>
      <c r="E40" s="102"/>
      <c r="F40" s="102"/>
      <c r="G40" s="102"/>
      <c r="H40" s="102"/>
      <c r="I40" s="211"/>
      <c r="J40" s="596"/>
      <c r="M40" s="591">
        <v>29</v>
      </c>
      <c r="N40" s="592">
        <v>186.01199339999999</v>
      </c>
      <c r="O40" s="592">
        <v>222.04</v>
      </c>
      <c r="P40" s="592"/>
      <c r="Q40" s="593"/>
      <c r="R40" s="593"/>
      <c r="S40" s="593"/>
      <c r="T40" s="593"/>
      <c r="AD40" s="593"/>
      <c r="AE40" s="593"/>
      <c r="AF40" s="420"/>
      <c r="AG40" s="420"/>
      <c r="AH40" s="420"/>
      <c r="AI40" s="420"/>
      <c r="AJ40" s="420"/>
      <c r="AK40" s="420"/>
      <c r="AL40" s="420"/>
    </row>
    <row r="41" spans="1:38" ht="11.25" customHeight="1">
      <c r="A41" s="94"/>
      <c r="B41" s="102"/>
      <c r="C41" s="102"/>
      <c r="D41" s="102"/>
      <c r="E41" s="102"/>
      <c r="F41" s="102"/>
      <c r="G41" s="102"/>
      <c r="H41" s="102"/>
      <c r="I41" s="211"/>
      <c r="J41" s="596"/>
      <c r="M41" s="591">
        <v>30</v>
      </c>
      <c r="N41" s="592">
        <v>186.01199339999999</v>
      </c>
      <c r="O41" s="592">
        <v>222.04</v>
      </c>
      <c r="P41" s="592"/>
      <c r="Q41" s="593"/>
      <c r="R41" s="593"/>
      <c r="S41" s="593"/>
      <c r="T41" s="593"/>
      <c r="AD41" s="593"/>
      <c r="AE41" s="593"/>
      <c r="AF41" s="420"/>
      <c r="AG41" s="420"/>
      <c r="AH41" s="420"/>
      <c r="AI41" s="420"/>
      <c r="AJ41" s="420"/>
      <c r="AK41" s="420"/>
      <c r="AL41" s="420"/>
    </row>
    <row r="42" spans="1:38" ht="11.25" customHeight="1">
      <c r="A42" s="94"/>
      <c r="B42" s="102"/>
      <c r="C42" s="102"/>
      <c r="D42" s="102"/>
      <c r="E42" s="102"/>
      <c r="F42" s="102"/>
      <c r="G42" s="102"/>
      <c r="H42" s="102"/>
      <c r="I42" s="213"/>
      <c r="J42" s="595"/>
      <c r="M42" s="591">
        <v>31</v>
      </c>
      <c r="N42" s="592">
        <v>178.58200070000001</v>
      </c>
      <c r="O42" s="592">
        <v>213.13</v>
      </c>
      <c r="P42" s="592"/>
      <c r="Q42" s="593"/>
      <c r="R42" s="593"/>
      <c r="S42" s="593"/>
      <c r="T42" s="593"/>
      <c r="AD42" s="593"/>
      <c r="AE42" s="593"/>
      <c r="AF42" s="420"/>
      <c r="AG42" s="420"/>
      <c r="AH42" s="420"/>
      <c r="AI42" s="420"/>
      <c r="AJ42" s="420"/>
      <c r="AK42" s="420"/>
      <c r="AL42" s="420"/>
    </row>
    <row r="43" spans="1:38" ht="11.25" customHeight="1">
      <c r="A43" s="94"/>
      <c r="B43" s="102"/>
      <c r="C43" s="102"/>
      <c r="D43" s="102"/>
      <c r="E43" s="102"/>
      <c r="F43" s="102"/>
      <c r="G43" s="102"/>
      <c r="H43" s="102"/>
      <c r="I43" s="211"/>
      <c r="J43" s="595"/>
      <c r="M43" s="591">
        <v>32</v>
      </c>
      <c r="N43" s="592">
        <v>178.58200070000001</v>
      </c>
      <c r="O43" s="592">
        <v>213.13</v>
      </c>
      <c r="P43" s="592"/>
      <c r="Q43" s="593"/>
      <c r="R43" s="593"/>
      <c r="S43" s="593"/>
      <c r="T43" s="593"/>
      <c r="AD43" s="593"/>
      <c r="AE43" s="593"/>
      <c r="AF43" s="420"/>
      <c r="AG43" s="420"/>
      <c r="AH43" s="420"/>
      <c r="AI43" s="420"/>
      <c r="AJ43" s="420"/>
      <c r="AK43" s="420"/>
      <c r="AL43" s="420"/>
    </row>
    <row r="44" spans="1:38" ht="11.25" customHeight="1">
      <c r="A44" s="94"/>
      <c r="B44" s="102"/>
      <c r="C44" s="102"/>
      <c r="D44" s="102"/>
      <c r="E44" s="102"/>
      <c r="F44" s="102"/>
      <c r="G44" s="102"/>
      <c r="H44" s="102"/>
      <c r="I44" s="211"/>
      <c r="J44" s="595"/>
      <c r="M44" s="591">
        <v>33</v>
      </c>
      <c r="N44" s="592">
        <v>169.01100159999999</v>
      </c>
      <c r="O44" s="592">
        <v>205.97</v>
      </c>
      <c r="P44" s="592"/>
      <c r="Q44" s="593"/>
      <c r="R44" s="593"/>
      <c r="S44" s="593"/>
      <c r="T44" s="593"/>
      <c r="AD44" s="593"/>
      <c r="AE44" s="593"/>
      <c r="AF44" s="420"/>
      <c r="AG44" s="420"/>
      <c r="AH44" s="420"/>
      <c r="AI44" s="420"/>
      <c r="AJ44" s="420"/>
      <c r="AK44" s="420"/>
      <c r="AL44" s="420"/>
    </row>
    <row r="45" spans="1:38" ht="11.25" customHeight="1">
      <c r="A45" s="94"/>
      <c r="B45" s="102"/>
      <c r="C45" s="102"/>
      <c r="D45" s="102"/>
      <c r="E45" s="102"/>
      <c r="F45" s="102"/>
      <c r="G45" s="102"/>
      <c r="H45" s="102"/>
      <c r="I45" s="214"/>
      <c r="J45" s="598"/>
      <c r="M45" s="591">
        <v>34</v>
      </c>
      <c r="N45" s="592">
        <v>169.01100159999999</v>
      </c>
      <c r="O45" s="592">
        <v>199.49</v>
      </c>
      <c r="P45" s="592"/>
      <c r="Q45" s="593"/>
      <c r="R45" s="593"/>
      <c r="S45" s="593"/>
      <c r="T45" s="593"/>
      <c r="AD45" s="593"/>
      <c r="AE45" s="593"/>
      <c r="AF45" s="420"/>
      <c r="AG45" s="420"/>
      <c r="AH45" s="420"/>
      <c r="AI45" s="420"/>
      <c r="AJ45" s="420"/>
      <c r="AK45" s="420"/>
      <c r="AL45" s="420"/>
    </row>
    <row r="46" spans="1:38" ht="11.25" customHeight="1">
      <c r="A46" s="94"/>
      <c r="B46" s="102"/>
      <c r="C46" s="102"/>
      <c r="D46" s="102"/>
      <c r="E46" s="102"/>
      <c r="F46" s="102"/>
      <c r="G46" s="102"/>
      <c r="H46" s="102"/>
      <c r="I46" s="215"/>
      <c r="J46" s="599"/>
      <c r="M46" s="591">
        <v>35</v>
      </c>
      <c r="N46" s="600">
        <v>158.09199523925699</v>
      </c>
      <c r="O46" s="592">
        <v>193.4</v>
      </c>
      <c r="P46" s="592"/>
      <c r="Q46" s="593"/>
      <c r="R46" s="593"/>
      <c r="S46" s="593"/>
      <c r="T46" s="593"/>
      <c r="AD46" s="593"/>
      <c r="AE46" s="593"/>
      <c r="AF46" s="420"/>
      <c r="AG46" s="420"/>
      <c r="AH46" s="420"/>
      <c r="AI46" s="420"/>
      <c r="AJ46" s="420"/>
      <c r="AK46" s="420"/>
      <c r="AL46" s="420"/>
    </row>
    <row r="47" spans="1:38" ht="11.25" customHeight="1">
      <c r="A47" s="94"/>
      <c r="B47" s="102"/>
      <c r="C47" s="102"/>
      <c r="D47" s="102"/>
      <c r="E47" s="102"/>
      <c r="F47" s="102"/>
      <c r="G47" s="102"/>
      <c r="H47" s="102"/>
      <c r="I47" s="215"/>
      <c r="J47" s="599"/>
      <c r="M47" s="591">
        <v>36</v>
      </c>
      <c r="N47" s="600">
        <v>158.09199523925699</v>
      </c>
      <c r="O47" s="592">
        <v>187.93</v>
      </c>
      <c r="P47" s="592"/>
      <c r="Q47" s="593"/>
      <c r="R47" s="593"/>
      <c r="S47" s="593"/>
      <c r="T47" s="593"/>
      <c r="AD47" s="593"/>
      <c r="AE47" s="593"/>
      <c r="AF47" s="420"/>
      <c r="AG47" s="420"/>
      <c r="AH47" s="420"/>
      <c r="AI47" s="420"/>
      <c r="AJ47" s="420"/>
      <c r="AK47" s="420"/>
      <c r="AL47" s="420"/>
    </row>
    <row r="48" spans="1:38" ht="11.25" customHeight="1">
      <c r="A48" s="94"/>
      <c r="B48" s="102"/>
      <c r="C48" s="102"/>
      <c r="D48" s="102"/>
      <c r="E48" s="102"/>
      <c r="F48" s="102"/>
      <c r="G48" s="102"/>
      <c r="H48" s="102"/>
      <c r="I48" s="215"/>
      <c r="J48" s="599"/>
      <c r="M48" s="591">
        <v>37</v>
      </c>
      <c r="N48" s="592">
        <v>147.0650024</v>
      </c>
      <c r="O48" s="592">
        <v>182.85</v>
      </c>
      <c r="P48" s="592"/>
      <c r="Q48" s="593"/>
      <c r="R48" s="593"/>
      <c r="S48" s="593"/>
      <c r="T48" s="593"/>
      <c r="AD48" s="593"/>
      <c r="AE48" s="593"/>
      <c r="AF48" s="420"/>
      <c r="AG48" s="420"/>
      <c r="AH48" s="420"/>
      <c r="AI48" s="420"/>
      <c r="AJ48" s="420"/>
      <c r="AK48" s="420"/>
      <c r="AL48" s="420"/>
    </row>
    <row r="49" spans="1:38" ht="11.25" customHeight="1">
      <c r="A49" s="94"/>
      <c r="B49" s="102"/>
      <c r="C49" s="102"/>
      <c r="D49" s="102"/>
      <c r="E49" s="102"/>
      <c r="F49" s="102"/>
      <c r="G49" s="102"/>
      <c r="H49" s="102"/>
      <c r="I49" s="215"/>
      <c r="J49" s="599"/>
      <c r="M49" s="591">
        <v>38</v>
      </c>
      <c r="N49" s="592">
        <v>147.0650024</v>
      </c>
      <c r="O49" s="592">
        <v>179.77</v>
      </c>
      <c r="P49" s="592"/>
      <c r="Q49" s="593"/>
      <c r="R49" s="593"/>
      <c r="S49" s="593"/>
      <c r="T49" s="593"/>
      <c r="AD49" s="593"/>
      <c r="AE49" s="593"/>
      <c r="AF49" s="420"/>
      <c r="AG49" s="420"/>
      <c r="AH49" s="420"/>
      <c r="AI49" s="420"/>
      <c r="AJ49" s="420"/>
      <c r="AK49" s="420"/>
      <c r="AL49" s="420"/>
    </row>
    <row r="50" spans="1:38" ht="12.75">
      <c r="A50" s="94"/>
      <c r="B50" s="102"/>
      <c r="C50" s="102"/>
      <c r="D50" s="102"/>
      <c r="E50" s="102"/>
      <c r="F50" s="102"/>
      <c r="G50" s="102"/>
      <c r="H50" s="102"/>
      <c r="I50" s="215"/>
      <c r="J50" s="599"/>
      <c r="M50" s="591">
        <v>39</v>
      </c>
      <c r="N50" s="592">
        <v>139.11000060000001</v>
      </c>
      <c r="O50" s="592">
        <v>173.62</v>
      </c>
      <c r="P50" s="592"/>
      <c r="Q50" s="593"/>
      <c r="R50" s="593"/>
      <c r="S50" s="593"/>
      <c r="T50" s="593"/>
      <c r="AD50" s="593"/>
      <c r="AE50" s="593"/>
      <c r="AF50" s="420"/>
      <c r="AG50" s="420"/>
      <c r="AH50" s="420"/>
      <c r="AI50" s="420"/>
      <c r="AJ50" s="420"/>
      <c r="AK50" s="420"/>
      <c r="AL50" s="420"/>
    </row>
    <row r="51" spans="1:38" ht="12.75">
      <c r="A51" s="94"/>
      <c r="B51" s="102"/>
      <c r="C51" s="102"/>
      <c r="D51" s="102"/>
      <c r="E51" s="102"/>
      <c r="F51" s="102"/>
      <c r="G51" s="102"/>
      <c r="H51" s="102"/>
      <c r="I51" s="215"/>
      <c r="J51" s="599"/>
      <c r="M51" s="591">
        <v>40</v>
      </c>
      <c r="N51" s="592">
        <v>139.11000060000001</v>
      </c>
      <c r="O51" s="592">
        <v>163</v>
      </c>
      <c r="P51" s="592"/>
      <c r="Q51" s="593"/>
      <c r="R51" s="593"/>
      <c r="S51" s="593"/>
      <c r="T51" s="593"/>
      <c r="AD51" s="593"/>
      <c r="AE51" s="593"/>
      <c r="AF51" s="420"/>
      <c r="AG51" s="420"/>
      <c r="AH51" s="420"/>
      <c r="AI51" s="420"/>
      <c r="AJ51" s="420"/>
      <c r="AK51" s="420"/>
      <c r="AL51" s="420"/>
    </row>
    <row r="52" spans="1:38" ht="12.75">
      <c r="A52" s="94"/>
      <c r="B52" s="102"/>
      <c r="C52" s="102"/>
      <c r="D52" s="102"/>
      <c r="E52" s="102"/>
      <c r="F52" s="102"/>
      <c r="G52" s="102"/>
      <c r="H52" s="102"/>
      <c r="I52" s="215"/>
      <c r="J52" s="599"/>
      <c r="M52" s="591">
        <v>41</v>
      </c>
      <c r="N52" s="592">
        <v>139.11000060000001</v>
      </c>
      <c r="O52" s="592">
        <v>156.5</v>
      </c>
      <c r="P52" s="592"/>
      <c r="Q52" s="593"/>
      <c r="R52" s="593"/>
      <c r="S52" s="593"/>
      <c r="T52" s="593"/>
      <c r="AD52" s="593"/>
      <c r="AE52" s="593"/>
      <c r="AF52" s="420"/>
      <c r="AG52" s="420"/>
      <c r="AH52" s="420"/>
      <c r="AI52" s="420"/>
      <c r="AJ52" s="420"/>
      <c r="AK52" s="420"/>
      <c r="AL52" s="420"/>
    </row>
    <row r="53" spans="1:38" ht="12.75">
      <c r="A53" s="94"/>
      <c r="B53" s="102"/>
      <c r="C53" s="102"/>
      <c r="D53" s="102"/>
      <c r="E53" s="102"/>
      <c r="F53" s="102"/>
      <c r="G53" s="102"/>
      <c r="H53" s="102"/>
      <c r="I53" s="215"/>
      <c r="J53" s="599"/>
      <c r="M53" s="591">
        <v>42</v>
      </c>
      <c r="N53" s="592">
        <v>128.34500120000001</v>
      </c>
      <c r="O53" s="592">
        <v>152.78</v>
      </c>
      <c r="P53" s="592"/>
      <c r="Q53" s="593"/>
      <c r="R53" s="593"/>
      <c r="S53" s="593"/>
      <c r="T53" s="593"/>
      <c r="AD53" s="593"/>
      <c r="AE53" s="593"/>
      <c r="AF53" s="420"/>
      <c r="AG53" s="420"/>
      <c r="AH53" s="420"/>
      <c r="AI53" s="420"/>
      <c r="AJ53" s="420"/>
      <c r="AK53" s="420"/>
      <c r="AL53" s="420"/>
    </row>
    <row r="54" spans="1:38" ht="12.75">
      <c r="A54" s="94"/>
      <c r="B54" s="102"/>
      <c r="C54" s="102"/>
      <c r="D54" s="102"/>
      <c r="E54" s="102"/>
      <c r="F54" s="102"/>
      <c r="G54" s="102"/>
      <c r="H54" s="102"/>
      <c r="I54" s="215"/>
      <c r="J54" s="599"/>
      <c r="M54" s="591">
        <v>43</v>
      </c>
      <c r="N54" s="592">
        <v>128.34500120000001</v>
      </c>
      <c r="O54" s="592">
        <v>148.63</v>
      </c>
      <c r="P54" s="592"/>
      <c r="Q54" s="593"/>
      <c r="R54" s="593"/>
      <c r="S54" s="593"/>
      <c r="T54" s="593"/>
      <c r="AD54" s="593"/>
      <c r="AE54" s="593"/>
      <c r="AF54" s="420"/>
      <c r="AG54" s="420"/>
      <c r="AH54" s="420"/>
      <c r="AI54" s="420"/>
      <c r="AJ54" s="420"/>
      <c r="AK54" s="420"/>
      <c r="AL54" s="420"/>
    </row>
    <row r="55" spans="1:38" ht="12.75">
      <c r="A55" s="94"/>
      <c r="B55" s="102"/>
      <c r="C55" s="102"/>
      <c r="D55" s="102"/>
      <c r="E55" s="102"/>
      <c r="F55" s="102"/>
      <c r="G55" s="102"/>
      <c r="H55" s="102"/>
      <c r="I55" s="215"/>
      <c r="J55" s="599"/>
      <c r="M55" s="591">
        <v>44</v>
      </c>
      <c r="N55" s="592">
        <v>121.20099639999999</v>
      </c>
      <c r="O55" s="592">
        <v>142.91</v>
      </c>
      <c r="P55" s="592"/>
      <c r="Q55" s="593"/>
      <c r="R55" s="593"/>
      <c r="S55" s="593"/>
      <c r="T55" s="593"/>
      <c r="AD55" s="593"/>
      <c r="AE55" s="593"/>
      <c r="AF55" s="420"/>
      <c r="AG55" s="420"/>
      <c r="AH55" s="420"/>
      <c r="AI55" s="420"/>
      <c r="AJ55" s="420"/>
      <c r="AK55" s="420"/>
      <c r="AL55" s="420"/>
    </row>
    <row r="56" spans="1:38" ht="12.75">
      <c r="A56" s="94"/>
      <c r="B56" s="102"/>
      <c r="C56" s="102"/>
      <c r="D56" s="102"/>
      <c r="E56" s="102"/>
      <c r="F56" s="102"/>
      <c r="G56" s="102"/>
      <c r="H56" s="102"/>
      <c r="I56" s="215"/>
      <c r="J56" s="599"/>
      <c r="M56" s="591">
        <v>45</v>
      </c>
      <c r="N56" s="592">
        <v>121.20099639999999</v>
      </c>
      <c r="O56" s="592">
        <v>137.04</v>
      </c>
      <c r="P56" s="592"/>
      <c r="Q56" s="593"/>
      <c r="R56" s="593"/>
      <c r="S56" s="593"/>
      <c r="T56" s="593"/>
      <c r="AD56" s="593"/>
      <c r="AE56" s="593"/>
      <c r="AF56" s="420"/>
      <c r="AG56" s="420"/>
      <c r="AH56" s="420"/>
      <c r="AI56" s="420"/>
      <c r="AJ56" s="420"/>
      <c r="AK56" s="420"/>
      <c r="AL56" s="420"/>
    </row>
    <row r="57" spans="1:38" ht="12.75">
      <c r="A57" s="94"/>
      <c r="B57" s="102"/>
      <c r="C57" s="102"/>
      <c r="D57" s="102"/>
      <c r="E57" s="102"/>
      <c r="F57" s="102"/>
      <c r="G57" s="102"/>
      <c r="H57" s="102"/>
      <c r="M57" s="591">
        <v>46</v>
      </c>
      <c r="N57" s="592">
        <v>112.1429977</v>
      </c>
      <c r="O57" s="592">
        <v>131.22999999999999</v>
      </c>
      <c r="P57" s="592"/>
      <c r="Q57" s="593"/>
      <c r="R57" s="593"/>
      <c r="S57" s="593"/>
      <c r="T57" s="593"/>
      <c r="AD57" s="593"/>
      <c r="AE57" s="593"/>
      <c r="AF57" s="420"/>
      <c r="AG57" s="420"/>
      <c r="AH57" s="420"/>
      <c r="AI57" s="420"/>
      <c r="AJ57" s="420"/>
      <c r="AK57" s="420"/>
      <c r="AL57" s="420"/>
    </row>
    <row r="58" spans="1:38" ht="12.75">
      <c r="A58" s="94"/>
      <c r="B58" s="102"/>
      <c r="C58" s="102"/>
      <c r="D58" s="102"/>
      <c r="E58" s="102"/>
      <c r="F58" s="102"/>
      <c r="G58" s="102"/>
      <c r="H58" s="102"/>
      <c r="M58" s="591">
        <v>47</v>
      </c>
      <c r="N58" s="592">
        <v>112.1429977</v>
      </c>
      <c r="O58" s="592">
        <v>125.5</v>
      </c>
      <c r="P58" s="592"/>
      <c r="Q58" s="593"/>
      <c r="R58" s="593"/>
      <c r="S58" s="593"/>
      <c r="T58" s="593"/>
      <c r="AD58" s="593"/>
      <c r="AE58" s="593"/>
      <c r="AF58" s="420"/>
      <c r="AG58" s="420"/>
      <c r="AH58" s="420"/>
      <c r="AI58" s="420"/>
      <c r="AJ58" s="420"/>
      <c r="AK58" s="420"/>
      <c r="AL58" s="420"/>
    </row>
    <row r="59" spans="1:38" ht="12.75">
      <c r="A59" s="416" t="s">
        <v>550</v>
      </c>
      <c r="B59" s="102"/>
      <c r="C59" s="102"/>
      <c r="D59" s="102"/>
      <c r="E59" s="102"/>
      <c r="F59" s="102"/>
      <c r="G59" s="102"/>
      <c r="H59" s="102"/>
      <c r="M59" s="591">
        <v>48</v>
      </c>
      <c r="N59" s="592">
        <v>101.13500209999999</v>
      </c>
      <c r="O59" s="592">
        <v>120.41</v>
      </c>
      <c r="P59" s="592"/>
      <c r="Q59" s="593"/>
      <c r="R59" s="593"/>
      <c r="S59" s="593"/>
      <c r="T59" s="593"/>
      <c r="AD59" s="593"/>
      <c r="AE59" s="593"/>
      <c r="AF59" s="420"/>
      <c r="AG59" s="420"/>
      <c r="AH59" s="420"/>
      <c r="AI59" s="420"/>
      <c r="AJ59" s="420"/>
      <c r="AK59" s="420"/>
      <c r="AL59" s="420"/>
    </row>
    <row r="60" spans="1:38" ht="12.75">
      <c r="A60" s="93"/>
      <c r="B60" s="102"/>
      <c r="C60" s="102"/>
      <c r="D60" s="102"/>
      <c r="E60" s="102"/>
      <c r="F60" s="102"/>
      <c r="G60" s="102"/>
      <c r="H60" s="102"/>
      <c r="M60" s="591">
        <v>49</v>
      </c>
      <c r="N60" s="592">
        <v>101.13500209999999</v>
      </c>
      <c r="O60" s="592">
        <v>115.91300200000001</v>
      </c>
      <c r="P60" s="592"/>
      <c r="Q60" s="593"/>
      <c r="R60" s="593"/>
      <c r="S60" s="593"/>
      <c r="T60" s="593"/>
      <c r="AD60" s="593"/>
      <c r="AE60" s="593"/>
      <c r="AF60" s="420"/>
      <c r="AG60" s="420"/>
      <c r="AH60" s="420"/>
      <c r="AI60" s="420"/>
      <c r="AJ60" s="420"/>
      <c r="AK60" s="420"/>
      <c r="AL60" s="420"/>
    </row>
    <row r="61" spans="1:38">
      <c r="M61" s="591">
        <v>50</v>
      </c>
      <c r="N61" s="592">
        <v>96.752998349999999</v>
      </c>
      <c r="O61" s="592">
        <v>110.0599976</v>
      </c>
      <c r="P61" s="592"/>
      <c r="Q61" s="593"/>
      <c r="R61" s="593"/>
      <c r="S61" s="593"/>
      <c r="T61" s="593"/>
      <c r="AD61" s="589"/>
      <c r="AE61" s="589"/>
      <c r="AF61" s="419"/>
      <c r="AG61" s="419"/>
      <c r="AH61" s="419"/>
      <c r="AI61" s="419"/>
      <c r="AJ61" s="419"/>
      <c r="AK61" s="419"/>
      <c r="AL61" s="419"/>
    </row>
    <row r="62" spans="1:38">
      <c r="M62" s="591">
        <v>51</v>
      </c>
      <c r="N62" s="592">
        <v>96.752998349999999</v>
      </c>
      <c r="O62" s="592">
        <v>107.5970001</v>
      </c>
      <c r="P62" s="592"/>
      <c r="Q62" s="593"/>
      <c r="R62" s="593"/>
      <c r="S62" s="593"/>
      <c r="T62" s="593"/>
      <c r="AD62" s="589"/>
      <c r="AE62" s="589"/>
      <c r="AF62" s="419"/>
      <c r="AG62" s="419"/>
      <c r="AH62" s="419"/>
      <c r="AI62" s="419"/>
      <c r="AJ62" s="419"/>
      <c r="AK62" s="419"/>
      <c r="AL62" s="419"/>
    </row>
    <row r="63" spans="1:38">
      <c r="M63" s="591">
        <v>52</v>
      </c>
      <c r="N63" s="592">
        <v>96.752998349999999</v>
      </c>
      <c r="O63" s="592">
        <v>104.4029999</v>
      </c>
      <c r="P63" s="592"/>
      <c r="Q63" s="593"/>
      <c r="R63" s="593"/>
      <c r="S63" s="593"/>
      <c r="T63" s="593"/>
      <c r="AD63" s="589"/>
      <c r="AE63" s="589"/>
      <c r="AF63" s="419"/>
      <c r="AG63" s="419"/>
      <c r="AH63" s="419"/>
      <c r="AI63" s="419"/>
      <c r="AJ63" s="419"/>
      <c r="AK63" s="419"/>
      <c r="AL63" s="419"/>
    </row>
    <row r="64" spans="1:38">
      <c r="M64" s="591">
        <v>53</v>
      </c>
      <c r="N64" s="592"/>
      <c r="O64" s="592"/>
      <c r="P64" s="601"/>
      <c r="Q64" s="593"/>
      <c r="R64" s="593"/>
      <c r="S64" s="593"/>
      <c r="T64" s="593"/>
      <c r="AD64" s="589"/>
      <c r="AE64" s="589"/>
      <c r="AF64" s="419"/>
      <c r="AG64" s="419"/>
      <c r="AH64" s="419"/>
      <c r="AI64" s="419"/>
      <c r="AJ64" s="419"/>
      <c r="AK64" s="419"/>
      <c r="AL64" s="419"/>
    </row>
    <row r="65" spans="13:38">
      <c r="M65" s="589"/>
      <c r="N65" s="589"/>
      <c r="O65" s="589"/>
      <c r="P65" s="589"/>
      <c r="Q65" s="589"/>
      <c r="R65" s="589"/>
      <c r="S65" s="589"/>
      <c r="T65" s="589"/>
      <c r="AD65" s="589"/>
      <c r="AE65" s="589"/>
      <c r="AF65" s="419"/>
      <c r="AG65" s="419"/>
      <c r="AH65" s="419"/>
      <c r="AI65" s="419"/>
      <c r="AJ65" s="419"/>
      <c r="AK65" s="419"/>
      <c r="AL65" s="419"/>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topLeftCell="T1" zoomScale="130" zoomScaleNormal="100" zoomScaleSheetLayoutView="130" zoomScalePageLayoutView="85" workbookViewId="0">
      <selection activeCell="R31" sqref="R31"/>
    </sheetView>
  </sheetViews>
  <sheetFormatPr defaultRowHeight="11.25"/>
  <cols>
    <col min="1" max="9" width="9.33203125" style="3"/>
    <col min="10" max="11" width="9.33203125" style="3" customWidth="1"/>
    <col min="12" max="13" width="9.33203125" style="3"/>
    <col min="14" max="28" width="9.33203125" style="838"/>
    <col min="29" max="31" width="9.33203125" style="807"/>
    <col min="32" max="16384" width="9.33203125" style="3"/>
  </cols>
  <sheetData>
    <row r="1" spans="1:22" ht="11.25" customHeight="1">
      <c r="A1" s="160"/>
      <c r="B1" s="160"/>
      <c r="C1" s="160"/>
      <c r="D1" s="160"/>
      <c r="E1" s="160"/>
      <c r="F1" s="160"/>
      <c r="G1" s="160"/>
      <c r="H1" s="160"/>
      <c r="I1" s="160"/>
      <c r="J1" s="160"/>
      <c r="K1" s="160"/>
      <c r="L1" s="160"/>
    </row>
    <row r="2" spans="1:22" ht="11.25" customHeight="1">
      <c r="A2" s="558"/>
      <c r="B2" s="568"/>
      <c r="C2" s="568"/>
      <c r="D2" s="568"/>
      <c r="E2" s="568"/>
      <c r="F2" s="568"/>
      <c r="G2" s="569"/>
      <c r="H2" s="569"/>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843" t="s">
        <v>300</v>
      </c>
      <c r="O4" s="844"/>
      <c r="P4" s="844"/>
      <c r="Q4" s="844"/>
      <c r="R4" s="844"/>
      <c r="S4" s="844"/>
      <c r="T4" s="845" t="s">
        <v>301</v>
      </c>
      <c r="U4" s="844"/>
      <c r="V4" s="844"/>
    </row>
    <row r="5" spans="1:22" ht="11.25" customHeight="1">
      <c r="A5" s="935"/>
      <c r="B5" s="935"/>
      <c r="C5" s="935"/>
      <c r="D5" s="935"/>
      <c r="E5" s="935"/>
      <c r="F5" s="935"/>
      <c r="G5" s="935"/>
      <c r="H5" s="935"/>
      <c r="I5" s="935"/>
      <c r="J5" s="16"/>
      <c r="K5" s="16"/>
      <c r="L5" s="10"/>
      <c r="N5" s="844"/>
      <c r="O5" s="846">
        <v>2016</v>
      </c>
      <c r="P5" s="846">
        <v>2017</v>
      </c>
      <c r="Q5" s="846">
        <v>2018</v>
      </c>
      <c r="R5" s="844"/>
      <c r="S5" s="844"/>
      <c r="T5" s="846">
        <v>2016</v>
      </c>
      <c r="U5" s="846">
        <v>2017</v>
      </c>
      <c r="V5" s="846">
        <v>2018</v>
      </c>
    </row>
    <row r="6" spans="1:22" ht="11.25" customHeight="1">
      <c r="A6" s="84"/>
      <c r="B6" s="202"/>
      <c r="C6" s="86"/>
      <c r="D6" s="87"/>
      <c r="E6" s="87"/>
      <c r="F6" s="88"/>
      <c r="G6" s="83"/>
      <c r="H6" s="83"/>
      <c r="I6" s="89"/>
      <c r="J6" s="16"/>
      <c r="K6" s="16"/>
      <c r="L6" s="7"/>
      <c r="N6" s="847">
        <v>1</v>
      </c>
      <c r="O6" s="848">
        <v>119.86</v>
      </c>
      <c r="P6" s="848">
        <v>27.559000019999999</v>
      </c>
      <c r="Q6" s="849">
        <v>34.76</v>
      </c>
      <c r="R6" s="844"/>
      <c r="S6" s="847">
        <v>1</v>
      </c>
      <c r="T6" s="850">
        <v>150.22999999999999</v>
      </c>
      <c r="U6" s="851">
        <v>122.19600180599998</v>
      </c>
      <c r="V6" s="852">
        <v>210.20000000000002</v>
      </c>
    </row>
    <row r="7" spans="1:22" ht="11.25" customHeight="1">
      <c r="A7" s="84"/>
      <c r="B7" s="936"/>
      <c r="C7" s="936"/>
      <c r="D7" s="203"/>
      <c r="E7" s="203"/>
      <c r="F7" s="88"/>
      <c r="G7" s="83"/>
      <c r="H7" s="83"/>
      <c r="I7" s="89"/>
      <c r="J7" s="5"/>
      <c r="K7" s="5"/>
      <c r="L7" s="20"/>
      <c r="N7" s="847">
        <v>2</v>
      </c>
      <c r="O7" s="848">
        <v>113.21</v>
      </c>
      <c r="P7" s="848">
        <v>36.5890007</v>
      </c>
      <c r="Q7" s="849">
        <v>47.749000549999998</v>
      </c>
      <c r="R7" s="844"/>
      <c r="S7" s="847">
        <v>2</v>
      </c>
      <c r="T7" s="850">
        <v>145.21</v>
      </c>
      <c r="U7" s="851">
        <v>136.535000822</v>
      </c>
      <c r="V7" s="852">
        <v>216.70300435500002</v>
      </c>
    </row>
    <row r="8" spans="1:22" ht="11.25" customHeight="1">
      <c r="A8" s="84"/>
      <c r="B8" s="204"/>
      <c r="C8" s="49"/>
      <c r="D8" s="205"/>
      <c r="E8" s="205"/>
      <c r="F8" s="88"/>
      <c r="G8" s="83"/>
      <c r="H8" s="83"/>
      <c r="I8" s="89"/>
      <c r="J8" s="6"/>
      <c r="K8" s="6"/>
      <c r="L8" s="16"/>
      <c r="N8" s="847">
        <v>3</v>
      </c>
      <c r="O8" s="848">
        <v>117.64</v>
      </c>
      <c r="P8" s="848">
        <v>63.17599869</v>
      </c>
      <c r="Q8" s="849">
        <v>67.130996699999997</v>
      </c>
      <c r="R8" s="844"/>
      <c r="S8" s="847">
        <v>3</v>
      </c>
      <c r="T8" s="850">
        <v>143.88</v>
      </c>
      <c r="U8" s="851">
        <v>170.80799961000002</v>
      </c>
      <c r="V8" s="852">
        <v>232.83600043999999</v>
      </c>
    </row>
    <row r="9" spans="1:22" ht="11.25" customHeight="1">
      <c r="A9" s="84"/>
      <c r="B9" s="204"/>
      <c r="C9" s="49"/>
      <c r="D9" s="205"/>
      <c r="E9" s="205"/>
      <c r="F9" s="88"/>
      <c r="G9" s="83"/>
      <c r="H9" s="83"/>
      <c r="I9" s="89"/>
      <c r="J9" s="5"/>
      <c r="K9" s="8"/>
      <c r="L9" s="21"/>
      <c r="N9" s="847">
        <v>4</v>
      </c>
      <c r="O9" s="848">
        <v>117.64</v>
      </c>
      <c r="P9" s="848">
        <v>113.2139969</v>
      </c>
      <c r="Q9" s="849">
        <v>93.789001459999994</v>
      </c>
      <c r="R9" s="844"/>
      <c r="S9" s="847">
        <v>4</v>
      </c>
      <c r="T9" s="850">
        <v>139.38200000000001</v>
      </c>
      <c r="U9" s="851">
        <v>186.385000214</v>
      </c>
      <c r="V9" s="852">
        <v>271.78000545999998</v>
      </c>
    </row>
    <row r="10" spans="1:22" ht="11.25" customHeight="1">
      <c r="A10" s="84"/>
      <c r="B10" s="204"/>
      <c r="C10" s="49"/>
      <c r="D10" s="205"/>
      <c r="E10" s="205"/>
      <c r="F10" s="88"/>
      <c r="G10" s="83"/>
      <c r="H10" s="83"/>
      <c r="I10" s="89"/>
      <c r="J10" s="5"/>
      <c r="K10" s="5"/>
      <c r="L10" s="20"/>
      <c r="N10" s="847">
        <v>5</v>
      </c>
      <c r="O10" s="848">
        <v>133.43</v>
      </c>
      <c r="P10" s="848">
        <v>156.8220062</v>
      </c>
      <c r="Q10" s="849">
        <v>111.01599880000001</v>
      </c>
      <c r="R10" s="844"/>
      <c r="S10" s="847">
        <v>5</v>
      </c>
      <c r="T10" s="850">
        <v>135.79099490000002</v>
      </c>
      <c r="U10" s="851">
        <v>204.80799868699998</v>
      </c>
      <c r="V10" s="852">
        <v>269.07999802</v>
      </c>
    </row>
    <row r="11" spans="1:22" ht="11.25" customHeight="1">
      <c r="A11" s="84"/>
      <c r="B11" s="205"/>
      <c r="C11" s="49"/>
      <c r="D11" s="205"/>
      <c r="E11" s="205"/>
      <c r="F11" s="88"/>
      <c r="G11" s="83"/>
      <c r="H11" s="83"/>
      <c r="I11" s="89"/>
      <c r="J11" s="5"/>
      <c r="K11" s="5"/>
      <c r="L11" s="20"/>
      <c r="N11" s="847">
        <v>6</v>
      </c>
      <c r="O11" s="848">
        <v>159.2149963</v>
      </c>
      <c r="P11" s="848">
        <v>168.8840027</v>
      </c>
      <c r="Q11" s="849">
        <v>126.6029968</v>
      </c>
      <c r="R11" s="844"/>
      <c r="S11" s="847">
        <v>6</v>
      </c>
      <c r="T11" s="850">
        <v>150.04800029899999</v>
      </c>
      <c r="U11" s="851">
        <v>201.82999366799999</v>
      </c>
      <c r="V11" s="852">
        <v>273.52000047000001</v>
      </c>
    </row>
    <row r="12" spans="1:22" ht="11.25" customHeight="1">
      <c r="A12" s="84"/>
      <c r="B12" s="205"/>
      <c r="C12" s="49"/>
      <c r="D12" s="205"/>
      <c r="E12" s="205"/>
      <c r="F12" s="88"/>
      <c r="G12" s="83"/>
      <c r="H12" s="83"/>
      <c r="I12" s="89"/>
      <c r="J12" s="5"/>
      <c r="K12" s="5"/>
      <c r="L12" s="20"/>
      <c r="N12" s="847">
        <v>7</v>
      </c>
      <c r="O12" s="848">
        <v>186.18299870000001</v>
      </c>
      <c r="P12" s="848">
        <v>196.28300479999999</v>
      </c>
      <c r="Q12" s="849">
        <v>135.7250061</v>
      </c>
      <c r="R12" s="844"/>
      <c r="S12" s="847">
        <v>7</v>
      </c>
      <c r="T12" s="850">
        <v>174.31999966699999</v>
      </c>
      <c r="U12" s="851">
        <v>199.59600258</v>
      </c>
      <c r="V12" s="852">
        <v>302.63299941999998</v>
      </c>
    </row>
    <row r="13" spans="1:22" ht="11.25" customHeight="1">
      <c r="A13" s="84"/>
      <c r="B13" s="205"/>
      <c r="C13" s="49"/>
      <c r="D13" s="205"/>
      <c r="E13" s="205"/>
      <c r="F13" s="88"/>
      <c r="G13" s="83"/>
      <c r="H13" s="83"/>
      <c r="I13" s="89"/>
      <c r="J13" s="6"/>
      <c r="K13" s="6"/>
      <c r="L13" s="16"/>
      <c r="N13" s="847">
        <v>8</v>
      </c>
      <c r="O13" s="848">
        <v>206.53900150000001</v>
      </c>
      <c r="P13" s="848">
        <v>230.18899540000001</v>
      </c>
      <c r="Q13" s="849">
        <v>159.2149963</v>
      </c>
      <c r="R13" s="844"/>
      <c r="S13" s="847">
        <v>8</v>
      </c>
      <c r="T13" s="850">
        <v>262.93500039999998</v>
      </c>
      <c r="U13" s="851">
        <v>214.34299659800001</v>
      </c>
      <c r="V13" s="852">
        <v>328.23703</v>
      </c>
    </row>
    <row r="14" spans="1:22" ht="11.25" customHeight="1">
      <c r="A14" s="84"/>
      <c r="B14" s="205"/>
      <c r="C14" s="49"/>
      <c r="D14" s="205"/>
      <c r="E14" s="205"/>
      <c r="F14" s="88"/>
      <c r="G14" s="83"/>
      <c r="H14" s="83"/>
      <c r="I14" s="89"/>
      <c r="J14" s="5"/>
      <c r="K14" s="8"/>
      <c r="L14" s="21"/>
      <c r="N14" s="847">
        <v>9</v>
      </c>
      <c r="O14" s="848">
        <v>240.9539948</v>
      </c>
      <c r="P14" s="848">
        <v>249.13000489999999</v>
      </c>
      <c r="Q14" s="849">
        <v>186.18299870000001</v>
      </c>
      <c r="R14" s="844"/>
      <c r="S14" s="847">
        <v>9</v>
      </c>
      <c r="T14" s="850">
        <v>279.08800121000002</v>
      </c>
      <c r="U14" s="851">
        <v>250.89400288000002</v>
      </c>
      <c r="V14" s="852">
        <v>343.54049999999995</v>
      </c>
    </row>
    <row r="15" spans="1:22" ht="11.25" customHeight="1">
      <c r="A15" s="84"/>
      <c r="B15" s="205"/>
      <c r="C15" s="49"/>
      <c r="D15" s="205"/>
      <c r="E15" s="205"/>
      <c r="F15" s="88"/>
      <c r="G15" s="83"/>
      <c r="H15" s="83"/>
      <c r="I15" s="89"/>
      <c r="J15" s="5"/>
      <c r="K15" s="8"/>
      <c r="L15" s="20"/>
      <c r="N15" s="847">
        <v>10</v>
      </c>
      <c r="O15" s="848">
        <v>279.86401369999999</v>
      </c>
      <c r="P15" s="848">
        <v>311.77999999999997</v>
      </c>
      <c r="Q15" s="849">
        <v>203.96099849999999</v>
      </c>
      <c r="R15" s="844"/>
      <c r="S15" s="847">
        <v>10</v>
      </c>
      <c r="T15" s="850">
        <v>283.79400062561007</v>
      </c>
      <c r="U15" s="851">
        <v>298.99899296000001</v>
      </c>
      <c r="V15" s="852">
        <v>371.29100467000001</v>
      </c>
    </row>
    <row r="16" spans="1:22" ht="11.25" customHeight="1">
      <c r="A16" s="84"/>
      <c r="B16" s="205"/>
      <c r="C16" s="49"/>
      <c r="D16" s="205"/>
      <c r="E16" s="205"/>
      <c r="F16" s="88"/>
      <c r="G16" s="83"/>
      <c r="H16" s="83"/>
      <c r="I16" s="89"/>
      <c r="J16" s="5"/>
      <c r="K16" s="8"/>
      <c r="L16" s="20"/>
      <c r="N16" s="847">
        <v>11</v>
      </c>
      <c r="O16" s="848">
        <v>308.83</v>
      </c>
      <c r="P16" s="848">
        <v>332.70800000000003</v>
      </c>
      <c r="Q16" s="849">
        <v>230.18899540000001</v>
      </c>
      <c r="R16" s="853"/>
      <c r="S16" s="847">
        <v>11</v>
      </c>
      <c r="T16" s="850">
        <v>286.24</v>
      </c>
      <c r="U16" s="851">
        <v>321.03300188000003</v>
      </c>
      <c r="V16" s="852">
        <v>390.38299555999998</v>
      </c>
    </row>
    <row r="17" spans="1:22" ht="11.25" customHeight="1">
      <c r="A17" s="84"/>
      <c r="B17" s="205"/>
      <c r="C17" s="49"/>
      <c r="D17" s="205"/>
      <c r="E17" s="205"/>
      <c r="F17" s="88"/>
      <c r="G17" s="83"/>
      <c r="H17" s="83"/>
      <c r="I17" s="89"/>
      <c r="J17" s="5"/>
      <c r="K17" s="8"/>
      <c r="L17" s="20"/>
      <c r="N17" s="847">
        <v>12</v>
      </c>
      <c r="O17" s="848">
        <v>308.829986572265</v>
      </c>
      <c r="P17" s="848">
        <v>344.881012</v>
      </c>
      <c r="Q17" s="849">
        <v>282.71701050000001</v>
      </c>
      <c r="R17" s="853"/>
      <c r="S17" s="847">
        <v>12</v>
      </c>
      <c r="T17" s="850">
        <v>285.01299476623473</v>
      </c>
      <c r="U17" s="851">
        <v>332.34900279999999</v>
      </c>
      <c r="V17" s="852">
        <v>412.41217171999995</v>
      </c>
    </row>
    <row r="18" spans="1:22" ht="11.25" customHeight="1">
      <c r="A18" s="84"/>
      <c r="B18" s="205"/>
      <c r="C18" s="49"/>
      <c r="D18" s="205"/>
      <c r="E18" s="205"/>
      <c r="F18" s="88"/>
      <c r="G18" s="83"/>
      <c r="H18" s="83"/>
      <c r="I18" s="89"/>
      <c r="J18" s="5"/>
      <c r="K18" s="8"/>
      <c r="L18" s="20"/>
      <c r="N18" s="847">
        <v>13</v>
      </c>
      <c r="O18" s="848">
        <v>308.829986572265</v>
      </c>
      <c r="P18" s="848">
        <v>338.77499390000003</v>
      </c>
      <c r="Q18" s="849">
        <v>329.68899540000001</v>
      </c>
      <c r="R18" s="853"/>
      <c r="S18" s="847">
        <v>13</v>
      </c>
      <c r="T18" s="850">
        <v>279.96900081634436</v>
      </c>
      <c r="U18" s="851">
        <v>366.02899361000004</v>
      </c>
      <c r="V18" s="852">
        <v>410.83199501000001</v>
      </c>
    </row>
    <row r="19" spans="1:22" ht="11.25" customHeight="1">
      <c r="A19" s="84"/>
      <c r="B19" s="205"/>
      <c r="C19" s="49"/>
      <c r="D19" s="205"/>
      <c r="E19" s="205"/>
      <c r="F19" s="88"/>
      <c r="G19" s="83"/>
      <c r="H19" s="83"/>
      <c r="I19" s="89"/>
      <c r="J19" s="5"/>
      <c r="K19" s="8"/>
      <c r="L19" s="20"/>
      <c r="N19" s="847">
        <v>14</v>
      </c>
      <c r="O19" s="848">
        <v>302.95901489257801</v>
      </c>
      <c r="P19" s="848">
        <v>338.77999390000002</v>
      </c>
      <c r="Q19" s="849">
        <v>329.68899540000001</v>
      </c>
      <c r="R19" s="853"/>
      <c r="S19" s="847">
        <v>14</v>
      </c>
      <c r="T19" s="850">
        <v>286.54100227355917</v>
      </c>
      <c r="U19" s="851">
        <v>382.58400344</v>
      </c>
      <c r="V19" s="852">
        <v>403.70400233999999</v>
      </c>
    </row>
    <row r="20" spans="1:22" ht="11.25" customHeight="1">
      <c r="A20" s="84"/>
      <c r="B20" s="205"/>
      <c r="C20" s="49"/>
      <c r="D20" s="205"/>
      <c r="E20" s="205"/>
      <c r="F20" s="88"/>
      <c r="G20" s="83"/>
      <c r="H20" s="83"/>
      <c r="I20" s="89"/>
      <c r="J20" s="5"/>
      <c r="K20" s="8"/>
      <c r="L20" s="20"/>
      <c r="N20" s="847">
        <v>15</v>
      </c>
      <c r="O20" s="848">
        <v>311.781005859375</v>
      </c>
      <c r="P20" s="848">
        <v>347.94900510000002</v>
      </c>
      <c r="Q20" s="849">
        <v>326.67999270000001</v>
      </c>
      <c r="R20" s="853"/>
      <c r="S20" s="847">
        <v>15</v>
      </c>
      <c r="T20" s="850">
        <v>288.78499984741165</v>
      </c>
      <c r="U20" s="851">
        <v>385.29699126999998</v>
      </c>
      <c r="V20" s="852">
        <v>399.27400204999998</v>
      </c>
    </row>
    <row r="21" spans="1:22" ht="11.25" customHeight="1">
      <c r="A21" s="84"/>
      <c r="B21" s="205"/>
      <c r="C21" s="49"/>
      <c r="D21" s="205"/>
      <c r="E21" s="205"/>
      <c r="F21" s="88"/>
      <c r="G21" s="83"/>
      <c r="H21" s="83"/>
      <c r="I21" s="89"/>
      <c r="J21" s="5"/>
      <c r="K21" s="9"/>
      <c r="L21" s="22"/>
      <c r="N21" s="847">
        <v>16</v>
      </c>
      <c r="O21" s="848">
        <v>320.69100952148398</v>
      </c>
      <c r="P21" s="848">
        <v>354.11401369999999</v>
      </c>
      <c r="Q21" s="849">
        <v>314.7409973</v>
      </c>
      <c r="R21" s="853"/>
      <c r="S21" s="847">
        <v>16</v>
      </c>
      <c r="T21" s="850">
        <v>293.26400000000001</v>
      </c>
      <c r="U21" s="851">
        <v>384.95899003</v>
      </c>
      <c r="V21" s="852">
        <v>394.58499913000003</v>
      </c>
    </row>
    <row r="22" spans="1:22" ht="11.25" customHeight="1">
      <c r="A22" s="97"/>
      <c r="B22" s="205"/>
      <c r="C22" s="49"/>
      <c r="D22" s="205"/>
      <c r="E22" s="205"/>
      <c r="F22" s="88"/>
      <c r="G22" s="83"/>
      <c r="H22" s="83"/>
      <c r="I22" s="89"/>
      <c r="J22" s="5"/>
      <c r="K22" s="8"/>
      <c r="L22" s="20"/>
      <c r="N22" s="847">
        <v>17</v>
      </c>
      <c r="O22" s="848">
        <v>326.67999267578102</v>
      </c>
      <c r="P22" s="848">
        <v>351.02700809999999</v>
      </c>
      <c r="Q22" s="849">
        <v>305.89001459999997</v>
      </c>
      <c r="R22" s="853"/>
      <c r="S22" s="847">
        <v>17</v>
      </c>
      <c r="T22" s="850">
        <v>292.87300071716299</v>
      </c>
      <c r="U22" s="851">
        <v>381.86699488000005</v>
      </c>
      <c r="V22" s="852">
        <v>392.29800030000007</v>
      </c>
    </row>
    <row r="23" spans="1:22" ht="11.25" customHeight="1">
      <c r="A23" s="97"/>
      <c r="B23" s="205"/>
      <c r="C23" s="49"/>
      <c r="D23" s="205"/>
      <c r="E23" s="205"/>
      <c r="F23" s="88"/>
      <c r="G23" s="83"/>
      <c r="H23" s="83"/>
      <c r="I23" s="89"/>
      <c r="J23" s="5"/>
      <c r="K23" s="8"/>
      <c r="L23" s="20"/>
      <c r="N23" s="847">
        <v>18</v>
      </c>
      <c r="O23" s="848">
        <v>314.74099731445301</v>
      </c>
      <c r="P23" s="848">
        <v>354.11401369999999</v>
      </c>
      <c r="Q23" s="849">
        <v>314.7409973</v>
      </c>
      <c r="R23" s="853"/>
      <c r="S23" s="847">
        <v>18</v>
      </c>
      <c r="T23" s="850">
        <v>289.06400012969908</v>
      </c>
      <c r="U23" s="851">
        <v>382.77999115</v>
      </c>
      <c r="V23" s="852">
        <v>390.15600400999995</v>
      </c>
    </row>
    <row r="24" spans="1:22" ht="11.25" customHeight="1">
      <c r="A24" s="97"/>
      <c r="B24" s="205"/>
      <c r="C24" s="49"/>
      <c r="D24" s="205"/>
      <c r="E24" s="205"/>
      <c r="F24" s="88"/>
      <c r="G24" s="83"/>
      <c r="H24" s="83"/>
      <c r="I24" s="89"/>
      <c r="J24" s="8"/>
      <c r="K24" s="8"/>
      <c r="L24" s="20"/>
      <c r="N24" s="847">
        <v>19</v>
      </c>
      <c r="O24" s="848">
        <v>308.829986572265</v>
      </c>
      <c r="P24" s="848">
        <v>363.43499759999997</v>
      </c>
      <c r="Q24" s="849">
        <v>314.7409973</v>
      </c>
      <c r="R24" s="853"/>
      <c r="S24" s="847">
        <v>19</v>
      </c>
      <c r="T24" s="850">
        <v>283.7310012817382</v>
      </c>
      <c r="U24" s="851">
        <v>381.91700169999996</v>
      </c>
      <c r="V24" s="852">
        <v>386.47099490999994</v>
      </c>
    </row>
    <row r="25" spans="1:22" ht="11.25" customHeight="1">
      <c r="A25" s="417" t="s">
        <v>551</v>
      </c>
      <c r="B25" s="205"/>
      <c r="C25" s="49"/>
      <c r="D25" s="205"/>
      <c r="E25" s="205"/>
      <c r="F25" s="88"/>
      <c r="G25" s="83"/>
      <c r="H25" s="83"/>
      <c r="I25" s="89"/>
      <c r="J25" s="5"/>
      <c r="K25" s="9"/>
      <c r="L25" s="22"/>
      <c r="N25" s="847">
        <v>20</v>
      </c>
      <c r="O25" s="848">
        <v>308.8</v>
      </c>
      <c r="P25" s="848">
        <v>366.56100459999999</v>
      </c>
      <c r="Q25" s="849">
        <v>314.7409973</v>
      </c>
      <c r="R25" s="853"/>
      <c r="S25" s="847">
        <v>20</v>
      </c>
      <c r="T25" s="850">
        <v>278.90000000000003</v>
      </c>
      <c r="U25" s="851">
        <v>379.35699083999998</v>
      </c>
      <c r="V25" s="852">
        <v>382.00799562999993</v>
      </c>
    </row>
    <row r="26" spans="1:22" ht="11.25" customHeight="1">
      <c r="A26" s="93"/>
      <c r="B26" s="205"/>
      <c r="C26" s="49"/>
      <c r="D26" s="205"/>
      <c r="E26" s="205"/>
      <c r="F26" s="88"/>
      <c r="G26" s="83"/>
      <c r="H26" s="83"/>
      <c r="I26" s="89"/>
      <c r="J26" s="6"/>
      <c r="K26" s="8"/>
      <c r="L26" s="20"/>
      <c r="N26" s="847">
        <v>21</v>
      </c>
      <c r="O26" s="848">
        <v>311.781005859375</v>
      </c>
      <c r="P26" s="848">
        <v>357.21099850000002</v>
      </c>
      <c r="Q26" s="849">
        <v>314.7409973</v>
      </c>
      <c r="R26" s="853"/>
      <c r="S26" s="847">
        <v>21</v>
      </c>
      <c r="T26" s="850">
        <v>274.65599975585928</v>
      </c>
      <c r="U26" s="851">
        <v>375.59600258</v>
      </c>
      <c r="V26" s="852">
        <v>378.52099610999994</v>
      </c>
    </row>
    <row r="27" spans="1:22" ht="11.25" customHeight="1">
      <c r="A27" s="97"/>
      <c r="B27" s="205"/>
      <c r="C27" s="49"/>
      <c r="D27" s="205"/>
      <c r="E27" s="205"/>
      <c r="F27" s="91"/>
      <c r="G27" s="91"/>
      <c r="H27" s="91"/>
      <c r="I27" s="91"/>
      <c r="J27" s="6"/>
      <c r="K27" s="8"/>
      <c r="L27" s="20"/>
      <c r="N27" s="847">
        <v>22</v>
      </c>
      <c r="O27" s="848">
        <v>314.74</v>
      </c>
      <c r="P27" s="848">
        <v>341.82</v>
      </c>
      <c r="Q27" s="849">
        <v>311.78100590000003</v>
      </c>
      <c r="R27" s="853"/>
      <c r="S27" s="847">
        <v>22</v>
      </c>
      <c r="T27" s="850">
        <v>269.74</v>
      </c>
      <c r="U27" s="851">
        <v>373.52000000000004</v>
      </c>
      <c r="V27" s="852">
        <v>375.20999716</v>
      </c>
    </row>
    <row r="28" spans="1:22" ht="11.25" customHeight="1">
      <c r="A28" s="97"/>
      <c r="B28" s="205"/>
      <c r="C28" s="49"/>
      <c r="D28" s="205"/>
      <c r="E28" s="205"/>
      <c r="F28" s="91"/>
      <c r="G28" s="91"/>
      <c r="H28" s="91"/>
      <c r="I28" s="91"/>
      <c r="J28" s="6"/>
      <c r="K28" s="8"/>
      <c r="L28" s="20"/>
      <c r="N28" s="847">
        <v>23</v>
      </c>
      <c r="O28" s="848">
        <v>308.83</v>
      </c>
      <c r="P28" s="848">
        <v>326.67999270000001</v>
      </c>
      <c r="Q28" s="849">
        <v>308.82998659999998</v>
      </c>
      <c r="R28" s="853"/>
      <c r="S28" s="847">
        <v>23</v>
      </c>
      <c r="T28" s="850">
        <v>265.4609997</v>
      </c>
      <c r="U28" s="851">
        <v>369.22100255000004</v>
      </c>
      <c r="V28" s="852">
        <v>374.07600211999994</v>
      </c>
    </row>
    <row r="29" spans="1:22" ht="11.25" customHeight="1">
      <c r="A29" s="97"/>
      <c r="B29" s="205"/>
      <c r="C29" s="49"/>
      <c r="D29" s="205"/>
      <c r="E29" s="205"/>
      <c r="F29" s="91"/>
      <c r="G29" s="91"/>
      <c r="H29" s="91"/>
      <c r="I29" s="91"/>
      <c r="J29" s="6"/>
      <c r="K29" s="8"/>
      <c r="L29" s="20"/>
      <c r="N29" s="847">
        <v>24</v>
      </c>
      <c r="O29" s="848">
        <v>300.04000000000002</v>
      </c>
      <c r="P29" s="848">
        <v>308.82998659999998</v>
      </c>
      <c r="Q29" s="849">
        <v>300.0379944</v>
      </c>
      <c r="R29" s="853"/>
      <c r="S29" s="847">
        <v>24</v>
      </c>
      <c r="T29" s="850">
        <v>261.10000000000002</v>
      </c>
      <c r="U29" s="851">
        <v>364.44200138999997</v>
      </c>
      <c r="V29" s="852">
        <v>370.89200402</v>
      </c>
    </row>
    <row r="30" spans="1:22" ht="11.25" customHeight="1">
      <c r="A30" s="92"/>
      <c r="B30" s="91"/>
      <c r="C30" s="91"/>
      <c r="D30" s="91"/>
      <c r="E30" s="91"/>
      <c r="F30" s="91"/>
      <c r="G30" s="91"/>
      <c r="H30" s="91"/>
      <c r="I30" s="91"/>
      <c r="J30" s="5"/>
      <c r="K30" s="8"/>
      <c r="L30" s="20"/>
      <c r="N30" s="847">
        <v>25</v>
      </c>
      <c r="O30" s="848">
        <v>282.71701050000001</v>
      </c>
      <c r="P30" s="848">
        <v>291.33300780000002</v>
      </c>
      <c r="Q30" s="849">
        <v>294.22500609999997</v>
      </c>
      <c r="R30" s="853"/>
      <c r="S30" s="847">
        <v>25</v>
      </c>
      <c r="T30" s="850">
        <v>256.25999989000002</v>
      </c>
      <c r="U30" s="851">
        <v>359.61999897999999</v>
      </c>
      <c r="V30" s="852">
        <v>366.71700096999996</v>
      </c>
    </row>
    <row r="31" spans="1:22" ht="11.25" customHeight="1">
      <c r="A31" s="92"/>
      <c r="B31" s="91"/>
      <c r="C31" s="91"/>
      <c r="D31" s="91"/>
      <c r="E31" s="91"/>
      <c r="F31" s="91"/>
      <c r="G31" s="91"/>
      <c r="H31" s="91"/>
      <c r="I31" s="91"/>
      <c r="J31" s="5"/>
      <c r="K31" s="8"/>
      <c r="L31" s="20"/>
      <c r="N31" s="847">
        <v>26</v>
      </c>
      <c r="O31" s="848">
        <v>262.95300292968699</v>
      </c>
      <c r="P31" s="848">
        <v>268.55099489999998</v>
      </c>
      <c r="Q31" s="849">
        <v>282.71701050000001</v>
      </c>
      <c r="R31" s="853"/>
      <c r="S31" s="847">
        <v>26</v>
      </c>
      <c r="T31" s="850">
        <v>252.54899978637627</v>
      </c>
      <c r="U31" s="851">
        <v>354.77499773999995</v>
      </c>
      <c r="V31" s="852">
        <v>361.43599508999995</v>
      </c>
    </row>
    <row r="32" spans="1:22" ht="11.25" customHeight="1">
      <c r="A32" s="92"/>
      <c r="B32" s="91"/>
      <c r="C32" s="91"/>
      <c r="D32" s="91"/>
      <c r="E32" s="91"/>
      <c r="F32" s="91"/>
      <c r="G32" s="91"/>
      <c r="H32" s="91"/>
      <c r="I32" s="91"/>
      <c r="J32" s="5"/>
      <c r="K32" s="8"/>
      <c r="L32" s="20"/>
      <c r="N32" s="847">
        <v>27</v>
      </c>
      <c r="O32" s="848">
        <v>254.63000489999999</v>
      </c>
      <c r="P32" s="848">
        <v>265.7470093</v>
      </c>
      <c r="Q32" s="849"/>
      <c r="R32" s="853"/>
      <c r="S32" s="847">
        <v>27</v>
      </c>
      <c r="T32" s="850">
        <v>248.26700022</v>
      </c>
      <c r="U32" s="851">
        <v>349.77999684000002</v>
      </c>
      <c r="V32" s="852"/>
    </row>
    <row r="33" spans="1:22" ht="11.25" customHeight="1">
      <c r="A33" s="92"/>
      <c r="B33" s="91"/>
      <c r="C33" s="91"/>
      <c r="D33" s="91"/>
      <c r="E33" s="91"/>
      <c r="F33" s="91"/>
      <c r="G33" s="91"/>
      <c r="H33" s="91"/>
      <c r="I33" s="91"/>
      <c r="J33" s="5"/>
      <c r="K33" s="8"/>
      <c r="L33" s="20"/>
      <c r="N33" s="847">
        <v>28</v>
      </c>
      <c r="O33" s="848">
        <v>240.9539948</v>
      </c>
      <c r="P33" s="854">
        <v>243.66999820000001</v>
      </c>
      <c r="Q33" s="849"/>
      <c r="R33" s="853"/>
      <c r="S33" s="847">
        <v>28</v>
      </c>
      <c r="T33" s="850">
        <v>243.86400222</v>
      </c>
      <c r="U33" s="851">
        <v>344.32400322999996</v>
      </c>
      <c r="V33" s="852"/>
    </row>
    <row r="34" spans="1:22" ht="11.25" customHeight="1">
      <c r="A34" s="92"/>
      <c r="B34" s="91"/>
      <c r="C34" s="91"/>
      <c r="D34" s="91"/>
      <c r="E34" s="91"/>
      <c r="F34" s="91"/>
      <c r="G34" s="91"/>
      <c r="H34" s="91"/>
      <c r="I34" s="91"/>
      <c r="J34" s="5"/>
      <c r="K34" s="8"/>
      <c r="L34" s="20"/>
      <c r="N34" s="847">
        <v>29</v>
      </c>
      <c r="O34" s="848">
        <v>227.5220032</v>
      </c>
      <c r="P34" s="848">
        <v>227.5220032</v>
      </c>
      <c r="Q34" s="849"/>
      <c r="R34" s="853"/>
      <c r="S34" s="847">
        <v>29</v>
      </c>
      <c r="T34" s="850">
        <v>239.07999988</v>
      </c>
      <c r="U34" s="851">
        <v>338.60699847999996</v>
      </c>
      <c r="V34" s="852"/>
    </row>
    <row r="35" spans="1:22" ht="11.25" customHeight="1">
      <c r="A35" s="92"/>
      <c r="B35" s="91"/>
      <c r="C35" s="91"/>
      <c r="D35" s="91"/>
      <c r="E35" s="91"/>
      <c r="F35" s="91"/>
      <c r="G35" s="91"/>
      <c r="H35" s="91"/>
      <c r="I35" s="91"/>
      <c r="J35" s="8"/>
      <c r="K35" s="8"/>
      <c r="L35" s="20"/>
      <c r="N35" s="847">
        <v>30</v>
      </c>
      <c r="O35" s="848">
        <v>216.95199584960901</v>
      </c>
      <c r="P35" s="848">
        <v>216.95199579999999</v>
      </c>
      <c r="Q35" s="849"/>
      <c r="R35" s="853"/>
      <c r="S35" s="847">
        <v>30</v>
      </c>
      <c r="T35" s="850">
        <v>234.2539968490598</v>
      </c>
      <c r="U35" s="851">
        <v>332.49400331000004</v>
      </c>
      <c r="V35" s="852"/>
    </row>
    <row r="36" spans="1:22" ht="11.25" customHeight="1">
      <c r="A36" s="92"/>
      <c r="B36" s="91"/>
      <c r="C36" s="91"/>
      <c r="D36" s="91"/>
      <c r="E36" s="91"/>
      <c r="F36" s="91"/>
      <c r="G36" s="91"/>
      <c r="H36" s="91"/>
      <c r="I36" s="91"/>
      <c r="J36" s="5"/>
      <c r="K36" s="8"/>
      <c r="L36" s="20"/>
      <c r="N36" s="847">
        <v>31</v>
      </c>
      <c r="O36" s="848">
        <v>216.95199579999999</v>
      </c>
      <c r="P36" s="848">
        <v>209.128006</v>
      </c>
      <c r="Q36" s="849"/>
      <c r="R36" s="853"/>
      <c r="S36" s="847">
        <v>31</v>
      </c>
      <c r="T36" s="850">
        <v>229.68000125999998</v>
      </c>
      <c r="U36" s="851">
        <v>324</v>
      </c>
      <c r="V36" s="852"/>
    </row>
    <row r="37" spans="1:22" ht="11.25" customHeight="1">
      <c r="A37" s="92"/>
      <c r="B37" s="91"/>
      <c r="C37" s="91"/>
      <c r="D37" s="91"/>
      <c r="E37" s="91"/>
      <c r="F37" s="91"/>
      <c r="G37" s="91"/>
      <c r="H37" s="91"/>
      <c r="I37" s="91"/>
      <c r="J37" s="5"/>
      <c r="K37" s="13"/>
      <c r="L37" s="20"/>
      <c r="N37" s="847">
        <v>32</v>
      </c>
      <c r="O37" s="848">
        <v>201.39199830000001</v>
      </c>
      <c r="P37" s="848">
        <v>198.83200070000001</v>
      </c>
      <c r="Q37" s="849"/>
      <c r="R37" s="853"/>
      <c r="S37" s="847">
        <v>32</v>
      </c>
      <c r="T37" s="850">
        <v>224.73799990999998</v>
      </c>
      <c r="U37" s="851">
        <v>320.73399734000003</v>
      </c>
      <c r="V37" s="852"/>
    </row>
    <row r="38" spans="1:22" ht="11.25" customHeight="1">
      <c r="A38" s="92"/>
      <c r="B38" s="91"/>
      <c r="C38" s="91"/>
      <c r="D38" s="91"/>
      <c r="E38" s="91"/>
      <c r="F38" s="91"/>
      <c r="G38" s="91"/>
      <c r="H38" s="91"/>
      <c r="I38" s="91"/>
      <c r="J38" s="5"/>
      <c r="K38" s="13"/>
      <c r="L38" s="48"/>
      <c r="N38" s="847">
        <v>33</v>
      </c>
      <c r="O38" s="848">
        <v>193.74299621582</v>
      </c>
      <c r="P38" s="848">
        <v>188.69299319999999</v>
      </c>
      <c r="Q38" s="849"/>
      <c r="R38" s="853"/>
      <c r="S38" s="847">
        <v>33</v>
      </c>
      <c r="T38" s="850">
        <v>219.00299835205058</v>
      </c>
      <c r="U38" s="851">
        <v>314.19900131999998</v>
      </c>
      <c r="V38" s="852"/>
    </row>
    <row r="39" spans="1:22" ht="11.25" customHeight="1">
      <c r="A39" s="92"/>
      <c r="B39" s="91"/>
      <c r="C39" s="91"/>
      <c r="D39" s="91"/>
      <c r="E39" s="91"/>
      <c r="F39" s="91"/>
      <c r="G39" s="91"/>
      <c r="H39" s="91"/>
      <c r="I39" s="91"/>
      <c r="J39" s="5"/>
      <c r="K39" s="9"/>
      <c r="L39" s="20"/>
      <c r="N39" s="847">
        <v>34</v>
      </c>
      <c r="O39" s="848">
        <v>181.19200129999999</v>
      </c>
      <c r="P39" s="848">
        <v>183.68200680000001</v>
      </c>
      <c r="Q39" s="849"/>
      <c r="R39" s="853"/>
      <c r="S39" s="847">
        <v>34</v>
      </c>
      <c r="T39" s="850">
        <v>214.38699817</v>
      </c>
      <c r="U39" s="851">
        <v>307.85200500000002</v>
      </c>
      <c r="V39" s="852"/>
    </row>
    <row r="40" spans="1:22" ht="11.25" customHeight="1">
      <c r="A40" s="92"/>
      <c r="B40" s="91"/>
      <c r="C40" s="91"/>
      <c r="D40" s="91"/>
      <c r="E40" s="91"/>
      <c r="F40" s="91"/>
      <c r="G40" s="91"/>
      <c r="H40" s="91"/>
      <c r="I40" s="91"/>
      <c r="J40" s="5"/>
      <c r="K40" s="9"/>
      <c r="L40" s="20"/>
      <c r="N40" s="847">
        <v>35</v>
      </c>
      <c r="O40" s="848">
        <v>171.32600400000001</v>
      </c>
      <c r="P40" s="855">
        <v>176.23899840000001</v>
      </c>
      <c r="Q40" s="849"/>
      <c r="R40" s="853"/>
      <c r="S40" s="847">
        <v>35</v>
      </c>
      <c r="T40" s="850">
        <v>208.95000171000001</v>
      </c>
      <c r="U40" s="851">
        <v>300.83900069999999</v>
      </c>
      <c r="V40" s="852"/>
    </row>
    <row r="41" spans="1:22" ht="11.25" customHeight="1">
      <c r="A41" s="92"/>
      <c r="B41" s="91"/>
      <c r="C41" s="91"/>
      <c r="D41" s="91"/>
      <c r="E41" s="91"/>
      <c r="F41" s="91"/>
      <c r="G41" s="91"/>
      <c r="H41" s="91"/>
      <c r="I41" s="91"/>
      <c r="J41" s="5"/>
      <c r="K41" s="9"/>
      <c r="L41" s="20"/>
      <c r="N41" s="847">
        <v>36</v>
      </c>
      <c r="O41" s="848">
        <v>164.02999879999999</v>
      </c>
      <c r="P41" s="855">
        <v>168.8840027</v>
      </c>
      <c r="Q41" s="849"/>
      <c r="R41" s="853"/>
      <c r="S41" s="847">
        <v>36</v>
      </c>
      <c r="T41" s="850">
        <v>202.97300145000003</v>
      </c>
      <c r="U41" s="851">
        <v>293.46100233999999</v>
      </c>
      <c r="V41" s="852"/>
    </row>
    <row r="42" spans="1:22" ht="11.25" customHeight="1">
      <c r="A42" s="92"/>
      <c r="B42" s="91"/>
      <c r="C42" s="91"/>
      <c r="D42" s="91"/>
      <c r="E42" s="91"/>
      <c r="F42" s="91"/>
      <c r="G42" s="91"/>
      <c r="H42" s="91"/>
      <c r="I42" s="91"/>
      <c r="J42" s="8"/>
      <c r="K42" s="13"/>
      <c r="L42" s="20"/>
      <c r="N42" s="847">
        <v>37</v>
      </c>
      <c r="O42" s="848">
        <v>147.34800720000001</v>
      </c>
      <c r="P42" s="855">
        <v>159.2149963</v>
      </c>
      <c r="Q42" s="849"/>
      <c r="R42" s="853"/>
      <c r="S42" s="847">
        <v>37</v>
      </c>
      <c r="T42" s="850">
        <v>196.95000080099999</v>
      </c>
      <c r="U42" s="851">
        <v>287.76599501999999</v>
      </c>
      <c r="V42" s="852"/>
    </row>
    <row r="43" spans="1:22" ht="11.25" customHeight="1">
      <c r="A43" s="92"/>
      <c r="B43" s="91"/>
      <c r="C43" s="91"/>
      <c r="D43" s="91"/>
      <c r="E43" s="91"/>
      <c r="F43" s="91"/>
      <c r="G43" s="91"/>
      <c r="H43" s="91"/>
      <c r="I43" s="91"/>
      <c r="J43" s="5"/>
      <c r="K43" s="13"/>
      <c r="L43" s="20"/>
      <c r="N43" s="847">
        <v>38</v>
      </c>
      <c r="O43" s="848">
        <v>131.14500430000001</v>
      </c>
      <c r="P43" s="855">
        <v>149.70199579999999</v>
      </c>
      <c r="Q43" s="849"/>
      <c r="R43" s="853"/>
      <c r="S43" s="847">
        <v>38</v>
      </c>
      <c r="T43" s="850">
        <v>190.78400421900002</v>
      </c>
      <c r="U43" s="851">
        <v>282.07300377000001</v>
      </c>
      <c r="V43" s="852"/>
    </row>
    <row r="44" spans="1:22" ht="11.25" customHeight="1">
      <c r="A44" s="92"/>
      <c r="B44" s="91"/>
      <c r="C44" s="91"/>
      <c r="D44" s="91"/>
      <c r="E44" s="91"/>
      <c r="F44" s="91"/>
      <c r="G44" s="91"/>
      <c r="H44" s="91"/>
      <c r="I44" s="91"/>
      <c r="J44" s="5"/>
      <c r="K44" s="13"/>
      <c r="L44" s="20"/>
      <c r="N44" s="847">
        <v>39</v>
      </c>
      <c r="O44" s="848">
        <v>119.8639984</v>
      </c>
      <c r="P44" s="855">
        <v>138.02999879999999</v>
      </c>
      <c r="Q44" s="849"/>
      <c r="R44" s="853"/>
      <c r="S44" s="847">
        <v>39</v>
      </c>
      <c r="T44" s="850">
        <v>184.44099947499998</v>
      </c>
      <c r="U44" s="851">
        <v>275.53000069000001</v>
      </c>
      <c r="V44" s="852"/>
    </row>
    <row r="45" spans="1:22" ht="11.25" customHeight="1">
      <c r="A45" s="92"/>
      <c r="B45" s="91"/>
      <c r="C45" s="91"/>
      <c r="D45" s="91"/>
      <c r="E45" s="91"/>
      <c r="F45" s="91"/>
      <c r="G45" s="91"/>
      <c r="H45" s="91"/>
      <c r="I45" s="91"/>
      <c r="J45" s="15"/>
      <c r="K45" s="15"/>
      <c r="L45" s="15"/>
      <c r="N45" s="847">
        <v>40</v>
      </c>
      <c r="O45" s="848">
        <v>119.8639984</v>
      </c>
      <c r="P45" s="848">
        <v>131.14500430000001</v>
      </c>
      <c r="Q45" s="849"/>
      <c r="R45" s="853"/>
      <c r="S45" s="847">
        <v>40</v>
      </c>
      <c r="T45" s="850">
        <v>177.93399906500002</v>
      </c>
      <c r="U45" s="851">
        <v>268.25699615000002</v>
      </c>
      <c r="V45" s="852"/>
    </row>
    <row r="46" spans="1:22" ht="11.25" customHeight="1">
      <c r="A46" s="92"/>
      <c r="B46" s="91"/>
      <c r="C46" s="91"/>
      <c r="D46" s="91"/>
      <c r="E46" s="91"/>
      <c r="F46" s="91"/>
      <c r="G46" s="91"/>
      <c r="H46" s="91"/>
      <c r="I46" s="91"/>
      <c r="J46" s="14"/>
      <c r="K46" s="14"/>
      <c r="L46" s="14"/>
      <c r="N46" s="847">
        <v>41</v>
      </c>
      <c r="O46" s="848">
        <v>113.213996887207</v>
      </c>
      <c r="P46" s="848">
        <v>108.82900239999999</v>
      </c>
      <c r="Q46" s="849"/>
      <c r="R46" s="853"/>
      <c r="S46" s="847">
        <v>41</v>
      </c>
      <c r="T46" s="850">
        <v>171.68900227546672</v>
      </c>
      <c r="U46" s="851">
        <v>261.21399689000003</v>
      </c>
      <c r="V46" s="852"/>
    </row>
    <row r="47" spans="1:22" ht="11.25" customHeight="1">
      <c r="A47" s="92"/>
      <c r="B47" s="91"/>
      <c r="C47" s="91"/>
      <c r="D47" s="91"/>
      <c r="E47" s="91"/>
      <c r="F47" s="91"/>
      <c r="G47" s="91"/>
      <c r="H47" s="91"/>
      <c r="I47" s="91"/>
      <c r="J47" s="14"/>
      <c r="K47" s="14"/>
      <c r="L47" s="14"/>
      <c r="N47" s="847">
        <v>42</v>
      </c>
      <c r="O47" s="848">
        <v>100.1760025</v>
      </c>
      <c r="P47" s="848">
        <v>95.908996579999993</v>
      </c>
      <c r="Q47" s="849"/>
      <c r="R47" s="853"/>
      <c r="S47" s="847">
        <v>42</v>
      </c>
      <c r="T47" s="850">
        <v>165.69499874400003</v>
      </c>
      <c r="U47" s="851">
        <v>255.58900451</v>
      </c>
      <c r="V47" s="852"/>
    </row>
    <row r="48" spans="1:22" ht="11.25" customHeight="1">
      <c r="A48" s="92"/>
      <c r="B48" s="91"/>
      <c r="C48" s="91"/>
      <c r="D48" s="91"/>
      <c r="E48" s="91"/>
      <c r="F48" s="91"/>
      <c r="G48" s="91"/>
      <c r="H48" s="91"/>
      <c r="I48" s="91"/>
      <c r="J48" s="14"/>
      <c r="K48" s="14"/>
      <c r="L48" s="14"/>
      <c r="N48" s="847">
        <v>43</v>
      </c>
      <c r="O48" s="848">
        <v>89.581001279999995</v>
      </c>
      <c r="P48" s="848">
        <v>83.341003420000007</v>
      </c>
      <c r="Q48" s="849"/>
      <c r="R48" s="853"/>
      <c r="S48" s="847">
        <v>43</v>
      </c>
      <c r="T48" s="850">
        <v>160.397996525</v>
      </c>
      <c r="U48" s="851">
        <v>249.85500335</v>
      </c>
      <c r="V48" s="852"/>
    </row>
    <row r="49" spans="1:22" ht="11.25" customHeight="1">
      <c r="A49" s="92"/>
      <c r="B49" s="91"/>
      <c r="C49" s="91"/>
      <c r="D49" s="91"/>
      <c r="E49" s="91"/>
      <c r="F49" s="91"/>
      <c r="G49" s="91"/>
      <c r="H49" s="91"/>
      <c r="I49" s="91"/>
      <c r="J49" s="14"/>
      <c r="K49" s="14"/>
      <c r="L49" s="14"/>
      <c r="N49" s="847">
        <v>44</v>
      </c>
      <c r="O49" s="848">
        <v>75.156997680000003</v>
      </c>
      <c r="P49" s="848">
        <v>75.16</v>
      </c>
      <c r="Q49" s="849"/>
      <c r="R49" s="853"/>
      <c r="S49" s="847">
        <v>44</v>
      </c>
      <c r="T49" s="850">
        <v>154.79199918699999</v>
      </c>
      <c r="U49" s="851">
        <v>242.79000000000002</v>
      </c>
      <c r="V49" s="852"/>
    </row>
    <row r="50" spans="1:22" ht="12.75">
      <c r="A50" s="92"/>
      <c r="B50" s="91"/>
      <c r="C50" s="91"/>
      <c r="D50" s="91"/>
      <c r="E50" s="91"/>
      <c r="F50" s="91"/>
      <c r="G50" s="91"/>
      <c r="H50" s="91"/>
      <c r="I50" s="91"/>
      <c r="J50" s="14"/>
      <c r="K50" s="14"/>
      <c r="L50" s="14"/>
      <c r="N50" s="847">
        <v>45</v>
      </c>
      <c r="O50" s="848">
        <v>61.2140007</v>
      </c>
      <c r="P50" s="848">
        <v>65.149002080000002</v>
      </c>
      <c r="Q50" s="849"/>
      <c r="R50" s="853"/>
      <c r="S50" s="847">
        <v>45</v>
      </c>
      <c r="T50" s="850">
        <v>149.715000041</v>
      </c>
      <c r="U50" s="851">
        <v>235.60499572000001</v>
      </c>
      <c r="V50" s="852"/>
    </row>
    <row r="51" spans="1:22" ht="12.75">
      <c r="A51" s="92"/>
      <c r="B51" s="91"/>
      <c r="C51" s="91"/>
      <c r="D51" s="91"/>
      <c r="E51" s="91"/>
      <c r="F51" s="91"/>
      <c r="G51" s="91"/>
      <c r="H51" s="91"/>
      <c r="I51" s="91"/>
      <c r="J51" s="14"/>
      <c r="K51" s="14"/>
      <c r="L51" s="14"/>
      <c r="N51" s="847">
        <v>46</v>
      </c>
      <c r="O51" s="848">
        <v>43.990001679999999</v>
      </c>
      <c r="P51" s="848">
        <v>47.749000549999998</v>
      </c>
      <c r="Q51" s="849"/>
      <c r="R51" s="853"/>
      <c r="S51" s="847">
        <v>46</v>
      </c>
      <c r="T51" s="850">
        <v>144.11800040400001</v>
      </c>
      <c r="U51" s="851">
        <v>230.54900361099999</v>
      </c>
      <c r="V51" s="852"/>
    </row>
    <row r="52" spans="1:22" ht="12.75">
      <c r="A52" s="92"/>
      <c r="B52" s="91"/>
      <c r="C52" s="91"/>
      <c r="D52" s="91"/>
      <c r="E52" s="91"/>
      <c r="F52" s="91"/>
      <c r="G52" s="91"/>
      <c r="H52" s="91"/>
      <c r="I52" s="91"/>
      <c r="J52" s="14"/>
      <c r="K52" s="14"/>
      <c r="L52" s="14"/>
      <c r="N52" s="847">
        <v>47</v>
      </c>
      <c r="O52" s="848">
        <v>25.781999590000002</v>
      </c>
      <c r="P52" s="848">
        <v>34.763999939999998</v>
      </c>
      <c r="Q52" s="849"/>
      <c r="R52" s="853"/>
      <c r="S52" s="847">
        <v>47</v>
      </c>
      <c r="T52" s="850">
        <v>138.82499813000001</v>
      </c>
      <c r="U52" s="851">
        <v>223.60000467499998</v>
      </c>
      <c r="V52" s="852"/>
    </row>
    <row r="53" spans="1:22" ht="12.75">
      <c r="A53" s="92"/>
      <c r="B53" s="91"/>
      <c r="C53" s="91"/>
      <c r="D53" s="91"/>
      <c r="E53" s="91"/>
      <c r="F53" s="91"/>
      <c r="G53" s="91"/>
      <c r="H53" s="91"/>
      <c r="I53" s="91"/>
      <c r="J53" s="14"/>
      <c r="K53" s="14"/>
      <c r="L53" s="14"/>
      <c r="N53" s="847">
        <v>48</v>
      </c>
      <c r="O53" s="848">
        <v>29.344999309999999</v>
      </c>
      <c r="P53" s="848">
        <v>13.618000029999999</v>
      </c>
      <c r="Q53" s="849"/>
      <c r="R53" s="853"/>
      <c r="S53" s="847">
        <v>48</v>
      </c>
      <c r="T53" s="850">
        <v>133.112998957</v>
      </c>
      <c r="U53" s="851">
        <v>217.17600035300001</v>
      </c>
      <c r="V53" s="852"/>
    </row>
    <row r="54" spans="1:22" ht="13.5">
      <c r="A54" s="92"/>
      <c r="B54" s="91"/>
      <c r="C54" s="91"/>
      <c r="D54" s="91"/>
      <c r="E54" s="91"/>
      <c r="F54" s="91"/>
      <c r="G54" s="91"/>
      <c r="H54" s="91"/>
      <c r="I54" s="91"/>
      <c r="J54" s="14"/>
      <c r="K54" s="14"/>
      <c r="L54" s="14"/>
      <c r="N54" s="847">
        <v>49</v>
      </c>
      <c r="O54" s="856">
        <v>34.763999939999998</v>
      </c>
      <c r="P54" s="848">
        <v>8.5520000459999999</v>
      </c>
      <c r="Q54" s="849"/>
      <c r="R54" s="853"/>
      <c r="S54" s="847">
        <v>49</v>
      </c>
      <c r="T54" s="850">
        <v>128.370002666</v>
      </c>
      <c r="U54" s="851">
        <v>210.45100211699997</v>
      </c>
      <c r="V54" s="852"/>
    </row>
    <row r="55" spans="1:22" ht="12.75">
      <c r="A55" s="92"/>
      <c r="B55" s="91"/>
      <c r="C55" s="91"/>
      <c r="D55" s="91"/>
      <c r="E55" s="91"/>
      <c r="F55" s="91"/>
      <c r="G55" s="91"/>
      <c r="H55" s="91"/>
      <c r="I55" s="91"/>
      <c r="J55" s="14"/>
      <c r="K55" s="14"/>
      <c r="L55" s="14"/>
      <c r="N55" s="847">
        <v>50</v>
      </c>
      <c r="O55" s="848">
        <v>32.948001859999998</v>
      </c>
      <c r="P55" s="848">
        <v>13.618000029999999</v>
      </c>
      <c r="Q55" s="849"/>
      <c r="R55" s="853"/>
      <c r="S55" s="847">
        <v>50</v>
      </c>
      <c r="T55" s="850">
        <v>122.71499820000001</v>
      </c>
      <c r="U55" s="851">
        <v>203.37099885499998</v>
      </c>
      <c r="V55" s="852"/>
    </row>
    <row r="56" spans="1:22" ht="12.75">
      <c r="A56" s="92"/>
      <c r="B56" s="91"/>
      <c r="C56" s="91"/>
      <c r="D56" s="91"/>
      <c r="E56" s="91"/>
      <c r="F56" s="91"/>
      <c r="G56" s="91"/>
      <c r="H56" s="91"/>
      <c r="I56" s="91"/>
      <c r="J56" s="14"/>
      <c r="K56" s="14"/>
      <c r="L56" s="14"/>
      <c r="N56" s="847">
        <v>51</v>
      </c>
      <c r="O56" s="848">
        <v>25.781999590000002</v>
      </c>
      <c r="P56" s="848">
        <v>18.771999359999999</v>
      </c>
      <c r="Q56" s="849"/>
      <c r="R56" s="853"/>
      <c r="S56" s="847">
        <v>51</v>
      </c>
      <c r="T56" s="850">
        <v>120.15600296300001</v>
      </c>
      <c r="U56" s="851">
        <v>202.35899971500001</v>
      </c>
      <c r="V56" s="852"/>
    </row>
    <row r="57" spans="1:22" ht="12.75">
      <c r="A57" s="92"/>
      <c r="B57" s="91"/>
      <c r="C57" s="91"/>
      <c r="D57" s="91"/>
      <c r="E57" s="91"/>
      <c r="F57" s="91"/>
      <c r="G57" s="91"/>
      <c r="H57" s="91"/>
      <c r="I57" s="91"/>
      <c r="N57" s="847">
        <v>52</v>
      </c>
      <c r="O57" s="848">
        <v>22.256999969999999</v>
      </c>
      <c r="P57" s="848">
        <v>25.781999590000002</v>
      </c>
      <c r="Q57" s="849"/>
      <c r="R57" s="853"/>
      <c r="S57" s="847">
        <v>52</v>
      </c>
      <c r="T57" s="850">
        <v>116.12899696700001</v>
      </c>
      <c r="U57" s="851">
        <v>201.25199794899999</v>
      </c>
      <c r="V57" s="852"/>
    </row>
    <row r="58" spans="1:22" ht="12.75">
      <c r="A58" s="92"/>
      <c r="B58" s="91"/>
      <c r="C58" s="91"/>
      <c r="D58" s="91"/>
      <c r="E58" s="91"/>
      <c r="F58" s="91"/>
      <c r="G58" s="91"/>
      <c r="H58" s="91"/>
      <c r="I58" s="91"/>
      <c r="N58" s="847">
        <v>53</v>
      </c>
      <c r="O58" s="853"/>
      <c r="P58" s="853"/>
      <c r="Q58" s="853"/>
      <c r="R58" s="853"/>
      <c r="S58" s="847">
        <v>53</v>
      </c>
      <c r="T58" s="850"/>
      <c r="U58" s="851"/>
      <c r="V58" s="852"/>
    </row>
    <row r="59" spans="1:22" ht="12.75">
      <c r="B59" s="91"/>
      <c r="C59" s="91"/>
      <c r="D59" s="91"/>
      <c r="E59" s="91"/>
      <c r="F59" s="91"/>
      <c r="G59" s="91"/>
      <c r="H59" s="91"/>
      <c r="I59" s="91"/>
      <c r="N59" s="844"/>
      <c r="O59" s="844"/>
      <c r="P59" s="844"/>
      <c r="Q59" s="844"/>
      <c r="R59" s="844"/>
      <c r="S59" s="844"/>
      <c r="T59" s="844"/>
      <c r="U59" s="844"/>
      <c r="V59" s="844"/>
    </row>
    <row r="60" spans="1:22" ht="12.75">
      <c r="A60" s="92"/>
      <c r="B60" s="91"/>
      <c r="C60" s="91"/>
      <c r="D60" s="91"/>
      <c r="E60" s="91"/>
      <c r="F60" s="91"/>
      <c r="G60" s="91"/>
      <c r="H60" s="91"/>
      <c r="I60" s="91"/>
    </row>
    <row r="63" spans="1:22">
      <c r="A63" s="417" t="s">
        <v>552</v>
      </c>
    </row>
  </sheetData>
  <mergeCells count="2">
    <mergeCell ref="A5:I5"/>
    <mergeCell ref="B7:C7"/>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36"/>
  <sheetViews>
    <sheetView showGridLines="0" view="pageBreakPreview" topLeftCell="H102" zoomScale="130" zoomScaleNormal="100" zoomScaleSheetLayoutView="130" zoomScalePageLayoutView="130" workbookViewId="0">
      <selection activeCell="R31" sqref="R31"/>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531"/>
    <col min="11" max="11" width="9.33203125" style="838"/>
    <col min="12" max="12" width="3.1640625" style="839" bestFit="1" customWidth="1"/>
    <col min="13" max="21" width="9.33203125" style="838"/>
    <col min="22" max="16384" width="9.33203125" style="3"/>
  </cols>
  <sheetData>
    <row r="1" spans="1:15" ht="11.25" customHeight="1"/>
    <row r="2" spans="1:15" ht="11.25" customHeight="1">
      <c r="A2" s="25"/>
      <c r="B2" s="25"/>
      <c r="C2" s="25"/>
      <c r="D2" s="25"/>
      <c r="E2" s="91"/>
      <c r="F2" s="91"/>
      <c r="G2" s="91"/>
    </row>
    <row r="3" spans="1:15" ht="17.25" customHeight="1">
      <c r="A3" s="937" t="s">
        <v>496</v>
      </c>
      <c r="B3" s="937"/>
      <c r="C3" s="937"/>
      <c r="D3" s="937"/>
      <c r="E3" s="937"/>
      <c r="F3" s="937"/>
      <c r="G3" s="937"/>
      <c r="H3" s="45"/>
      <c r="I3" s="45"/>
      <c r="K3" s="838" t="s">
        <v>302</v>
      </c>
      <c r="M3" s="838" t="s">
        <v>303</v>
      </c>
      <c r="N3" s="838" t="s">
        <v>304</v>
      </c>
      <c r="O3" s="838" t="s">
        <v>305</v>
      </c>
    </row>
    <row r="4" spans="1:15" ht="11.25" customHeight="1">
      <c r="A4" s="92"/>
      <c r="B4" s="91"/>
      <c r="C4" s="91"/>
      <c r="D4" s="91"/>
      <c r="E4" s="91"/>
      <c r="F4" s="91"/>
      <c r="G4" s="91"/>
      <c r="H4" s="45"/>
      <c r="I4" s="45"/>
      <c r="J4" s="531">
        <v>2016</v>
      </c>
      <c r="K4" s="838">
        <v>1</v>
      </c>
      <c r="L4" s="839">
        <v>1</v>
      </c>
      <c r="M4" s="840">
        <v>40.61</v>
      </c>
      <c r="N4" s="840">
        <v>96.75</v>
      </c>
      <c r="O4" s="840">
        <v>16.37</v>
      </c>
    </row>
    <row r="5" spans="1:15" ht="11.25" customHeight="1">
      <c r="A5" s="92"/>
      <c r="B5" s="91"/>
      <c r="C5" s="91"/>
      <c r="D5" s="91"/>
      <c r="E5" s="91"/>
      <c r="F5" s="91"/>
      <c r="G5" s="91"/>
      <c r="H5" s="16"/>
      <c r="I5" s="16"/>
      <c r="L5" s="839">
        <v>2</v>
      </c>
      <c r="M5" s="840">
        <v>29.82</v>
      </c>
      <c r="N5" s="840">
        <v>76.510000000000005</v>
      </c>
      <c r="O5" s="840">
        <v>15.9</v>
      </c>
    </row>
    <row r="6" spans="1:15" ht="29.25" customHeight="1">
      <c r="A6" s="157"/>
      <c r="C6" s="216" t="s">
        <v>156</v>
      </c>
      <c r="D6" s="230" t="str">
        <f>UPPER('1. Resumen'!Q4)&amp;"
 "&amp;'1. Resumen'!Q5</f>
        <v>JUNIO
 2018</v>
      </c>
      <c r="E6" s="231" t="str">
        <f>UPPER('1. Resumen'!Q4)&amp;"
 "&amp;'1. Resumen'!Q5-1</f>
        <v>JUNIO
 2017</v>
      </c>
      <c r="F6" s="232" t="s">
        <v>134</v>
      </c>
      <c r="G6" s="159"/>
      <c r="H6" s="31"/>
      <c r="I6" s="16"/>
      <c r="L6" s="839">
        <v>3</v>
      </c>
      <c r="M6" s="840">
        <v>27.06</v>
      </c>
      <c r="N6" s="840">
        <v>80.096000000000004</v>
      </c>
      <c r="O6" s="840">
        <v>29.21</v>
      </c>
    </row>
    <row r="7" spans="1:15" ht="11.25" customHeight="1">
      <c r="A7" s="233"/>
      <c r="C7" s="239" t="s">
        <v>157</v>
      </c>
      <c r="D7" s="234">
        <v>8.7519998549999993</v>
      </c>
      <c r="E7" s="234">
        <v>10.90576665</v>
      </c>
      <c r="F7" s="235">
        <f>IF(E7=0,"",(D7-E7)/E7)</f>
        <v>-0.19748880240345149</v>
      </c>
      <c r="G7" s="159"/>
      <c r="H7" s="32"/>
      <c r="I7" s="5"/>
      <c r="K7" s="838">
        <v>4</v>
      </c>
      <c r="L7" s="839">
        <v>4</v>
      </c>
      <c r="M7" s="840">
        <v>27.93</v>
      </c>
      <c r="N7" s="840">
        <v>77.09</v>
      </c>
      <c r="O7" s="840">
        <v>20.7</v>
      </c>
    </row>
    <row r="8" spans="1:15" ht="11.25" customHeight="1">
      <c r="A8" s="233"/>
      <c r="C8" s="238" t="s">
        <v>163</v>
      </c>
      <c r="D8" s="236">
        <v>10.475000380000001</v>
      </c>
      <c r="E8" s="236">
        <v>11.30426671</v>
      </c>
      <c r="F8" s="237">
        <f t="shared" ref="F8:F30" si="0">IF(E8=0,"",(D8-E8)/E8)</f>
        <v>-7.3358701742804094E-2</v>
      </c>
      <c r="G8" s="159"/>
      <c r="H8" s="30"/>
      <c r="I8" s="5"/>
      <c r="L8" s="839">
        <v>5</v>
      </c>
      <c r="M8" s="840">
        <v>49.585999999999999</v>
      </c>
      <c r="N8" s="840">
        <v>140.12</v>
      </c>
      <c r="O8" s="840">
        <v>74.02</v>
      </c>
    </row>
    <row r="9" spans="1:15" ht="11.25" customHeight="1">
      <c r="A9" s="233"/>
      <c r="C9" s="239" t="s">
        <v>164</v>
      </c>
      <c r="D9" s="234">
        <v>34.541999820000001</v>
      </c>
      <c r="E9" s="234">
        <v>51.688732909999999</v>
      </c>
      <c r="F9" s="235">
        <f t="shared" si="0"/>
        <v>-0.33173057501439918</v>
      </c>
      <c r="G9" s="159"/>
      <c r="H9" s="32"/>
      <c r="I9" s="5"/>
      <c r="L9" s="839">
        <v>6</v>
      </c>
      <c r="M9" s="840">
        <v>57</v>
      </c>
      <c r="N9" s="840">
        <v>144.66999999999999</v>
      </c>
      <c r="O9" s="840">
        <v>78.08</v>
      </c>
    </row>
    <row r="10" spans="1:15" ht="11.25" customHeight="1">
      <c r="A10" s="233"/>
      <c r="C10" s="238" t="s">
        <v>171</v>
      </c>
      <c r="D10" s="236">
        <v>26.69199944</v>
      </c>
      <c r="E10" s="236">
        <v>44.23033307</v>
      </c>
      <c r="F10" s="237">
        <f t="shared" si="0"/>
        <v>-0.39652275740821141</v>
      </c>
      <c r="G10" s="159"/>
      <c r="H10" s="32"/>
      <c r="I10" s="5"/>
      <c r="L10" s="839">
        <v>7</v>
      </c>
      <c r="M10" s="840">
        <v>52.31</v>
      </c>
      <c r="N10" s="840">
        <v>117.32</v>
      </c>
      <c r="O10" s="840">
        <v>41.34</v>
      </c>
    </row>
    <row r="11" spans="1:15" ht="11.25" customHeight="1">
      <c r="A11" s="233"/>
      <c r="C11" s="239" t="s">
        <v>172</v>
      </c>
      <c r="D11" s="234">
        <v>12.99400043</v>
      </c>
      <c r="E11" s="234">
        <v>27.95589975</v>
      </c>
      <c r="F11" s="235">
        <f t="shared" si="0"/>
        <v>-0.53519648638745743</v>
      </c>
      <c r="G11" s="159"/>
      <c r="H11" s="32"/>
      <c r="I11" s="5"/>
      <c r="K11" s="838">
        <v>8</v>
      </c>
      <c r="L11" s="839">
        <v>8</v>
      </c>
      <c r="M11" s="840">
        <v>57.96</v>
      </c>
      <c r="N11" s="840">
        <v>140.31</v>
      </c>
      <c r="O11" s="840">
        <v>96.52</v>
      </c>
    </row>
    <row r="12" spans="1:15" ht="11.25" customHeight="1">
      <c r="A12" s="233"/>
      <c r="C12" s="238" t="s">
        <v>174</v>
      </c>
      <c r="D12" s="236">
        <v>6.6170001029999996</v>
      </c>
      <c r="E12" s="236">
        <v>17.813999809999999</v>
      </c>
      <c r="F12" s="237">
        <f t="shared" si="0"/>
        <v>-0.62855056845316093</v>
      </c>
      <c r="G12" s="159"/>
      <c r="H12" s="32"/>
      <c r="I12" s="5"/>
      <c r="L12" s="839">
        <v>9</v>
      </c>
      <c r="M12" s="840">
        <v>100.51885660000001</v>
      </c>
      <c r="N12" s="840">
        <v>268.94750210000001</v>
      </c>
      <c r="O12" s="840">
        <v>150.104332</v>
      </c>
    </row>
    <row r="13" spans="1:15" ht="11.25" customHeight="1">
      <c r="A13" s="233"/>
      <c r="C13" s="239" t="s">
        <v>162</v>
      </c>
      <c r="D13" s="234">
        <v>19.671527777777779</v>
      </c>
      <c r="E13" s="234">
        <v>24.029</v>
      </c>
      <c r="F13" s="235">
        <f t="shared" si="0"/>
        <v>-0.18134222074252865</v>
      </c>
      <c r="G13" s="159"/>
      <c r="H13" s="30"/>
      <c r="I13" s="5"/>
      <c r="L13" s="839">
        <v>10</v>
      </c>
      <c r="M13" s="840">
        <v>75.15657152448378</v>
      </c>
      <c r="N13" s="840">
        <v>243.71150207519463</v>
      </c>
      <c r="O13" s="840">
        <v>181.79733530680286</v>
      </c>
    </row>
    <row r="14" spans="1:15" ht="11.25" customHeight="1">
      <c r="A14" s="233"/>
      <c r="C14" s="238" t="s">
        <v>293</v>
      </c>
      <c r="D14" s="236">
        <v>24.248050689999999</v>
      </c>
      <c r="E14" s="236">
        <v>20.993527539999999</v>
      </c>
      <c r="F14" s="237">
        <f t="shared" si="0"/>
        <v>0.15502507350415493</v>
      </c>
      <c r="G14" s="159"/>
      <c r="H14" s="32"/>
      <c r="I14" s="5"/>
      <c r="L14" s="839">
        <v>11</v>
      </c>
      <c r="M14" s="840">
        <v>52.24</v>
      </c>
      <c r="N14" s="840">
        <v>154.21</v>
      </c>
      <c r="O14" s="840">
        <v>79.12</v>
      </c>
    </row>
    <row r="15" spans="1:15" ht="11.25" customHeight="1">
      <c r="A15" s="233"/>
      <c r="C15" s="239" t="s">
        <v>294</v>
      </c>
      <c r="D15" s="234">
        <v>41.674999239999998</v>
      </c>
      <c r="E15" s="234">
        <v>45.817833200000003</v>
      </c>
      <c r="F15" s="235">
        <f t="shared" si="0"/>
        <v>-9.0419683137700282E-2</v>
      </c>
      <c r="G15" s="159"/>
      <c r="H15" s="32"/>
      <c r="I15" s="5"/>
      <c r="K15" s="838">
        <v>12</v>
      </c>
      <c r="L15" s="839">
        <v>12</v>
      </c>
      <c r="M15" s="840">
        <v>44.628571101597331</v>
      </c>
      <c r="N15" s="840">
        <v>116.62271445138057</v>
      </c>
      <c r="O15" s="840">
        <v>41.373285293579045</v>
      </c>
    </row>
    <row r="16" spans="1:15" ht="11.25" customHeight="1">
      <c r="A16" s="233"/>
      <c r="C16" s="238" t="s">
        <v>169</v>
      </c>
      <c r="D16" s="236">
        <v>13.56700039</v>
      </c>
      <c r="E16" s="236">
        <v>26.436966640000001</v>
      </c>
      <c r="F16" s="237">
        <f t="shared" si="0"/>
        <v>-0.48681705527166336</v>
      </c>
      <c r="G16" s="159"/>
      <c r="H16" s="32"/>
      <c r="I16" s="5"/>
      <c r="L16" s="839">
        <v>13</v>
      </c>
      <c r="M16" s="840">
        <v>42.599998474121001</v>
      </c>
      <c r="N16" s="840">
        <v>120.78800201416</v>
      </c>
      <c r="O16" s="840">
        <v>93.665000915527301</v>
      </c>
    </row>
    <row r="17" spans="1:15" ht="11.25" customHeight="1">
      <c r="A17" s="233"/>
      <c r="C17" s="239" t="s">
        <v>173</v>
      </c>
      <c r="D17" s="234">
        <v>9.1999998089999995</v>
      </c>
      <c r="E17" s="234">
        <v>13.15356671</v>
      </c>
      <c r="F17" s="235">
        <f t="shared" si="0"/>
        <v>-0.30056995096199274</v>
      </c>
      <c r="G17" s="159"/>
      <c r="H17" s="32"/>
      <c r="I17" s="5"/>
      <c r="L17" s="839">
        <v>14</v>
      </c>
      <c r="M17" s="840">
        <v>49.743000030517535</v>
      </c>
      <c r="N17" s="840">
        <v>125.66285814557708</v>
      </c>
      <c r="O17" s="840">
        <v>131.74585723876913</v>
      </c>
    </row>
    <row r="18" spans="1:15" ht="11.25" customHeight="1">
      <c r="A18" s="233"/>
      <c r="C18" s="238" t="s">
        <v>295</v>
      </c>
      <c r="D18" s="236">
        <v>12.58312988</v>
      </c>
      <c r="E18" s="236">
        <v>11.001666699999999</v>
      </c>
      <c r="F18" s="237">
        <f t="shared" si="0"/>
        <v>0.14374759962506409</v>
      </c>
      <c r="G18" s="159"/>
      <c r="H18" s="32"/>
      <c r="I18" s="5"/>
      <c r="L18" s="839">
        <v>15</v>
      </c>
      <c r="M18" s="840">
        <v>54.414285387311615</v>
      </c>
      <c r="N18" s="840">
        <v>127.68985639299636</v>
      </c>
      <c r="O18" s="840">
        <v>71.706143515450577</v>
      </c>
    </row>
    <row r="19" spans="1:15" ht="11.25" customHeight="1">
      <c r="A19" s="233"/>
      <c r="C19" s="239" t="s">
        <v>296</v>
      </c>
      <c r="D19" s="234">
        <v>17.516774611111117</v>
      </c>
      <c r="E19" s="234">
        <v>22.074999999999999</v>
      </c>
      <c r="F19" s="235">
        <f t="shared" si="0"/>
        <v>-0.20648812633698221</v>
      </c>
      <c r="G19" s="159"/>
      <c r="H19" s="32"/>
      <c r="I19" s="5"/>
      <c r="K19" s="838">
        <v>16</v>
      </c>
      <c r="L19" s="839">
        <v>16</v>
      </c>
      <c r="M19" s="840">
        <v>47.73</v>
      </c>
      <c r="N19" s="840">
        <v>97.4</v>
      </c>
      <c r="O19" s="840">
        <v>53.49</v>
      </c>
    </row>
    <row r="20" spans="1:15" ht="11.25" customHeight="1">
      <c r="A20" s="233"/>
      <c r="C20" s="238" t="s">
        <v>297</v>
      </c>
      <c r="D20" s="236">
        <v>1.442999959</v>
      </c>
      <c r="E20" s="236">
        <v>0.75019999199999998</v>
      </c>
      <c r="F20" s="237">
        <f t="shared" si="0"/>
        <v>0.92348703597426862</v>
      </c>
      <c r="G20" s="159"/>
      <c r="H20" s="32"/>
      <c r="I20" s="5"/>
      <c r="L20" s="839">
        <v>17</v>
      </c>
      <c r="M20" s="840">
        <v>42.142857687813873</v>
      </c>
      <c r="N20" s="840">
        <v>85.487143380301248</v>
      </c>
      <c r="O20" s="840">
        <v>51.424428122384178</v>
      </c>
    </row>
    <row r="21" spans="1:15" ht="11.25" customHeight="1">
      <c r="A21" s="233"/>
      <c r="C21" s="239" t="s">
        <v>160</v>
      </c>
      <c r="D21" s="234">
        <v>90.853996280000004</v>
      </c>
      <c r="E21" s="234">
        <v>142.50263340000001</v>
      </c>
      <c r="F21" s="235">
        <f t="shared" si="0"/>
        <v>-0.36243987839174907</v>
      </c>
      <c r="G21" s="159"/>
      <c r="H21" s="32"/>
      <c r="I21" s="5"/>
      <c r="L21" s="839">
        <v>18</v>
      </c>
      <c r="M21" s="840">
        <v>27.452428545270582</v>
      </c>
      <c r="N21" s="840">
        <v>62.369998931884716</v>
      </c>
      <c r="O21" s="840">
        <v>34.353571755545424</v>
      </c>
    </row>
    <row r="22" spans="1:15" ht="11.25" customHeight="1">
      <c r="A22" s="233"/>
      <c r="C22" s="238" t="s">
        <v>158</v>
      </c>
      <c r="D22" s="236">
        <v>0.93000000699999996</v>
      </c>
      <c r="E22" s="236">
        <v>0</v>
      </c>
      <c r="F22" s="237" t="str">
        <f t="shared" si="0"/>
        <v/>
      </c>
      <c r="G22" s="159"/>
      <c r="H22" s="32"/>
      <c r="I22" s="5"/>
      <c r="L22" s="839">
        <v>19</v>
      </c>
      <c r="M22" s="840">
        <v>21.857142584664455</v>
      </c>
      <c r="N22" s="840">
        <v>58.684285300118525</v>
      </c>
      <c r="O22" s="840">
        <v>29.207143238612552</v>
      </c>
    </row>
    <row r="23" spans="1:15" ht="11.25" customHeight="1">
      <c r="A23" s="233"/>
      <c r="C23" s="239" t="s">
        <v>159</v>
      </c>
      <c r="D23" s="234">
        <v>26.368999479999999</v>
      </c>
      <c r="E23" s="234">
        <v>48.342132700000001</v>
      </c>
      <c r="F23" s="235">
        <f t="shared" si="0"/>
        <v>-0.45453379883672368</v>
      </c>
      <c r="G23" s="159"/>
      <c r="H23" s="32"/>
      <c r="I23" s="5"/>
      <c r="K23" s="838">
        <v>20</v>
      </c>
      <c r="L23" s="839">
        <v>20</v>
      </c>
      <c r="M23" s="840">
        <v>19.5</v>
      </c>
      <c r="N23" s="840">
        <v>54</v>
      </c>
      <c r="O23" s="840">
        <v>22.1</v>
      </c>
    </row>
    <row r="24" spans="1:15" ht="11.25" customHeight="1">
      <c r="A24" s="233"/>
      <c r="C24" s="238" t="s">
        <v>175</v>
      </c>
      <c r="D24" s="236">
        <v>0</v>
      </c>
      <c r="E24" s="236">
        <v>15.516999930000001</v>
      </c>
      <c r="F24" s="237">
        <f t="shared" si="0"/>
        <v>-1</v>
      </c>
      <c r="G24" s="159"/>
      <c r="H24" s="33"/>
      <c r="I24" s="5"/>
      <c r="L24" s="839">
        <v>21</v>
      </c>
      <c r="M24" s="840">
        <v>19.485713958740185</v>
      </c>
      <c r="N24" s="840">
        <v>50.756999969482365</v>
      </c>
      <c r="O24" s="840">
        <v>17.473428726196214</v>
      </c>
    </row>
    <row r="25" spans="1:15" ht="11.25" customHeight="1">
      <c r="A25" s="240"/>
      <c r="C25" s="239" t="s">
        <v>165</v>
      </c>
      <c r="D25" s="234">
        <v>5.0809998509999996</v>
      </c>
      <c r="E25" s="234">
        <v>0</v>
      </c>
      <c r="F25" s="235" t="str">
        <f t="shared" si="0"/>
        <v/>
      </c>
      <c r="G25" s="201"/>
      <c r="H25" s="32"/>
      <c r="I25" s="5"/>
      <c r="L25" s="839">
        <v>22</v>
      </c>
      <c r="M25" s="840">
        <v>16.329999999999998</v>
      </c>
      <c r="N25" s="840">
        <v>46.59</v>
      </c>
      <c r="O25" s="840">
        <v>17.04</v>
      </c>
    </row>
    <row r="26" spans="1:15" ht="11.25" customHeight="1">
      <c r="A26" s="241"/>
      <c r="C26" s="238" t="s">
        <v>166</v>
      </c>
      <c r="D26" s="236">
        <v>5.8839998250000001</v>
      </c>
      <c r="E26" s="236">
        <v>0.86703333299999996</v>
      </c>
      <c r="F26" s="237">
        <f t="shared" si="0"/>
        <v>5.7863594178564295</v>
      </c>
      <c r="G26" s="159"/>
      <c r="H26" s="30"/>
      <c r="I26" s="5"/>
      <c r="L26" s="839">
        <v>23</v>
      </c>
      <c r="M26" s="840">
        <v>15.18</v>
      </c>
      <c r="N26" s="840">
        <v>40.29</v>
      </c>
      <c r="O26" s="840">
        <v>22.12</v>
      </c>
    </row>
    <row r="27" spans="1:15" ht="11.25" customHeight="1">
      <c r="A27" s="159"/>
      <c r="C27" s="239" t="s">
        <v>167</v>
      </c>
      <c r="D27" s="234">
        <v>1</v>
      </c>
      <c r="E27" s="234">
        <v>5.1333330000000003E-3</v>
      </c>
      <c r="F27" s="235">
        <f t="shared" si="0"/>
        <v>193.8052074548836</v>
      </c>
      <c r="G27" s="159"/>
      <c r="H27" s="30"/>
      <c r="I27" s="5"/>
      <c r="K27" s="838">
        <v>24</v>
      </c>
      <c r="L27" s="839">
        <v>24</v>
      </c>
      <c r="M27" s="840">
        <v>15.1</v>
      </c>
      <c r="N27" s="840">
        <v>35.630000000000003</v>
      </c>
      <c r="O27" s="840">
        <v>13.87</v>
      </c>
    </row>
    <row r="28" spans="1:15" ht="11.25" customHeight="1">
      <c r="A28" s="159"/>
      <c r="C28" s="238" t="s">
        <v>168</v>
      </c>
      <c r="D28" s="236">
        <v>0</v>
      </c>
      <c r="E28" s="236">
        <v>0</v>
      </c>
      <c r="F28" s="237" t="str">
        <f t="shared" si="0"/>
        <v/>
      </c>
      <c r="G28" s="159"/>
      <c r="H28" s="30"/>
      <c r="I28" s="5"/>
      <c r="L28" s="839">
        <v>25</v>
      </c>
      <c r="M28" s="840">
        <v>18.016999930000001</v>
      </c>
      <c r="N28" s="840">
        <v>34.608428410000002</v>
      </c>
      <c r="O28" s="840">
        <v>10.78285721</v>
      </c>
    </row>
    <row r="29" spans="1:15" ht="11.25" customHeight="1">
      <c r="A29" s="201"/>
      <c r="C29" s="239" t="s">
        <v>170</v>
      </c>
      <c r="D29" s="234">
        <v>1.2999999520000001</v>
      </c>
      <c r="E29" s="234">
        <v>2.889681999</v>
      </c>
      <c r="F29" s="235">
        <f t="shared" si="0"/>
        <v>-0.5501235248550268</v>
      </c>
      <c r="G29" s="242"/>
      <c r="H29" s="30"/>
      <c r="I29" s="5"/>
      <c r="L29" s="839">
        <v>26</v>
      </c>
      <c r="M29" s="840">
        <v>16.489714209999999</v>
      </c>
      <c r="N29" s="840">
        <v>34.074285510000003</v>
      </c>
      <c r="O29" s="840">
        <v>9.5958572120000003</v>
      </c>
    </row>
    <row r="30" spans="1:15" ht="11.25" customHeight="1">
      <c r="A30" s="241"/>
      <c r="C30" s="243" t="s">
        <v>161</v>
      </c>
      <c r="D30" s="244">
        <v>1</v>
      </c>
      <c r="E30" s="244">
        <v>1.7130000000000001</v>
      </c>
      <c r="F30" s="245">
        <f t="shared" si="0"/>
        <v>-0.41622883829538826</v>
      </c>
      <c r="G30" s="159"/>
      <c r="H30" s="32"/>
      <c r="I30" s="5"/>
      <c r="L30" s="839">
        <v>27</v>
      </c>
      <c r="M30" s="840">
        <v>16.199999810000001</v>
      </c>
      <c r="N30" s="840">
        <v>29.599571770000001</v>
      </c>
      <c r="O30" s="840">
        <v>7.8892858370000001</v>
      </c>
    </row>
    <row r="31" spans="1:15" ht="11.25" customHeight="1">
      <c r="A31" s="158"/>
      <c r="C31" s="418" t="str">
        <f>"Cuadro N°10: Promedio de caudales en "&amp;'1. Resumen'!Q4</f>
        <v>Cuadro N°10: Promedio de caudales en junio</v>
      </c>
      <c r="D31" s="158"/>
      <c r="E31" s="158"/>
      <c r="F31" s="158"/>
      <c r="G31" s="158"/>
      <c r="H31" s="32"/>
      <c r="I31" s="8"/>
      <c r="K31" s="838">
        <v>28</v>
      </c>
      <c r="L31" s="839">
        <v>28</v>
      </c>
      <c r="M31" s="840">
        <v>12.016285760000001</v>
      </c>
      <c r="N31" s="840">
        <v>29.3955713</v>
      </c>
      <c r="O31" s="840">
        <v>7.2334286140000001</v>
      </c>
    </row>
    <row r="32" spans="1:15" ht="11.25" customHeight="1">
      <c r="A32" s="158"/>
      <c r="B32" s="158"/>
      <c r="C32" s="158"/>
      <c r="D32" s="158"/>
      <c r="E32" s="158"/>
      <c r="F32" s="158"/>
      <c r="G32" s="158"/>
      <c r="H32" s="32"/>
      <c r="I32" s="8"/>
      <c r="L32" s="839">
        <v>29</v>
      </c>
      <c r="M32" s="840">
        <v>10.423571450000001</v>
      </c>
      <c r="N32" s="840">
        <v>32.468857079999999</v>
      </c>
      <c r="O32" s="840">
        <v>6.729428564</v>
      </c>
    </row>
    <row r="33" spans="1:15" ht="11.25" customHeight="1">
      <c r="A33" s="158"/>
      <c r="B33" s="158"/>
      <c r="C33" s="158"/>
      <c r="D33" s="158"/>
      <c r="E33" s="158"/>
      <c r="F33" s="158"/>
      <c r="G33" s="158"/>
      <c r="H33" s="32"/>
      <c r="I33" s="8"/>
      <c r="L33" s="839">
        <v>30</v>
      </c>
      <c r="M33" s="840">
        <v>10.043285640000001</v>
      </c>
      <c r="N33" s="840">
        <v>32.112285890000003</v>
      </c>
      <c r="O33" s="840">
        <v>5.6338571819999999</v>
      </c>
    </row>
    <row r="34" spans="1:15" ht="11.25" customHeight="1">
      <c r="A34" s="158"/>
      <c r="B34" s="158"/>
      <c r="C34" s="158"/>
      <c r="D34" s="158"/>
      <c r="E34" s="158"/>
      <c r="F34" s="158"/>
      <c r="G34" s="158"/>
      <c r="H34" s="32"/>
      <c r="I34" s="8"/>
      <c r="L34" s="839">
        <v>31</v>
      </c>
      <c r="M34" s="840">
        <v>10.086428642272944</v>
      </c>
      <c r="N34" s="840">
        <v>29.132714407784558</v>
      </c>
      <c r="O34" s="840">
        <v>5.181999887738904</v>
      </c>
    </row>
    <row r="35" spans="1:15" ht="11.25" customHeight="1">
      <c r="A35" s="937" t="s">
        <v>497</v>
      </c>
      <c r="B35" s="937"/>
      <c r="C35" s="937"/>
      <c r="D35" s="937"/>
      <c r="E35" s="937"/>
      <c r="F35" s="937"/>
      <c r="G35" s="937"/>
      <c r="H35" s="32"/>
      <c r="I35" s="8"/>
      <c r="K35" s="838">
        <v>32</v>
      </c>
      <c r="L35" s="839">
        <v>32</v>
      </c>
      <c r="M35" s="840">
        <v>12.08228561</v>
      </c>
      <c r="N35" s="840">
        <v>34.150143489999998</v>
      </c>
      <c r="O35" s="840">
        <v>4.8032856669999999</v>
      </c>
    </row>
    <row r="36" spans="1:15" ht="11.25" customHeight="1">
      <c r="A36" s="158"/>
      <c r="B36" s="158"/>
      <c r="C36" s="158"/>
      <c r="D36" s="158"/>
      <c r="E36" s="158"/>
      <c r="F36" s="158"/>
      <c r="G36" s="158"/>
      <c r="H36" s="32"/>
      <c r="I36" s="8"/>
      <c r="L36" s="839">
        <v>33</v>
      </c>
      <c r="M36" s="840">
        <v>11.874000004359614</v>
      </c>
      <c r="N36" s="840">
        <v>35.225571223667643</v>
      </c>
      <c r="O36" s="840">
        <v>4.3821428843906904</v>
      </c>
    </row>
    <row r="37" spans="1:15" ht="11.25" customHeight="1">
      <c r="A37" s="157"/>
      <c r="B37" s="159"/>
      <c r="C37" s="159"/>
      <c r="D37" s="159"/>
      <c r="E37" s="159"/>
      <c r="F37" s="159"/>
      <c r="G37" s="159"/>
      <c r="H37" s="33"/>
      <c r="I37" s="8"/>
      <c r="L37" s="839">
        <v>34</v>
      </c>
      <c r="M37" s="840">
        <v>10.842857090000001</v>
      </c>
      <c r="N37" s="840">
        <v>35.168570930000001</v>
      </c>
      <c r="O37" s="840">
        <v>13.837000059999999</v>
      </c>
    </row>
    <row r="38" spans="1:15" ht="11.25" customHeight="1">
      <c r="A38" s="92"/>
      <c r="B38" s="91"/>
      <c r="C38" s="91"/>
      <c r="D38" s="91"/>
      <c r="E38" s="91"/>
      <c r="F38" s="91"/>
      <c r="G38" s="91"/>
      <c r="H38" s="5"/>
      <c r="I38" s="8"/>
      <c r="L38" s="839">
        <v>35</v>
      </c>
      <c r="M38" s="840">
        <v>10.48142842</v>
      </c>
      <c r="N38" s="840">
        <v>37.824428560000001</v>
      </c>
      <c r="O38" s="840">
        <v>3.922857182</v>
      </c>
    </row>
    <row r="39" spans="1:15" ht="11.25" customHeight="1">
      <c r="A39" s="92"/>
      <c r="B39" s="91"/>
      <c r="C39" s="91"/>
      <c r="D39" s="91"/>
      <c r="E39" s="91"/>
      <c r="F39" s="91"/>
      <c r="G39" s="91"/>
      <c r="H39" s="5"/>
      <c r="I39" s="13"/>
      <c r="K39" s="838">
        <v>36</v>
      </c>
      <c r="L39" s="839">
        <v>36</v>
      </c>
      <c r="M39" s="840">
        <v>11.85</v>
      </c>
      <c r="N39" s="840">
        <v>39.78</v>
      </c>
      <c r="O39" s="840">
        <v>4.9800000000000004</v>
      </c>
    </row>
    <row r="40" spans="1:15" ht="11.25" customHeight="1">
      <c r="A40" s="92"/>
      <c r="B40" s="91"/>
      <c r="C40" s="91"/>
      <c r="D40" s="91"/>
      <c r="E40" s="91"/>
      <c r="F40" s="91"/>
      <c r="G40" s="91"/>
      <c r="H40" s="5"/>
      <c r="I40" s="13"/>
      <c r="L40" s="839">
        <v>37</v>
      </c>
      <c r="M40" s="840">
        <v>12.08</v>
      </c>
      <c r="N40" s="840">
        <v>44.25</v>
      </c>
      <c r="O40" s="840">
        <v>4.92</v>
      </c>
    </row>
    <row r="41" spans="1:15" ht="11.25" customHeight="1">
      <c r="A41" s="92"/>
      <c r="B41" s="91"/>
      <c r="C41" s="91"/>
      <c r="D41" s="91"/>
      <c r="E41" s="91"/>
      <c r="F41" s="91"/>
      <c r="G41" s="91"/>
      <c r="H41" s="5"/>
      <c r="I41" s="9"/>
      <c r="L41" s="839">
        <v>38</v>
      </c>
      <c r="M41" s="840">
        <v>11.88371427</v>
      </c>
      <c r="N41" s="840">
        <v>41.311858039999997</v>
      </c>
      <c r="O41" s="840">
        <v>4.6447142870000002</v>
      </c>
    </row>
    <row r="42" spans="1:15" ht="11.25" customHeight="1">
      <c r="A42" s="92"/>
      <c r="B42" s="91"/>
      <c r="C42" s="91"/>
      <c r="D42" s="91"/>
      <c r="E42" s="91"/>
      <c r="F42" s="91"/>
      <c r="G42" s="91"/>
      <c r="H42" s="5"/>
      <c r="I42" s="9"/>
      <c r="K42" s="838">
        <v>39</v>
      </c>
      <c r="L42" s="839">
        <v>39</v>
      </c>
      <c r="M42" s="840">
        <v>13.06</v>
      </c>
      <c r="N42" s="840">
        <v>41.13</v>
      </c>
      <c r="O42" s="840">
        <v>4.2699999999999996</v>
      </c>
    </row>
    <row r="43" spans="1:15" ht="11.25" customHeight="1">
      <c r="A43" s="92"/>
      <c r="B43" s="91"/>
      <c r="C43" s="91"/>
      <c r="D43" s="91"/>
      <c r="E43" s="91"/>
      <c r="F43" s="91"/>
      <c r="G43" s="91"/>
      <c r="H43" s="5"/>
      <c r="I43" s="9"/>
      <c r="L43" s="839">
        <v>40</v>
      </c>
      <c r="M43" s="840">
        <v>15.945571764285715</v>
      </c>
      <c r="N43" s="840">
        <v>46.466000694285704</v>
      </c>
      <c r="O43" s="840">
        <v>5.3634285927142864</v>
      </c>
    </row>
    <row r="44" spans="1:15" ht="11.25" customHeight="1">
      <c r="A44" s="92"/>
      <c r="B44" s="91"/>
      <c r="C44" s="91"/>
      <c r="D44" s="91"/>
      <c r="E44" s="91"/>
      <c r="F44" s="91"/>
      <c r="G44" s="91"/>
      <c r="H44" s="8"/>
      <c r="I44" s="13"/>
      <c r="L44" s="839">
        <v>41</v>
      </c>
      <c r="M44" s="840">
        <v>15.848856789725129</v>
      </c>
      <c r="N44" s="840">
        <v>37.273714882986837</v>
      </c>
      <c r="O44" s="840">
        <v>6.9682856968470812</v>
      </c>
    </row>
    <row r="45" spans="1:15" ht="11.25" customHeight="1">
      <c r="A45" s="92"/>
      <c r="B45" s="91"/>
      <c r="C45" s="91"/>
      <c r="D45" s="91"/>
      <c r="E45" s="91"/>
      <c r="F45" s="91"/>
      <c r="G45" s="91"/>
      <c r="H45" s="5"/>
      <c r="I45" s="13"/>
      <c r="L45" s="839">
        <v>42</v>
      </c>
      <c r="M45" s="840">
        <v>15.549142972857144</v>
      </c>
      <c r="N45" s="840">
        <v>48.572000228571433</v>
      </c>
      <c r="O45" s="840">
        <v>11.100428648285714</v>
      </c>
    </row>
    <row r="46" spans="1:15" ht="11.25" customHeight="1">
      <c r="A46" s="92"/>
      <c r="B46" s="91"/>
      <c r="C46" s="91"/>
      <c r="D46" s="91"/>
      <c r="E46" s="91"/>
      <c r="F46" s="91"/>
      <c r="G46" s="91"/>
      <c r="H46" s="5"/>
      <c r="I46" s="13"/>
      <c r="K46" s="838">
        <v>43</v>
      </c>
      <c r="L46" s="839">
        <v>43</v>
      </c>
      <c r="M46" s="840">
        <v>13.17</v>
      </c>
      <c r="N46" s="840">
        <v>35.32</v>
      </c>
      <c r="O46" s="840">
        <v>6.01</v>
      </c>
    </row>
    <row r="47" spans="1:15" ht="11.25" customHeight="1">
      <c r="A47" s="92"/>
      <c r="B47" s="91"/>
      <c r="C47" s="91"/>
      <c r="D47" s="91"/>
      <c r="E47" s="91"/>
      <c r="F47" s="91"/>
      <c r="G47" s="91"/>
      <c r="H47" s="15"/>
      <c r="I47" s="15"/>
      <c r="L47" s="839">
        <v>44</v>
      </c>
      <c r="M47" s="840">
        <v>13.18</v>
      </c>
      <c r="N47" s="840">
        <v>36.83</v>
      </c>
      <c r="O47" s="840">
        <v>4.57</v>
      </c>
    </row>
    <row r="48" spans="1:15" ht="11.25" customHeight="1">
      <c r="A48" s="92"/>
      <c r="B48" s="91"/>
      <c r="C48" s="91"/>
      <c r="D48" s="91"/>
      <c r="E48" s="91"/>
      <c r="F48" s="91"/>
      <c r="G48" s="91"/>
      <c r="H48" s="14"/>
      <c r="I48" s="14"/>
      <c r="L48" s="839">
        <v>45</v>
      </c>
      <c r="M48" s="840">
        <v>13.49</v>
      </c>
      <c r="N48" s="840">
        <v>39.520000000000003</v>
      </c>
      <c r="O48" s="840">
        <v>4.83</v>
      </c>
    </row>
    <row r="49" spans="1:15" ht="11.25" customHeight="1">
      <c r="A49" s="92"/>
      <c r="B49" s="91"/>
      <c r="C49" s="91"/>
      <c r="D49" s="91"/>
      <c r="E49" s="91"/>
      <c r="F49" s="91"/>
      <c r="G49" s="91"/>
      <c r="H49" s="14"/>
      <c r="I49" s="14"/>
      <c r="L49" s="839">
        <v>46</v>
      </c>
      <c r="M49" s="840">
        <v>15.4</v>
      </c>
      <c r="N49" s="840">
        <v>53.38</v>
      </c>
      <c r="O49" s="840">
        <v>3.73</v>
      </c>
    </row>
    <row r="50" spans="1:15" ht="11.25" customHeight="1">
      <c r="A50" s="92"/>
      <c r="B50" s="91"/>
      <c r="C50" s="91"/>
      <c r="D50" s="91"/>
      <c r="E50" s="91"/>
      <c r="F50" s="91"/>
      <c r="G50" s="91"/>
      <c r="H50" s="14"/>
      <c r="I50" s="14"/>
      <c r="L50" s="839">
        <v>47</v>
      </c>
      <c r="M50" s="840">
        <v>16.408999999999999</v>
      </c>
      <c r="N50" s="840">
        <v>61.853000000000002</v>
      </c>
      <c r="O50" s="840">
        <v>2.5211429999999999</v>
      </c>
    </row>
    <row r="51" spans="1:15" ht="11.25" customHeight="1">
      <c r="A51" s="92"/>
      <c r="B51" s="91"/>
      <c r="C51" s="91"/>
      <c r="D51" s="91"/>
      <c r="E51" s="91"/>
      <c r="F51" s="91"/>
      <c r="G51" s="91"/>
      <c r="H51" s="14"/>
      <c r="I51" s="14"/>
      <c r="K51" s="838">
        <v>48</v>
      </c>
      <c r="L51" s="839">
        <v>48</v>
      </c>
      <c r="M51" s="840">
        <v>16.328857422857144</v>
      </c>
      <c r="N51" s="840">
        <v>65.330427987142869</v>
      </c>
      <c r="O51" s="840">
        <v>3.571428503285714</v>
      </c>
    </row>
    <row r="52" spans="1:15" ht="11.25" customHeight="1">
      <c r="A52" s="92"/>
      <c r="B52" s="91"/>
      <c r="C52" s="91"/>
      <c r="D52" s="91"/>
      <c r="E52" s="91"/>
      <c r="F52" s="91"/>
      <c r="G52" s="91"/>
      <c r="H52" s="14"/>
      <c r="I52" s="14"/>
      <c r="L52" s="839">
        <v>49</v>
      </c>
      <c r="M52" s="840">
        <v>20.236285890000001</v>
      </c>
      <c r="N52" s="840">
        <v>66.680000000000007</v>
      </c>
      <c r="O52" s="840">
        <v>6.1</v>
      </c>
    </row>
    <row r="53" spans="1:15" ht="11.25" customHeight="1">
      <c r="A53" s="92"/>
      <c r="B53" s="91"/>
      <c r="C53" s="91"/>
      <c r="D53" s="91"/>
      <c r="E53" s="91"/>
      <c r="F53" s="91"/>
      <c r="G53" s="91"/>
      <c r="H53" s="14"/>
      <c r="I53" s="14"/>
      <c r="L53" s="839">
        <v>50</v>
      </c>
      <c r="M53" s="840">
        <v>19.809999999999999</v>
      </c>
      <c r="N53" s="840">
        <v>61.31</v>
      </c>
      <c r="O53" s="840">
        <v>6.69</v>
      </c>
    </row>
    <row r="54" spans="1:15" ht="11.25" customHeight="1">
      <c r="A54" s="92"/>
      <c r="B54" s="91"/>
      <c r="C54" s="91"/>
      <c r="D54" s="91"/>
      <c r="E54" s="91"/>
      <c r="F54" s="91"/>
      <c r="G54" s="91"/>
      <c r="H54" s="14"/>
      <c r="I54" s="14"/>
      <c r="L54" s="839">
        <v>51</v>
      </c>
      <c r="M54" s="840">
        <v>21.91</v>
      </c>
      <c r="N54" s="840">
        <v>70.790000000000006</v>
      </c>
      <c r="O54" s="840">
        <v>13.15</v>
      </c>
    </row>
    <row r="55" spans="1:15" ht="12.75">
      <c r="A55" s="92"/>
      <c r="B55" s="91"/>
      <c r="C55" s="91"/>
      <c r="D55" s="91"/>
      <c r="E55" s="91"/>
      <c r="F55" s="91"/>
      <c r="G55" s="91"/>
      <c r="H55" s="14"/>
      <c r="I55" s="14"/>
      <c r="K55" s="838">
        <v>52</v>
      </c>
      <c r="L55" s="839">
        <v>52</v>
      </c>
      <c r="M55" s="840">
        <v>22</v>
      </c>
      <c r="N55" s="840">
        <v>77.434859137142865</v>
      </c>
      <c r="O55" s="840">
        <v>17.75700037857143</v>
      </c>
    </row>
    <row r="56" spans="1:15" ht="12.75">
      <c r="A56" s="92"/>
      <c r="B56" s="91"/>
      <c r="C56" s="91"/>
      <c r="D56" s="91"/>
      <c r="E56" s="91"/>
      <c r="F56" s="91"/>
      <c r="G56" s="91"/>
      <c r="H56" s="14"/>
      <c r="I56" s="14"/>
      <c r="J56" s="531">
        <v>2017</v>
      </c>
      <c r="K56" s="838">
        <v>1</v>
      </c>
      <c r="L56" s="839">
        <v>1</v>
      </c>
      <c r="M56" s="840">
        <v>41.55</v>
      </c>
      <c r="N56" s="840">
        <v>103.58</v>
      </c>
      <c r="O56" s="840">
        <v>29.67</v>
      </c>
    </row>
    <row r="57" spans="1:15" ht="12.75">
      <c r="A57" s="92"/>
      <c r="B57" s="91"/>
      <c r="C57" s="91"/>
      <c r="D57" s="91"/>
      <c r="E57" s="91"/>
      <c r="F57" s="91"/>
      <c r="G57" s="91"/>
      <c r="H57" s="14"/>
      <c r="I57" s="14"/>
      <c r="L57" s="839">
        <v>2</v>
      </c>
      <c r="M57" s="840">
        <v>39.6</v>
      </c>
      <c r="N57" s="840">
        <v>105.01</v>
      </c>
      <c r="O57" s="840">
        <v>51.2</v>
      </c>
    </row>
    <row r="58" spans="1:15" ht="12.75">
      <c r="A58" s="92"/>
      <c r="B58" s="91"/>
      <c r="C58" s="91"/>
      <c r="D58" s="91"/>
      <c r="E58" s="91"/>
      <c r="F58" s="91"/>
      <c r="G58" s="91"/>
      <c r="H58" s="14"/>
      <c r="I58" s="14"/>
      <c r="L58" s="839">
        <v>3</v>
      </c>
      <c r="M58" s="840">
        <v>73.650000000000006</v>
      </c>
      <c r="N58" s="840">
        <v>137.41</v>
      </c>
      <c r="O58" s="840">
        <v>43.26</v>
      </c>
    </row>
    <row r="59" spans="1:15" ht="12.75">
      <c r="A59" s="92"/>
      <c r="B59" s="91"/>
      <c r="C59" s="91"/>
      <c r="D59" s="91"/>
      <c r="E59" s="91"/>
      <c r="F59" s="91"/>
      <c r="G59" s="91"/>
      <c r="H59" s="14"/>
      <c r="I59" s="14"/>
      <c r="K59" s="838">
        <v>4</v>
      </c>
      <c r="L59" s="839">
        <v>4</v>
      </c>
      <c r="M59" s="840">
        <v>65.03</v>
      </c>
      <c r="N59" s="840">
        <v>127.83</v>
      </c>
      <c r="O59" s="840">
        <v>32.72</v>
      </c>
    </row>
    <row r="60" spans="1:15" ht="12.75">
      <c r="A60" s="92"/>
      <c r="B60" s="91"/>
      <c r="C60" s="91"/>
      <c r="D60" s="91"/>
      <c r="E60" s="91"/>
      <c r="F60" s="91"/>
      <c r="G60" s="91"/>
      <c r="H60" s="14"/>
      <c r="I60" s="14"/>
      <c r="L60" s="839">
        <v>5</v>
      </c>
      <c r="M60" s="840">
        <v>56.95</v>
      </c>
      <c r="N60" s="840">
        <v>97.31</v>
      </c>
      <c r="O60" s="840">
        <v>48.46</v>
      </c>
    </row>
    <row r="61" spans="1:15" ht="12.75">
      <c r="A61" s="418" t="s">
        <v>606</v>
      </c>
      <c r="B61" s="91"/>
      <c r="C61" s="91"/>
      <c r="D61" s="91"/>
      <c r="E61" s="91"/>
      <c r="F61" s="91"/>
      <c r="G61" s="91"/>
      <c r="H61" s="14"/>
      <c r="I61" s="14"/>
      <c r="L61" s="839">
        <v>6</v>
      </c>
      <c r="M61" s="840">
        <v>61.87</v>
      </c>
      <c r="N61" s="840">
        <v>123.44</v>
      </c>
      <c r="O61" s="840">
        <v>72.52</v>
      </c>
    </row>
    <row r="62" spans="1:15">
      <c r="L62" s="839">
        <v>7</v>
      </c>
      <c r="M62" s="840">
        <v>77.569999999999993</v>
      </c>
      <c r="N62" s="840">
        <v>145.02000000000001</v>
      </c>
      <c r="O62" s="840">
        <v>59.16</v>
      </c>
    </row>
    <row r="63" spans="1:15">
      <c r="K63" s="838">
        <v>8</v>
      </c>
      <c r="L63" s="839">
        <v>8</v>
      </c>
      <c r="M63" s="840">
        <v>86.94</v>
      </c>
      <c r="N63" s="840">
        <v>175.03</v>
      </c>
      <c r="O63" s="840">
        <v>24.36</v>
      </c>
    </row>
    <row r="64" spans="1:15">
      <c r="L64" s="839">
        <v>9</v>
      </c>
      <c r="M64" s="840">
        <v>85.13</v>
      </c>
      <c r="N64" s="840">
        <v>206.14</v>
      </c>
      <c r="O64" s="840">
        <v>39.07</v>
      </c>
    </row>
    <row r="65" spans="11:15">
      <c r="L65" s="839">
        <v>10</v>
      </c>
      <c r="M65" s="840">
        <v>84.78</v>
      </c>
      <c r="N65" s="840">
        <v>270.17</v>
      </c>
      <c r="O65" s="840">
        <v>109.16</v>
      </c>
    </row>
    <row r="66" spans="11:15">
      <c r="L66" s="839">
        <v>11</v>
      </c>
      <c r="M66" s="840">
        <v>84.78</v>
      </c>
      <c r="N66" s="840">
        <v>376.42</v>
      </c>
      <c r="O66" s="840">
        <v>188.18</v>
      </c>
    </row>
    <row r="67" spans="11:15">
      <c r="K67" s="838">
        <v>12</v>
      </c>
      <c r="L67" s="839">
        <v>12</v>
      </c>
      <c r="M67" s="840">
        <v>106.16</v>
      </c>
      <c r="N67" s="840">
        <v>351.57</v>
      </c>
      <c r="O67" s="840">
        <v>159.6</v>
      </c>
    </row>
    <row r="68" spans="11:15">
      <c r="L68" s="839">
        <v>13</v>
      </c>
      <c r="M68" s="840">
        <v>101.71</v>
      </c>
      <c r="N68" s="840">
        <v>384.37</v>
      </c>
      <c r="O68" s="840">
        <v>161.77000000000001</v>
      </c>
    </row>
    <row r="69" spans="11:15">
      <c r="L69" s="839">
        <v>14</v>
      </c>
      <c r="M69" s="840">
        <v>83.1</v>
      </c>
      <c r="N69" s="840">
        <v>337.84</v>
      </c>
      <c r="O69" s="840">
        <v>115.43</v>
      </c>
    </row>
    <row r="70" spans="11:15">
      <c r="L70" s="839">
        <v>15</v>
      </c>
      <c r="M70" s="840">
        <v>61.23</v>
      </c>
      <c r="N70" s="840">
        <v>282.32</v>
      </c>
      <c r="O70" s="840">
        <v>98.92</v>
      </c>
    </row>
    <row r="71" spans="11:15">
      <c r="K71" s="838">
        <v>16</v>
      </c>
      <c r="L71" s="839">
        <v>16</v>
      </c>
      <c r="M71" s="840">
        <v>49.8</v>
      </c>
      <c r="N71" s="840">
        <v>191.65</v>
      </c>
      <c r="O71" s="840">
        <v>82.48</v>
      </c>
    </row>
    <row r="72" spans="11:15">
      <c r="L72" s="839">
        <v>17</v>
      </c>
      <c r="M72" s="840">
        <v>40.21</v>
      </c>
      <c r="N72" s="840">
        <v>160.35</v>
      </c>
      <c r="O72" s="840">
        <v>77.02</v>
      </c>
    </row>
    <row r="73" spans="11:15">
      <c r="L73" s="839">
        <v>18</v>
      </c>
      <c r="M73" s="840">
        <v>43.46</v>
      </c>
      <c r="N73" s="840">
        <v>136.65</v>
      </c>
      <c r="O73" s="840">
        <v>62.63</v>
      </c>
    </row>
    <row r="74" spans="11:15">
      <c r="L74" s="839">
        <v>19</v>
      </c>
      <c r="M74" s="840">
        <v>35.65</v>
      </c>
      <c r="N74" s="840">
        <v>135.97</v>
      </c>
      <c r="O74" s="840">
        <v>93.03</v>
      </c>
    </row>
    <row r="75" spans="11:15">
      <c r="K75" s="838">
        <v>20</v>
      </c>
      <c r="L75" s="839">
        <v>20</v>
      </c>
      <c r="M75" s="840">
        <v>26.22</v>
      </c>
      <c r="N75" s="840">
        <v>135.66</v>
      </c>
      <c r="O75" s="840">
        <v>72.349999999999994</v>
      </c>
    </row>
    <row r="76" spans="11:15">
      <c r="L76" s="839">
        <v>21</v>
      </c>
      <c r="M76" s="840">
        <v>27.95</v>
      </c>
      <c r="N76" s="840">
        <v>113.82</v>
      </c>
      <c r="O76" s="840">
        <v>90.75</v>
      </c>
    </row>
    <row r="77" spans="11:15">
      <c r="L77" s="839">
        <v>22</v>
      </c>
      <c r="M77" s="840">
        <v>32.409999999999997</v>
      </c>
      <c r="N77" s="840">
        <v>64.03</v>
      </c>
      <c r="O77" s="840">
        <v>53.02</v>
      </c>
    </row>
    <row r="78" spans="11:15">
      <c r="L78" s="839">
        <v>23</v>
      </c>
      <c r="M78" s="840">
        <v>28.93</v>
      </c>
      <c r="N78" s="840">
        <v>53.15</v>
      </c>
      <c r="O78" s="840">
        <v>32.43</v>
      </c>
    </row>
    <row r="79" spans="11:15">
      <c r="K79" s="838">
        <v>24</v>
      </c>
      <c r="L79" s="839">
        <v>24</v>
      </c>
      <c r="M79" s="840">
        <v>26.59</v>
      </c>
      <c r="N79" s="840">
        <v>45.98</v>
      </c>
      <c r="O79" s="840">
        <v>27.75</v>
      </c>
    </row>
    <row r="80" spans="11:15">
      <c r="L80" s="839">
        <v>25</v>
      </c>
      <c r="M80" s="840">
        <v>23.61</v>
      </c>
      <c r="N80" s="840">
        <v>38.68</v>
      </c>
      <c r="O80" s="840">
        <v>24.81</v>
      </c>
    </row>
    <row r="81" spans="11:15">
      <c r="L81" s="839">
        <v>26</v>
      </c>
      <c r="M81" s="840">
        <v>24.94</v>
      </c>
      <c r="N81" s="840">
        <v>34.68</v>
      </c>
      <c r="O81" s="840">
        <v>21.81</v>
      </c>
    </row>
    <row r="82" spans="11:15">
      <c r="L82" s="839">
        <v>27</v>
      </c>
      <c r="M82" s="840">
        <v>25.54</v>
      </c>
      <c r="N82" s="840">
        <v>31.72</v>
      </c>
      <c r="O82" s="840">
        <v>18.649999999999999</v>
      </c>
    </row>
    <row r="83" spans="11:15">
      <c r="K83" s="838">
        <v>28</v>
      </c>
      <c r="L83" s="839">
        <v>28</v>
      </c>
      <c r="M83" s="840">
        <v>23.56</v>
      </c>
      <c r="N83" s="840">
        <v>29.25</v>
      </c>
      <c r="O83" s="840">
        <v>14.27</v>
      </c>
    </row>
    <row r="84" spans="11:15">
      <c r="L84" s="839">
        <v>29</v>
      </c>
      <c r="M84" s="840">
        <v>22.4</v>
      </c>
      <c r="N84" s="840">
        <v>29.53</v>
      </c>
      <c r="O84" s="840">
        <v>11.51</v>
      </c>
    </row>
    <row r="85" spans="11:15">
      <c r="L85" s="839">
        <v>30</v>
      </c>
      <c r="M85" s="840">
        <v>21.29</v>
      </c>
      <c r="N85" s="840">
        <v>27.62</v>
      </c>
      <c r="O85" s="840">
        <v>9.7200000000000006</v>
      </c>
    </row>
    <row r="86" spans="11:15">
      <c r="L86" s="839">
        <v>31</v>
      </c>
      <c r="M86" s="840">
        <v>19.34</v>
      </c>
      <c r="N86" s="840">
        <v>27.99</v>
      </c>
      <c r="O86" s="840">
        <v>8.09</v>
      </c>
    </row>
    <row r="87" spans="11:15">
      <c r="K87" s="838">
        <v>32</v>
      </c>
      <c r="L87" s="839">
        <v>32</v>
      </c>
      <c r="M87" s="840">
        <v>19.649999999999999</v>
      </c>
      <c r="N87" s="840">
        <v>31.42</v>
      </c>
      <c r="O87" s="840">
        <v>7.62</v>
      </c>
    </row>
    <row r="88" spans="11:15">
      <c r="L88" s="839">
        <v>33</v>
      </c>
      <c r="M88" s="840">
        <v>18.420000000000002</v>
      </c>
      <c r="N88" s="840">
        <v>29.71</v>
      </c>
      <c r="O88" s="840">
        <v>9.5500000000000007</v>
      </c>
    </row>
    <row r="89" spans="11:15">
      <c r="L89" s="839">
        <v>34</v>
      </c>
      <c r="M89" s="840">
        <v>17.170000000000002</v>
      </c>
      <c r="N89" s="840">
        <v>30.51</v>
      </c>
      <c r="O89" s="840">
        <v>10.75</v>
      </c>
    </row>
    <row r="90" spans="11:15">
      <c r="L90" s="839">
        <v>35</v>
      </c>
      <c r="M90" s="840">
        <v>17.47</v>
      </c>
      <c r="N90" s="840">
        <v>27.5</v>
      </c>
      <c r="O90" s="840">
        <v>8.31</v>
      </c>
    </row>
    <row r="91" spans="11:15">
      <c r="K91" s="838">
        <v>36</v>
      </c>
      <c r="L91" s="839">
        <v>36</v>
      </c>
      <c r="M91" s="840">
        <v>13.42</v>
      </c>
      <c r="N91" s="840">
        <v>26.21</v>
      </c>
      <c r="O91" s="840">
        <v>6.53</v>
      </c>
    </row>
    <row r="92" spans="11:15">
      <c r="L92" s="839">
        <v>37</v>
      </c>
      <c r="M92" s="840">
        <v>11.2</v>
      </c>
      <c r="N92" s="840">
        <v>29.98</v>
      </c>
      <c r="O92" s="840">
        <v>9.7799999999999994</v>
      </c>
    </row>
    <row r="93" spans="11:15">
      <c r="L93" s="839">
        <v>38</v>
      </c>
      <c r="M93" s="840">
        <v>11</v>
      </c>
      <c r="N93" s="840">
        <v>34.369999999999997</v>
      </c>
      <c r="O93" s="840">
        <v>7.47</v>
      </c>
    </row>
    <row r="94" spans="11:15">
      <c r="K94" s="838">
        <v>39</v>
      </c>
      <c r="L94" s="839">
        <v>39</v>
      </c>
      <c r="M94" s="840">
        <v>11.14</v>
      </c>
      <c r="N94" s="840">
        <v>42.17</v>
      </c>
      <c r="O94" s="840">
        <v>7.49</v>
      </c>
    </row>
    <row r="95" spans="11:15">
      <c r="L95" s="839">
        <v>40</v>
      </c>
      <c r="M95" s="840">
        <v>12.8</v>
      </c>
      <c r="N95" s="840">
        <v>37.270000000000003</v>
      </c>
      <c r="O95" s="840">
        <v>15.47</v>
      </c>
    </row>
    <row r="96" spans="11:15">
      <c r="L96" s="839">
        <v>41</v>
      </c>
      <c r="M96" s="840">
        <v>14.41</v>
      </c>
      <c r="N96" s="840">
        <v>40.04</v>
      </c>
      <c r="O96" s="840">
        <v>18</v>
      </c>
    </row>
    <row r="97" spans="10:15">
      <c r="L97" s="839">
        <v>42</v>
      </c>
      <c r="M97" s="840">
        <v>15.87</v>
      </c>
      <c r="N97" s="840">
        <v>35.79</v>
      </c>
      <c r="O97" s="840">
        <v>12.74</v>
      </c>
    </row>
    <row r="98" spans="10:15">
      <c r="K98" s="838">
        <v>43</v>
      </c>
      <c r="L98" s="839">
        <v>43</v>
      </c>
      <c r="M98" s="840">
        <v>19.61</v>
      </c>
      <c r="N98" s="840">
        <v>50.36</v>
      </c>
      <c r="O98" s="840">
        <v>30.75</v>
      </c>
    </row>
    <row r="99" spans="10:15">
      <c r="L99" s="839">
        <v>44</v>
      </c>
      <c r="M99" s="840">
        <v>21.85</v>
      </c>
      <c r="N99" s="840">
        <v>54.94</v>
      </c>
      <c r="O99" s="840">
        <v>23.58</v>
      </c>
    </row>
    <row r="100" spans="10:15">
      <c r="L100" s="839">
        <v>45</v>
      </c>
      <c r="M100" s="840">
        <v>16.79</v>
      </c>
      <c r="N100" s="840">
        <v>41.16</v>
      </c>
      <c r="O100" s="840">
        <v>11.77</v>
      </c>
    </row>
    <row r="101" spans="10:15">
      <c r="L101" s="839">
        <v>46</v>
      </c>
      <c r="M101" s="840">
        <v>16.010000000000002</v>
      </c>
      <c r="N101" s="840">
        <v>42.65</v>
      </c>
      <c r="O101" s="840">
        <v>9.33</v>
      </c>
    </row>
    <row r="102" spans="10:15">
      <c r="L102" s="839">
        <v>47</v>
      </c>
      <c r="M102" s="840">
        <v>14.72</v>
      </c>
      <c r="N102" s="840">
        <v>39.76</v>
      </c>
      <c r="O102" s="840">
        <v>8.19</v>
      </c>
    </row>
    <row r="103" spans="10:15">
      <c r="K103" s="838">
        <v>48</v>
      </c>
      <c r="L103" s="839">
        <v>48</v>
      </c>
      <c r="M103" s="840">
        <v>18.932000297142856</v>
      </c>
      <c r="N103" s="840">
        <v>47.388000487142854</v>
      </c>
      <c r="O103" s="840">
        <v>19.661285946</v>
      </c>
    </row>
    <row r="104" spans="10:15">
      <c r="L104" s="839">
        <v>49</v>
      </c>
      <c r="M104" s="840">
        <v>28.48371397</v>
      </c>
      <c r="N104" s="840">
        <v>78.087428497142852</v>
      </c>
      <c r="O104" s="840">
        <v>19.181428364285715</v>
      </c>
    </row>
    <row r="105" spans="10:15">
      <c r="L105" s="839">
        <v>50</v>
      </c>
      <c r="M105" s="840">
        <v>32.583286012857144</v>
      </c>
      <c r="N105" s="840">
        <v>69.764142717142846</v>
      </c>
      <c r="O105" s="840">
        <v>23.7245715</v>
      </c>
    </row>
    <row r="106" spans="10:15">
      <c r="L106" s="839">
        <v>51</v>
      </c>
      <c r="M106" s="840">
        <v>34.501856668571428</v>
      </c>
      <c r="N106" s="840">
        <v>71.14499991142857</v>
      </c>
      <c r="O106" s="840">
        <v>26.158142907142857</v>
      </c>
    </row>
    <row r="107" spans="10:15">
      <c r="K107" s="838">
        <v>52</v>
      </c>
      <c r="L107" s="839">
        <v>52</v>
      </c>
      <c r="M107" s="840">
        <v>27.781857355714287</v>
      </c>
      <c r="N107" s="840">
        <v>83.196000228571435</v>
      </c>
      <c r="O107" s="840">
        <v>21.776999882857144</v>
      </c>
    </row>
    <row r="108" spans="10:15">
      <c r="J108" s="531">
        <v>2018</v>
      </c>
      <c r="K108" s="838">
        <v>1</v>
      </c>
      <c r="L108" s="839">
        <v>1</v>
      </c>
      <c r="M108" s="840">
        <v>29.44</v>
      </c>
      <c r="N108" s="840">
        <v>69.087142857142865</v>
      </c>
      <c r="O108" s="840">
        <v>15.747142857142856</v>
      </c>
    </row>
    <row r="109" spans="10:15">
      <c r="L109" s="839">
        <v>2</v>
      </c>
      <c r="M109" s="840">
        <v>42.880857194285717</v>
      </c>
      <c r="N109" s="840">
        <v>96.785858138571413</v>
      </c>
      <c r="O109" s="840">
        <v>37.6</v>
      </c>
    </row>
    <row r="110" spans="10:15">
      <c r="L110" s="839">
        <v>3</v>
      </c>
      <c r="M110" s="840">
        <v>74.002572194285705</v>
      </c>
      <c r="N110" s="840">
        <v>158.17728531428571</v>
      </c>
      <c r="O110" s="840">
        <v>101.26128550142856</v>
      </c>
    </row>
    <row r="111" spans="10:15">
      <c r="K111" s="838">
        <v>4</v>
      </c>
      <c r="L111" s="839">
        <v>4</v>
      </c>
      <c r="M111" s="840">
        <v>77.812570845714291</v>
      </c>
      <c r="N111" s="840">
        <v>167.02357267142858</v>
      </c>
      <c r="O111" s="840">
        <v>77.354000085714276</v>
      </c>
    </row>
    <row r="112" spans="10:15">
      <c r="L112" s="839">
        <v>5</v>
      </c>
      <c r="M112" s="840">
        <v>61.531714848571433</v>
      </c>
      <c r="N112" s="840">
        <v>113.19585745142855</v>
      </c>
      <c r="O112" s="840">
        <v>30.667142595714285</v>
      </c>
    </row>
    <row r="113" spans="11:15">
      <c r="L113" s="839">
        <v>6</v>
      </c>
      <c r="M113" s="840">
        <v>54.024142672857138</v>
      </c>
      <c r="N113" s="840">
        <v>88.535714287142852</v>
      </c>
      <c r="O113" s="840">
        <v>32.444142750000005</v>
      </c>
    </row>
    <row r="114" spans="11:15">
      <c r="L114" s="839">
        <v>7</v>
      </c>
      <c r="M114" s="840">
        <v>59.271427155714285</v>
      </c>
      <c r="N114" s="840">
        <v>99.37822619047617</v>
      </c>
      <c r="O114" s="840">
        <v>30.338148809523812</v>
      </c>
    </row>
    <row r="115" spans="11:15">
      <c r="K115" s="838">
        <v>8</v>
      </c>
      <c r="L115" s="839">
        <v>8</v>
      </c>
      <c r="M115" s="840">
        <v>78.025571005714284</v>
      </c>
      <c r="N115" s="840">
        <v>140.28</v>
      </c>
      <c r="O115" s="840">
        <v>62.97</v>
      </c>
    </row>
    <row r="116" spans="11:15">
      <c r="L116" s="839">
        <v>9</v>
      </c>
      <c r="M116" s="840">
        <v>61.11871501571428</v>
      </c>
      <c r="N116" s="840">
        <v>102.99642836285715</v>
      </c>
      <c r="O116" s="840">
        <v>31.244571685714288</v>
      </c>
    </row>
    <row r="117" spans="11:15">
      <c r="L117" s="839">
        <v>10</v>
      </c>
      <c r="M117" s="840">
        <v>84.500714981428573</v>
      </c>
      <c r="N117" s="840">
        <v>175.90485927142853</v>
      </c>
      <c r="O117" s="840">
        <v>36.038285662857142</v>
      </c>
    </row>
    <row r="118" spans="11:15">
      <c r="L118" s="839">
        <v>11</v>
      </c>
      <c r="M118" s="840">
        <v>83.643855504285725</v>
      </c>
      <c r="N118" s="840">
        <v>169.64671761428571</v>
      </c>
      <c r="O118" s="840">
        <v>25.076428275714282</v>
      </c>
    </row>
    <row r="119" spans="11:15">
      <c r="K119" s="838">
        <v>12</v>
      </c>
      <c r="L119" s="839">
        <v>12</v>
      </c>
      <c r="M119" s="840">
        <v>98.99</v>
      </c>
      <c r="N119" s="840">
        <v>198.22</v>
      </c>
      <c r="O119" s="840">
        <v>24.63</v>
      </c>
    </row>
    <row r="120" spans="11:15">
      <c r="L120" s="839">
        <v>13</v>
      </c>
      <c r="M120" s="840">
        <v>106.64928652857144</v>
      </c>
      <c r="N120" s="840">
        <v>312.6314304857143</v>
      </c>
      <c r="O120" s="840">
        <v>38.701428550000003</v>
      </c>
    </row>
    <row r="121" spans="11:15">
      <c r="L121" s="839">
        <v>14</v>
      </c>
      <c r="M121" s="840">
        <v>86.488428389999996</v>
      </c>
      <c r="N121" s="840">
        <v>235.31328691428573</v>
      </c>
      <c r="O121" s="840">
        <v>94.596427907142839</v>
      </c>
    </row>
    <row r="122" spans="11:15">
      <c r="L122" s="839">
        <v>15</v>
      </c>
      <c r="M122" s="840">
        <v>88.217001778571429</v>
      </c>
      <c r="N122" s="840">
        <v>294.1721409428572</v>
      </c>
      <c r="O122" s="840">
        <v>92.07</v>
      </c>
    </row>
    <row r="123" spans="11:15">
      <c r="K123" s="838">
        <v>16</v>
      </c>
      <c r="L123" s="839">
        <v>16</v>
      </c>
      <c r="M123" s="840">
        <v>65.84</v>
      </c>
      <c r="N123" s="840">
        <v>149.18</v>
      </c>
      <c r="O123" s="840">
        <v>45.4</v>
      </c>
    </row>
    <row r="124" spans="11:15">
      <c r="L124" s="839">
        <v>17</v>
      </c>
      <c r="M124" s="840">
        <v>51.88</v>
      </c>
      <c r="N124" s="840">
        <v>104.35</v>
      </c>
      <c r="O124" s="840">
        <v>41.47</v>
      </c>
    </row>
    <row r="125" spans="11:15">
      <c r="L125" s="839">
        <v>18</v>
      </c>
      <c r="M125" s="840">
        <v>49.672285897142856</v>
      </c>
      <c r="N125" s="840">
        <v>78.038143701428567</v>
      </c>
      <c r="O125" s="840">
        <v>65.800999782857133</v>
      </c>
    </row>
    <row r="126" spans="11:15">
      <c r="L126" s="839">
        <v>19</v>
      </c>
      <c r="M126" s="840">
        <v>45.203000204285708</v>
      </c>
      <c r="N126" s="840">
        <v>78.313856942857129</v>
      </c>
      <c r="O126" s="840">
        <v>75.104713441428572</v>
      </c>
    </row>
    <row r="127" spans="11:15">
      <c r="K127" s="838">
        <v>20</v>
      </c>
      <c r="L127" s="839">
        <v>20</v>
      </c>
      <c r="M127" s="840">
        <v>37.385857718571437</v>
      </c>
      <c r="N127" s="840">
        <v>130.92628696285712</v>
      </c>
      <c r="O127" s="840">
        <v>97.861000055714285</v>
      </c>
    </row>
    <row r="128" spans="11:15">
      <c r="L128" s="839">
        <v>21</v>
      </c>
      <c r="M128" s="840">
        <v>31.609713962857143</v>
      </c>
      <c r="N128" s="840">
        <v>64.449287412857146</v>
      </c>
      <c r="O128" s="840">
        <v>107.7964292242857</v>
      </c>
    </row>
    <row r="129" spans="11:15">
      <c r="L129" s="839">
        <v>22</v>
      </c>
      <c r="M129" s="840">
        <v>23.360142844285715</v>
      </c>
      <c r="N129" s="840">
        <v>64.449287412857146</v>
      </c>
      <c r="O129" s="840">
        <v>107.7964292242857</v>
      </c>
    </row>
    <row r="130" spans="11:15">
      <c r="L130" s="839">
        <v>23</v>
      </c>
      <c r="M130" s="840">
        <v>22.118571418571431</v>
      </c>
      <c r="N130" s="840">
        <v>39.50100054</v>
      </c>
      <c r="O130" s="840">
        <v>35.176713670000005</v>
      </c>
    </row>
    <row r="131" spans="11:15">
      <c r="K131" s="838">
        <v>24</v>
      </c>
      <c r="L131" s="839">
        <v>24</v>
      </c>
      <c r="M131" s="840">
        <v>18.655142918571432</v>
      </c>
      <c r="N131" s="840">
        <v>33.690285274285714</v>
      </c>
      <c r="O131" s="840">
        <v>23.41942841571429</v>
      </c>
    </row>
    <row r="132" spans="11:15">
      <c r="L132" s="839">
        <v>25</v>
      </c>
      <c r="M132" s="840">
        <v>15.664428437142856</v>
      </c>
      <c r="N132" s="840">
        <v>30.228428704285715</v>
      </c>
      <c r="O132" s="840">
        <v>15.98614284142857</v>
      </c>
    </row>
    <row r="133" spans="11:15">
      <c r="L133" s="839">
        <v>26</v>
      </c>
      <c r="M133" s="840">
        <v>13.848143032857147</v>
      </c>
      <c r="N133" s="840">
        <v>27.872285568571431</v>
      </c>
      <c r="O133" s="840">
        <v>14.09042848857143</v>
      </c>
    </row>
    <row r="136" spans="11:15">
      <c r="M136" s="838" t="s">
        <v>303</v>
      </c>
      <c r="N136" s="838" t="s">
        <v>304</v>
      </c>
      <c r="O136" s="838" t="s">
        <v>305</v>
      </c>
    </row>
  </sheetData>
  <mergeCells count="2">
    <mergeCell ref="A3:G3"/>
    <mergeCell ref="A35:G35"/>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34"/>
  <sheetViews>
    <sheetView showGridLines="0" view="pageBreakPreview" topLeftCell="M102" zoomScale="130" zoomScaleNormal="100" zoomScaleSheetLayoutView="130" zoomScalePageLayoutView="130" workbookViewId="0">
      <selection activeCell="R31" sqref="R31"/>
    </sheetView>
  </sheetViews>
  <sheetFormatPr defaultRowHeight="11.25"/>
  <cols>
    <col min="1" max="9" width="9.33203125" style="3"/>
    <col min="10" max="11" width="9.33203125" style="3" customWidth="1"/>
    <col min="12" max="12" width="9.33203125" style="3"/>
    <col min="13" max="25" width="9.33203125" style="838"/>
    <col min="26" max="26" width="9.33203125" style="807"/>
    <col min="27" max="30" width="9.33203125" style="559"/>
    <col min="31" max="32" width="9.33203125" style="531"/>
    <col min="33" max="16384" width="9.33203125" style="3"/>
  </cols>
  <sheetData>
    <row r="1" spans="1:25" ht="11.25" customHeight="1">
      <c r="A1" s="160"/>
      <c r="B1" s="160"/>
      <c r="C1" s="160"/>
      <c r="D1" s="160"/>
      <c r="E1" s="160"/>
      <c r="F1" s="160"/>
      <c r="G1" s="160"/>
      <c r="H1" s="160"/>
      <c r="I1" s="160"/>
      <c r="J1" s="160"/>
      <c r="K1" s="160"/>
      <c r="L1" s="160"/>
    </row>
    <row r="2" spans="1:25" ht="11.25" customHeight="1">
      <c r="A2" s="560"/>
      <c r="B2" s="561"/>
      <c r="C2" s="561"/>
      <c r="D2" s="561"/>
      <c r="E2" s="561"/>
      <c r="F2" s="561"/>
      <c r="G2" s="233"/>
      <c r="H2" s="233"/>
      <c r="I2" s="200"/>
      <c r="J2" s="160"/>
      <c r="K2" s="160"/>
      <c r="L2" s="160"/>
    </row>
    <row r="3" spans="1:25" ht="11.25" customHeight="1">
      <c r="A3" s="200"/>
      <c r="B3" s="200"/>
      <c r="C3" s="200"/>
      <c r="D3" s="200"/>
      <c r="E3" s="200"/>
      <c r="F3" s="200"/>
      <c r="G3" s="159"/>
      <c r="H3" s="159"/>
      <c r="I3" s="159"/>
      <c r="J3" s="175"/>
      <c r="K3" s="175"/>
      <c r="L3" s="175"/>
      <c r="O3" s="838" t="s">
        <v>302</v>
      </c>
      <c r="P3" s="839"/>
      <c r="Q3" s="838" t="s">
        <v>306</v>
      </c>
      <c r="R3" s="838" t="s">
        <v>307</v>
      </c>
      <c r="S3" s="838" t="s">
        <v>308</v>
      </c>
      <c r="T3" s="838" t="s">
        <v>309</v>
      </c>
      <c r="U3" s="838" t="s">
        <v>310</v>
      </c>
      <c r="V3" s="838" t="s">
        <v>311</v>
      </c>
      <c r="W3" s="838" t="s">
        <v>312</v>
      </c>
      <c r="X3" s="838" t="s">
        <v>313</v>
      </c>
      <c r="Y3" s="838" t="s">
        <v>314</v>
      </c>
    </row>
    <row r="4" spans="1:25" ht="11.25" customHeight="1">
      <c r="A4" s="200"/>
      <c r="B4" s="200"/>
      <c r="C4" s="200"/>
      <c r="D4" s="200"/>
      <c r="E4" s="200"/>
      <c r="F4" s="200"/>
      <c r="G4" s="159"/>
      <c r="H4" s="159"/>
      <c r="I4" s="159"/>
      <c r="J4" s="175"/>
      <c r="K4" s="175"/>
      <c r="L4" s="175"/>
      <c r="N4" s="838">
        <v>2016</v>
      </c>
      <c r="O4" s="838">
        <v>1</v>
      </c>
      <c r="P4" s="839">
        <v>1</v>
      </c>
      <c r="Q4" s="840">
        <v>12.12</v>
      </c>
      <c r="R4" s="840">
        <v>8.33</v>
      </c>
      <c r="S4" s="840">
        <v>165.03200000000001</v>
      </c>
      <c r="T4" s="840">
        <v>95.83</v>
      </c>
      <c r="U4" s="840">
        <v>18.5</v>
      </c>
      <c r="V4" s="840">
        <v>10.01</v>
      </c>
      <c r="W4" s="840">
        <v>1.23</v>
      </c>
      <c r="X4" s="840">
        <v>109.19</v>
      </c>
      <c r="Y4" s="840">
        <v>37.270000000000003</v>
      </c>
    </row>
    <row r="5" spans="1:25" ht="11.25" customHeight="1">
      <c r="A5" s="562"/>
      <c r="B5" s="562"/>
      <c r="C5" s="562"/>
      <c r="D5" s="562"/>
      <c r="E5" s="562"/>
      <c r="F5" s="562"/>
      <c r="G5" s="562"/>
      <c r="H5" s="562"/>
      <c r="I5" s="562"/>
      <c r="J5" s="31"/>
      <c r="K5" s="31"/>
      <c r="L5" s="152"/>
      <c r="P5" s="839">
        <v>2</v>
      </c>
      <c r="Q5" s="840">
        <v>10.45</v>
      </c>
      <c r="R5" s="840">
        <v>5.38</v>
      </c>
      <c r="S5" s="840">
        <v>137.04</v>
      </c>
      <c r="T5" s="840">
        <v>78.260000000000005</v>
      </c>
      <c r="U5" s="840">
        <v>13.1</v>
      </c>
      <c r="V5" s="840">
        <v>10</v>
      </c>
      <c r="W5" s="840">
        <v>1.18</v>
      </c>
      <c r="X5" s="840">
        <v>177.91</v>
      </c>
      <c r="Y5" s="840">
        <v>53.34</v>
      </c>
    </row>
    <row r="6" spans="1:25" ht="11.25" customHeight="1">
      <c r="A6" s="200"/>
      <c r="B6" s="563"/>
      <c r="C6" s="564"/>
      <c r="D6" s="565"/>
      <c r="E6" s="565"/>
      <c r="F6" s="566"/>
      <c r="G6" s="567"/>
      <c r="H6" s="567"/>
      <c r="I6" s="248"/>
      <c r="J6" s="31"/>
      <c r="K6" s="31"/>
      <c r="L6" s="26"/>
      <c r="P6" s="839">
        <v>3</v>
      </c>
      <c r="Q6" s="840">
        <v>10.396000000000001</v>
      </c>
      <c r="R6" s="840">
        <v>5.29</v>
      </c>
      <c r="S6" s="840">
        <v>102.45</v>
      </c>
      <c r="T6" s="840">
        <v>101.264</v>
      </c>
      <c r="U6" s="840">
        <v>15.26</v>
      </c>
      <c r="V6" s="840">
        <v>10.01</v>
      </c>
      <c r="W6" s="840">
        <v>1.2529999999999999</v>
      </c>
      <c r="X6" s="840">
        <v>248.28</v>
      </c>
      <c r="Y6" s="840">
        <v>76.69</v>
      </c>
    </row>
    <row r="7" spans="1:25" ht="11.25" customHeight="1">
      <c r="A7" s="200"/>
      <c r="B7" s="249"/>
      <c r="C7" s="249"/>
      <c r="D7" s="250"/>
      <c r="E7" s="250"/>
      <c r="F7" s="566"/>
      <c r="G7" s="567"/>
      <c r="H7" s="567"/>
      <c r="I7" s="248"/>
      <c r="J7" s="32"/>
      <c r="K7" s="32"/>
      <c r="L7" s="29"/>
      <c r="O7" s="838">
        <v>4</v>
      </c>
      <c r="P7" s="839">
        <v>4</v>
      </c>
      <c r="Q7" s="840">
        <v>10.32</v>
      </c>
      <c r="R7" s="840">
        <v>6.0640000000000001</v>
      </c>
      <c r="S7" s="840">
        <v>93.71</v>
      </c>
      <c r="T7" s="840">
        <v>79.73</v>
      </c>
      <c r="U7" s="840">
        <v>12.66</v>
      </c>
      <c r="V7" s="840">
        <v>10.01</v>
      </c>
      <c r="W7" s="840">
        <v>1.22</v>
      </c>
      <c r="X7" s="840">
        <v>142.55000000000001</v>
      </c>
      <c r="Y7" s="840">
        <v>40.92</v>
      </c>
    </row>
    <row r="8" spans="1:25" ht="11.25" customHeight="1">
      <c r="A8" s="200"/>
      <c r="B8" s="251"/>
      <c r="C8" s="179"/>
      <c r="D8" s="191"/>
      <c r="E8" s="191"/>
      <c r="F8" s="566"/>
      <c r="G8" s="567"/>
      <c r="H8" s="567"/>
      <c r="I8" s="248"/>
      <c r="J8" s="30"/>
      <c r="K8" s="30"/>
      <c r="L8" s="31"/>
      <c r="P8" s="839">
        <v>5</v>
      </c>
      <c r="Q8" s="840">
        <v>14.34</v>
      </c>
      <c r="R8" s="840">
        <v>9.59</v>
      </c>
      <c r="S8" s="840">
        <v>142.55000000000001</v>
      </c>
      <c r="T8" s="840">
        <v>128.66</v>
      </c>
      <c r="U8" s="840">
        <v>24.24</v>
      </c>
      <c r="V8" s="840">
        <v>10.01</v>
      </c>
      <c r="W8" s="840">
        <v>1.17</v>
      </c>
      <c r="X8" s="840">
        <v>251.59399999999999</v>
      </c>
      <c r="Y8" s="840">
        <v>58.97</v>
      </c>
    </row>
    <row r="9" spans="1:25" ht="11.25" customHeight="1">
      <c r="A9" s="200"/>
      <c r="B9" s="251"/>
      <c r="C9" s="179"/>
      <c r="D9" s="191"/>
      <c r="E9" s="191"/>
      <c r="F9" s="566"/>
      <c r="G9" s="567"/>
      <c r="H9" s="567"/>
      <c r="I9" s="248"/>
      <c r="J9" s="32"/>
      <c r="K9" s="33"/>
      <c r="L9" s="34"/>
      <c r="P9" s="839">
        <v>6</v>
      </c>
      <c r="Q9" s="840">
        <v>14.98</v>
      </c>
      <c r="R9" s="840">
        <v>12.82</v>
      </c>
      <c r="S9" s="840">
        <v>223.15</v>
      </c>
      <c r="T9" s="840">
        <v>174.87</v>
      </c>
      <c r="U9" s="840">
        <v>35.18</v>
      </c>
      <c r="V9" s="840">
        <v>9.01</v>
      </c>
      <c r="W9" s="840">
        <v>0.82</v>
      </c>
      <c r="X9" s="840">
        <v>388.05428210000002</v>
      </c>
      <c r="Y9" s="840">
        <v>80.41</v>
      </c>
    </row>
    <row r="10" spans="1:25" ht="11.25" customHeight="1">
      <c r="A10" s="200"/>
      <c r="B10" s="251"/>
      <c r="C10" s="179"/>
      <c r="D10" s="191"/>
      <c r="E10" s="191"/>
      <c r="F10" s="566"/>
      <c r="G10" s="567"/>
      <c r="H10" s="567"/>
      <c r="I10" s="248"/>
      <c r="J10" s="32"/>
      <c r="K10" s="32"/>
      <c r="L10" s="29"/>
      <c r="P10" s="839">
        <v>7</v>
      </c>
      <c r="Q10" s="840">
        <v>15.86</v>
      </c>
      <c r="R10" s="840">
        <v>12.43</v>
      </c>
      <c r="S10" s="840">
        <v>223.86</v>
      </c>
      <c r="T10" s="840">
        <v>126.56</v>
      </c>
      <c r="U10" s="840">
        <v>25.04</v>
      </c>
      <c r="V10" s="840">
        <v>9.01</v>
      </c>
      <c r="W10" s="840">
        <v>1.59</v>
      </c>
      <c r="X10" s="840">
        <v>283.21000240000001</v>
      </c>
      <c r="Y10" s="840">
        <v>53.36</v>
      </c>
    </row>
    <row r="11" spans="1:25" ht="11.25" customHeight="1">
      <c r="A11" s="200"/>
      <c r="B11" s="191"/>
      <c r="C11" s="179"/>
      <c r="D11" s="191"/>
      <c r="E11" s="191"/>
      <c r="F11" s="566"/>
      <c r="G11" s="567"/>
      <c r="H11" s="567"/>
      <c r="I11" s="248"/>
      <c r="J11" s="32"/>
      <c r="K11" s="32"/>
      <c r="L11" s="29"/>
      <c r="O11" s="838">
        <v>8</v>
      </c>
      <c r="P11" s="839">
        <v>8</v>
      </c>
      <c r="Q11" s="840">
        <v>22.12</v>
      </c>
      <c r="R11" s="840">
        <v>19.3</v>
      </c>
      <c r="S11" s="840">
        <v>297.45999999999998</v>
      </c>
      <c r="T11" s="840">
        <v>188.83</v>
      </c>
      <c r="U11" s="840">
        <v>26.72</v>
      </c>
      <c r="V11" s="840">
        <v>18.309999999999999</v>
      </c>
      <c r="W11" s="840">
        <v>14.62</v>
      </c>
      <c r="X11" s="840">
        <v>414.29357470000002</v>
      </c>
      <c r="Y11" s="840">
        <v>65.55</v>
      </c>
    </row>
    <row r="12" spans="1:25" ht="11.25" customHeight="1">
      <c r="A12" s="200"/>
      <c r="B12" s="191"/>
      <c r="C12" s="179"/>
      <c r="D12" s="191"/>
      <c r="E12" s="191"/>
      <c r="F12" s="566"/>
      <c r="G12" s="567"/>
      <c r="H12" s="567"/>
      <c r="I12" s="248"/>
      <c r="J12" s="32"/>
      <c r="K12" s="32"/>
      <c r="L12" s="29"/>
      <c r="P12" s="839">
        <v>9</v>
      </c>
      <c r="Q12" s="840">
        <v>31.986428669999999</v>
      </c>
      <c r="R12" s="840">
        <v>19.514333090000001</v>
      </c>
      <c r="S12" s="840">
        <v>326.48699649999998</v>
      </c>
      <c r="T12" s="840">
        <v>170.33500290000001</v>
      </c>
      <c r="U12" s="840">
        <v>30.940000529999999</v>
      </c>
      <c r="V12" s="840">
        <v>16.54985727582655</v>
      </c>
      <c r="W12" s="840">
        <v>7.4597144130000004</v>
      </c>
      <c r="X12" s="840">
        <v>382.60643219999997</v>
      </c>
      <c r="Y12" s="840">
        <v>72.96314185</v>
      </c>
    </row>
    <row r="13" spans="1:25" ht="11.25" customHeight="1">
      <c r="A13" s="200"/>
      <c r="B13" s="191"/>
      <c r="C13" s="179"/>
      <c r="D13" s="191"/>
      <c r="E13" s="191"/>
      <c r="F13" s="566"/>
      <c r="G13" s="567"/>
      <c r="H13" s="567"/>
      <c r="I13" s="248"/>
      <c r="J13" s="30"/>
      <c r="K13" s="30"/>
      <c r="L13" s="31"/>
      <c r="P13" s="839">
        <v>10</v>
      </c>
      <c r="Q13" s="840">
        <v>21.817856924874398</v>
      </c>
      <c r="R13" s="840">
        <v>20.1870002746582</v>
      </c>
      <c r="S13" s="840">
        <v>281.91442869999997</v>
      </c>
      <c r="T13" s="840">
        <v>164.05856977190246</v>
      </c>
      <c r="U13" s="840">
        <v>30.751428604125927</v>
      </c>
      <c r="V13" s="840">
        <v>9.5257144655499921</v>
      </c>
      <c r="W13" s="840">
        <v>2.1815714495522598</v>
      </c>
      <c r="X13" s="840">
        <v>245.78571646554084</v>
      </c>
      <c r="Y13" s="840">
        <v>47.002858298165428</v>
      </c>
    </row>
    <row r="14" spans="1:25" ht="11.25" customHeight="1">
      <c r="A14" s="200"/>
      <c r="B14" s="191"/>
      <c r="C14" s="179"/>
      <c r="D14" s="191"/>
      <c r="E14" s="191"/>
      <c r="F14" s="566"/>
      <c r="G14" s="567"/>
      <c r="H14" s="567"/>
      <c r="I14" s="248"/>
      <c r="J14" s="32"/>
      <c r="K14" s="33"/>
      <c r="L14" s="34"/>
      <c r="P14" s="839">
        <v>11</v>
      </c>
      <c r="Q14" s="840">
        <v>21.645000185285259</v>
      </c>
      <c r="R14" s="840">
        <v>18.452999932425314</v>
      </c>
      <c r="S14" s="840">
        <v>302.97000000000003</v>
      </c>
      <c r="T14" s="840">
        <v>146.11571393694155</v>
      </c>
      <c r="U14" s="840">
        <v>26.230000359671411</v>
      </c>
      <c r="V14" s="840">
        <v>10.001428604125973</v>
      </c>
      <c r="W14" s="840">
        <v>1.7041428429739771</v>
      </c>
      <c r="X14" s="840">
        <v>239.62</v>
      </c>
      <c r="Y14" s="840">
        <v>42.29</v>
      </c>
    </row>
    <row r="15" spans="1:25" ht="11.25" customHeight="1">
      <c r="A15" s="200"/>
      <c r="B15" s="191"/>
      <c r="C15" s="179"/>
      <c r="D15" s="191"/>
      <c r="E15" s="191"/>
      <c r="F15" s="566"/>
      <c r="G15" s="567"/>
      <c r="H15" s="567"/>
      <c r="I15" s="248"/>
      <c r="J15" s="32"/>
      <c r="K15" s="33"/>
      <c r="L15" s="29"/>
      <c r="O15" s="838">
        <v>12</v>
      </c>
      <c r="P15" s="839">
        <v>12</v>
      </c>
      <c r="Q15" s="840">
        <v>15.247000013078916</v>
      </c>
      <c r="R15" s="840">
        <v>12.7100000381469</v>
      </c>
      <c r="S15" s="840">
        <v>179.33771623883899</v>
      </c>
      <c r="T15" s="840">
        <v>114.18428584507485</v>
      </c>
      <c r="U15" s="840">
        <v>18.61999988555905</v>
      </c>
      <c r="V15" s="840">
        <v>9.9999999999999964</v>
      </c>
      <c r="W15" s="840">
        <v>1.2444285835538544</v>
      </c>
      <c r="X15" s="840">
        <v>150.27357046944684</v>
      </c>
      <c r="Y15" s="840">
        <v>24.915714263915959</v>
      </c>
    </row>
    <row r="16" spans="1:25" ht="11.25" customHeight="1">
      <c r="A16" s="200"/>
      <c r="B16" s="191"/>
      <c r="C16" s="179"/>
      <c r="D16" s="191"/>
      <c r="E16" s="191"/>
      <c r="F16" s="566"/>
      <c r="G16" s="567"/>
      <c r="H16" s="567"/>
      <c r="I16" s="248"/>
      <c r="J16" s="32"/>
      <c r="K16" s="33"/>
      <c r="L16" s="29"/>
      <c r="P16" s="839">
        <v>13</v>
      </c>
      <c r="Q16" s="840">
        <v>17.322999954223601</v>
      </c>
      <c r="R16" s="840">
        <v>15.171999931335399</v>
      </c>
      <c r="S16" s="840">
        <v>130.67500305175699</v>
      </c>
      <c r="T16" s="840">
        <v>89.040000915527301</v>
      </c>
      <c r="U16" s="840">
        <v>15.310000419616699</v>
      </c>
      <c r="V16" s="840">
        <v>10</v>
      </c>
      <c r="W16" s="840">
        <v>1.0199999809265099</v>
      </c>
      <c r="X16" s="840">
        <v>116.33999633789</v>
      </c>
      <c r="Y16" s="840">
        <v>24.159999847412099</v>
      </c>
    </row>
    <row r="17" spans="1:25" ht="11.25" customHeight="1">
      <c r="A17" s="200"/>
      <c r="B17" s="191"/>
      <c r="C17" s="179"/>
      <c r="D17" s="191"/>
      <c r="E17" s="191"/>
      <c r="F17" s="566"/>
      <c r="G17" s="567"/>
      <c r="H17" s="567"/>
      <c r="I17" s="248"/>
      <c r="J17" s="32"/>
      <c r="K17" s="33"/>
      <c r="L17" s="29"/>
      <c r="P17" s="839">
        <v>14</v>
      </c>
      <c r="Q17" s="840">
        <v>14.828142711094401</v>
      </c>
      <c r="R17" s="840">
        <v>13.217000007629398</v>
      </c>
      <c r="S17" s="840">
        <v>121.81457192557171</v>
      </c>
      <c r="T17" s="840">
        <v>78.037142072405103</v>
      </c>
      <c r="U17" s="840">
        <v>14.082857131957956</v>
      </c>
      <c r="V17" s="840">
        <v>10.001428604125973</v>
      </c>
      <c r="W17" s="840">
        <v>1.3691428899764975</v>
      </c>
      <c r="X17" s="840">
        <v>126.18428475516127</v>
      </c>
      <c r="Y17" s="840">
        <v>22.646999904087572</v>
      </c>
    </row>
    <row r="18" spans="1:25" ht="11.25" customHeight="1">
      <c r="A18" s="939" t="s">
        <v>605</v>
      </c>
      <c r="B18" s="939"/>
      <c r="C18" s="939"/>
      <c r="D18" s="939"/>
      <c r="E18" s="939"/>
      <c r="F18" s="939"/>
      <c r="G18" s="939"/>
      <c r="H18" s="939"/>
      <c r="I18" s="939"/>
      <c r="J18" s="939"/>
      <c r="K18" s="939"/>
      <c r="L18" s="939"/>
      <c r="P18" s="839">
        <v>15</v>
      </c>
      <c r="Q18" s="840">
        <v>15.017142977033298</v>
      </c>
      <c r="R18" s="840">
        <v>11.291000366210898</v>
      </c>
      <c r="S18" s="840">
        <v>184.69442967006074</v>
      </c>
      <c r="T18" s="840">
        <v>74.048570905412902</v>
      </c>
      <c r="U18" s="840">
        <v>17.312857082911869</v>
      </c>
      <c r="V18" s="840">
        <v>10.005714416503881</v>
      </c>
      <c r="W18" s="840">
        <v>1.6558571543012313</v>
      </c>
      <c r="X18" s="840">
        <v>140.54571315220355</v>
      </c>
      <c r="Y18" s="840">
        <v>22.742571422031897</v>
      </c>
    </row>
    <row r="19" spans="1:25" ht="11.25" customHeight="1">
      <c r="A19" s="252"/>
      <c r="B19" s="191"/>
      <c r="C19" s="179"/>
      <c r="D19" s="191"/>
      <c r="E19" s="191"/>
      <c r="F19" s="246"/>
      <c r="G19" s="247"/>
      <c r="H19" s="247"/>
      <c r="I19" s="248"/>
      <c r="J19" s="32"/>
      <c r="K19" s="33"/>
      <c r="L19" s="29"/>
      <c r="O19" s="838">
        <v>16</v>
      </c>
      <c r="P19" s="839">
        <v>16</v>
      </c>
      <c r="Q19" s="840">
        <v>13.98</v>
      </c>
      <c r="R19" s="840">
        <v>11.63</v>
      </c>
      <c r="S19" s="840">
        <v>164.52</v>
      </c>
      <c r="T19" s="840">
        <v>81.069999999999993</v>
      </c>
      <c r="U19" s="840">
        <v>21.07</v>
      </c>
      <c r="V19" s="840">
        <v>10.01</v>
      </c>
      <c r="W19" s="840">
        <v>1.27</v>
      </c>
      <c r="X19" s="840">
        <v>141.29</v>
      </c>
      <c r="Y19" s="840">
        <v>23.21</v>
      </c>
    </row>
    <row r="20" spans="1:25" ht="11.25" customHeight="1">
      <c r="A20" s="153"/>
      <c r="B20" s="191"/>
      <c r="C20" s="179"/>
      <c r="D20" s="191"/>
      <c r="E20" s="191"/>
      <c r="F20" s="246"/>
      <c r="G20" s="247"/>
      <c r="H20" s="247"/>
      <c r="I20" s="248"/>
      <c r="J20" s="32"/>
      <c r="K20" s="33"/>
      <c r="L20" s="29"/>
      <c r="P20" s="839">
        <v>17</v>
      </c>
      <c r="Q20" s="840">
        <v>12.944285669999999</v>
      </c>
      <c r="R20" s="840">
        <v>10.010000228881799</v>
      </c>
      <c r="S20" s="840">
        <v>152.88357325962556</v>
      </c>
      <c r="T20" s="840">
        <v>64.311428070000005</v>
      </c>
      <c r="U20" s="840">
        <v>16.638571469999999</v>
      </c>
      <c r="V20" s="840">
        <v>10.004285812377887</v>
      </c>
      <c r="W20" s="840">
        <v>1.7342857122421229</v>
      </c>
      <c r="X20" s="840">
        <v>105.73500061035119</v>
      </c>
      <c r="Y20" s="840">
        <v>19.724285806928286</v>
      </c>
    </row>
    <row r="21" spans="1:25" ht="11.25" customHeight="1">
      <c r="A21" s="153"/>
      <c r="B21" s="191"/>
      <c r="C21" s="179"/>
      <c r="D21" s="191"/>
      <c r="E21" s="191"/>
      <c r="F21" s="246"/>
      <c r="G21" s="247"/>
      <c r="H21" s="247"/>
      <c r="I21" s="248"/>
      <c r="J21" s="32"/>
      <c r="K21" s="38"/>
      <c r="L21" s="39"/>
      <c r="P21" s="839">
        <v>18</v>
      </c>
      <c r="Q21" s="840">
        <v>10.727142742701899</v>
      </c>
      <c r="R21" s="840">
        <v>6.3112858363560251</v>
      </c>
      <c r="S21" s="840">
        <v>98.225285121372636</v>
      </c>
      <c r="T21" s="840">
        <v>46.242857796805197</v>
      </c>
      <c r="U21" s="840">
        <v>10.637142998831566</v>
      </c>
      <c r="V21" s="840">
        <v>10.007143020629858</v>
      </c>
      <c r="W21" s="840">
        <v>1.4345714194433998</v>
      </c>
      <c r="X21" s="840">
        <v>72.620000566754968</v>
      </c>
      <c r="Y21" s="840">
        <v>14.075714383806471</v>
      </c>
    </row>
    <row r="22" spans="1:25" ht="11.25" customHeight="1">
      <c r="A22" s="158"/>
      <c r="B22" s="191"/>
      <c r="C22" s="179"/>
      <c r="D22" s="191"/>
      <c r="E22" s="191"/>
      <c r="F22" s="246"/>
      <c r="G22" s="247"/>
      <c r="H22" s="247"/>
      <c r="I22" s="248"/>
      <c r="J22" s="32"/>
      <c r="K22" s="33"/>
      <c r="L22" s="29"/>
      <c r="P22" s="839">
        <v>19</v>
      </c>
      <c r="Q22" s="840">
        <v>9.4342857088361427</v>
      </c>
      <c r="R22" s="840">
        <v>7.4910001754760689</v>
      </c>
      <c r="S22" s="840">
        <v>86.615142822265582</v>
      </c>
      <c r="T22" s="840">
        <v>41.954286302838973</v>
      </c>
      <c r="U22" s="840">
        <v>9.4342857088361427</v>
      </c>
      <c r="V22" s="840">
        <v>10.004285812377914</v>
      </c>
      <c r="W22" s="840">
        <v>1.3051428794860784</v>
      </c>
      <c r="X22" s="840">
        <v>60.497857775006928</v>
      </c>
      <c r="Y22" s="840">
        <v>12.797142846243686</v>
      </c>
    </row>
    <row r="23" spans="1:25" ht="11.25" customHeight="1">
      <c r="A23" s="158"/>
      <c r="B23" s="191"/>
      <c r="C23" s="179"/>
      <c r="D23" s="191"/>
      <c r="E23" s="191"/>
      <c r="F23" s="246"/>
      <c r="G23" s="247"/>
      <c r="H23" s="247"/>
      <c r="I23" s="248"/>
      <c r="J23" s="32"/>
      <c r="K23" s="33"/>
      <c r="L23" s="29"/>
      <c r="O23" s="838">
        <v>20</v>
      </c>
      <c r="P23" s="839">
        <v>20</v>
      </c>
      <c r="Q23" s="840">
        <v>9.1999999999999993</v>
      </c>
      <c r="R23" s="840">
        <v>6.8</v>
      </c>
      <c r="S23" s="840">
        <v>78.2</v>
      </c>
      <c r="T23" s="840">
        <v>39.6</v>
      </c>
      <c r="U23" s="840">
        <v>8.6</v>
      </c>
      <c r="V23" s="840">
        <v>10</v>
      </c>
      <c r="W23" s="840">
        <v>1.6</v>
      </c>
      <c r="X23" s="840">
        <v>56.6</v>
      </c>
      <c r="Y23" s="840">
        <v>12.9</v>
      </c>
    </row>
    <row r="24" spans="1:25" ht="11.25" customHeight="1">
      <c r="A24" s="158"/>
      <c r="B24" s="191"/>
      <c r="C24" s="179"/>
      <c r="D24" s="191"/>
      <c r="E24" s="191"/>
      <c r="F24" s="246"/>
      <c r="G24" s="247"/>
      <c r="H24" s="247"/>
      <c r="I24" s="248"/>
      <c r="J24" s="33"/>
      <c r="K24" s="33"/>
      <c r="L24" s="29"/>
      <c r="P24" s="839">
        <v>21</v>
      </c>
      <c r="Q24" s="840">
        <v>9.0128573008945967</v>
      </c>
      <c r="R24" s="840">
        <v>5.4099998474121005</v>
      </c>
      <c r="S24" s="840">
        <v>73.744141714913454</v>
      </c>
      <c r="T24" s="840">
        <v>44.79285812377924</v>
      </c>
      <c r="U24" s="840">
        <v>10.11999988555907</v>
      </c>
      <c r="V24" s="840">
        <v>10.011428560529414</v>
      </c>
      <c r="W24" s="840">
        <v>1.2349999972752113</v>
      </c>
      <c r="X24" s="840">
        <v>52.17071369716097</v>
      </c>
      <c r="Y24" s="840">
        <v>11.968571390424414</v>
      </c>
    </row>
    <row r="25" spans="1:25" ht="11.25" customHeight="1">
      <c r="A25" s="158"/>
      <c r="B25" s="191"/>
      <c r="C25" s="179"/>
      <c r="D25" s="191"/>
      <c r="E25" s="191"/>
      <c r="F25" s="246"/>
      <c r="G25" s="247"/>
      <c r="H25" s="247"/>
      <c r="I25" s="248"/>
      <c r="J25" s="32"/>
      <c r="K25" s="38"/>
      <c r="L25" s="39"/>
      <c r="P25" s="839">
        <v>22</v>
      </c>
      <c r="Q25" s="840">
        <v>7.95</v>
      </c>
      <c r="R25" s="840">
        <v>3.82</v>
      </c>
      <c r="S25" s="840">
        <v>66.739999999999995</v>
      </c>
      <c r="T25" s="840">
        <v>34.01</v>
      </c>
      <c r="U25" s="840">
        <v>8.15</v>
      </c>
      <c r="V25" s="840">
        <v>10.02</v>
      </c>
      <c r="W25" s="840">
        <v>1.52</v>
      </c>
      <c r="X25" s="840">
        <v>46.88</v>
      </c>
      <c r="Y25" s="840">
        <v>9.89</v>
      </c>
    </row>
    <row r="26" spans="1:25" ht="11.25" customHeight="1">
      <c r="A26" s="158"/>
      <c r="B26" s="191"/>
      <c r="C26" s="179"/>
      <c r="D26" s="191"/>
      <c r="E26" s="191"/>
      <c r="F26" s="159"/>
      <c r="G26" s="159"/>
      <c r="H26" s="159"/>
      <c r="I26" s="159"/>
      <c r="J26" s="30"/>
      <c r="K26" s="33"/>
      <c r="L26" s="29"/>
      <c r="P26" s="839">
        <v>23</v>
      </c>
      <c r="Q26" s="840">
        <v>7.6</v>
      </c>
      <c r="R26" s="840">
        <v>3.22</v>
      </c>
      <c r="S26" s="840">
        <v>59.4</v>
      </c>
      <c r="T26" s="840">
        <v>28.71</v>
      </c>
      <c r="U26" s="840">
        <v>7.74</v>
      </c>
      <c r="V26" s="840">
        <v>10</v>
      </c>
      <c r="W26" s="840">
        <v>1.55</v>
      </c>
      <c r="X26" s="840">
        <v>43.39</v>
      </c>
      <c r="Y26" s="840">
        <v>8.57</v>
      </c>
    </row>
    <row r="27" spans="1:25" ht="11.25" customHeight="1">
      <c r="A27" s="158"/>
      <c r="B27" s="191"/>
      <c r="C27" s="179"/>
      <c r="D27" s="191"/>
      <c r="E27" s="191"/>
      <c r="F27" s="159"/>
      <c r="G27" s="159"/>
      <c r="H27" s="159"/>
      <c r="I27" s="159"/>
      <c r="J27" s="30"/>
      <c r="K27" s="33"/>
      <c r="L27" s="29"/>
      <c r="O27" s="838">
        <v>24</v>
      </c>
      <c r="P27" s="839">
        <v>24</v>
      </c>
      <c r="Q27" s="840">
        <v>9.57</v>
      </c>
      <c r="R27" s="840">
        <v>3.42</v>
      </c>
      <c r="S27" s="840">
        <v>54.3</v>
      </c>
      <c r="T27" s="840">
        <v>30.83</v>
      </c>
      <c r="U27" s="840">
        <v>7.53</v>
      </c>
      <c r="V27" s="840">
        <v>10</v>
      </c>
      <c r="W27" s="840">
        <v>1.6</v>
      </c>
      <c r="X27" s="840">
        <v>40.28</v>
      </c>
      <c r="Y27" s="840">
        <v>9.6</v>
      </c>
    </row>
    <row r="28" spans="1:25" ht="11.25" customHeight="1">
      <c r="A28" s="157"/>
      <c r="B28" s="159"/>
      <c r="C28" s="159"/>
      <c r="D28" s="159"/>
      <c r="E28" s="159"/>
      <c r="F28" s="159"/>
      <c r="G28" s="159"/>
      <c r="H28" s="159"/>
      <c r="I28" s="159"/>
      <c r="J28" s="32"/>
      <c r="K28" s="33"/>
      <c r="L28" s="29"/>
      <c r="P28" s="839">
        <v>25</v>
      </c>
      <c r="Q28" s="840">
        <v>9.0548571179999993</v>
      </c>
      <c r="R28" s="840">
        <v>3.2130000590000001</v>
      </c>
      <c r="S28" s="840">
        <v>56.674428669999998</v>
      </c>
      <c r="T28" s="840">
        <v>25.690000260000001</v>
      </c>
      <c r="U28" s="840">
        <v>6.9342856409999998</v>
      </c>
      <c r="V28" s="840">
        <v>10.00571442</v>
      </c>
      <c r="W28" s="840">
        <v>1.254714302</v>
      </c>
      <c r="X28" s="840">
        <v>37.560714179999998</v>
      </c>
      <c r="Y28" s="840">
        <v>7.91285726</v>
      </c>
    </row>
    <row r="29" spans="1:25" ht="11.25" customHeight="1">
      <c r="A29" s="157"/>
      <c r="B29" s="159"/>
      <c r="C29" s="159"/>
      <c r="D29" s="159"/>
      <c r="E29" s="159"/>
      <c r="F29" s="159"/>
      <c r="G29" s="159"/>
      <c r="H29" s="159"/>
      <c r="I29" s="159"/>
      <c r="J29" s="32"/>
      <c r="K29" s="33"/>
      <c r="L29" s="29"/>
      <c r="P29" s="839">
        <v>26</v>
      </c>
      <c r="Q29" s="840">
        <v>8.8612857550000008</v>
      </c>
      <c r="R29" s="840">
        <v>3.5</v>
      </c>
      <c r="S29" s="840">
        <v>68.087428501674069</v>
      </c>
      <c r="T29" s="840">
        <v>30.317143300000001</v>
      </c>
      <c r="U29" s="840">
        <v>8.8971428190000008</v>
      </c>
      <c r="V29" s="840">
        <v>10</v>
      </c>
      <c r="W29" s="840">
        <v>1.4324285809999999</v>
      </c>
      <c r="X29" s="840">
        <v>37.759999409999999</v>
      </c>
      <c r="Y29" s="840">
        <v>8.911428656</v>
      </c>
    </row>
    <row r="30" spans="1:25" ht="11.25" customHeight="1">
      <c r="A30" s="157"/>
      <c r="B30" s="159"/>
      <c r="C30" s="159"/>
      <c r="D30" s="159"/>
      <c r="E30" s="159"/>
      <c r="F30" s="159"/>
      <c r="G30" s="159"/>
      <c r="H30" s="159"/>
      <c r="I30" s="159"/>
      <c r="J30" s="32"/>
      <c r="K30" s="33"/>
      <c r="L30" s="29"/>
      <c r="P30" s="839">
        <v>27</v>
      </c>
      <c r="Q30" s="840">
        <v>8.3185714990000008</v>
      </c>
      <c r="R30" s="840">
        <v>4.0900001530000001</v>
      </c>
      <c r="S30" s="840">
        <v>60.110428400000004</v>
      </c>
      <c r="T30" s="840">
        <v>28.581429350000001</v>
      </c>
      <c r="U30" s="840">
        <v>7.9442856649999998</v>
      </c>
      <c r="V30" s="840">
        <v>10.001428600000001</v>
      </c>
      <c r="W30" s="840">
        <v>1.455999987</v>
      </c>
      <c r="X30" s="840">
        <v>35.967143470000003</v>
      </c>
      <c r="Y30" s="840">
        <v>7.2057142259999996</v>
      </c>
    </row>
    <row r="31" spans="1:25" ht="11.25" customHeight="1">
      <c r="A31" s="157"/>
      <c r="B31" s="159"/>
      <c r="C31" s="159"/>
      <c r="D31" s="159"/>
      <c r="E31" s="159"/>
      <c r="F31" s="159"/>
      <c r="G31" s="159"/>
      <c r="H31" s="159"/>
      <c r="I31" s="159"/>
      <c r="J31" s="32"/>
      <c r="K31" s="33"/>
      <c r="L31" s="29"/>
      <c r="O31" s="838">
        <v>28</v>
      </c>
      <c r="P31" s="839">
        <v>28</v>
      </c>
      <c r="Q31" s="840">
        <v>7.789714268</v>
      </c>
      <c r="R31" s="840">
        <v>3.119999886</v>
      </c>
      <c r="S31" s="840">
        <v>60.986856189999997</v>
      </c>
      <c r="T31" s="840">
        <v>27.099999836512943</v>
      </c>
      <c r="U31" s="840">
        <v>7.4514284819999999</v>
      </c>
      <c r="V31" s="840">
        <v>10.0128573</v>
      </c>
      <c r="W31" s="840">
        <v>1.5508571609999999</v>
      </c>
      <c r="X31" s="840">
        <v>47.66357095</v>
      </c>
      <c r="Y31" s="840">
        <v>9.9999998639999994</v>
      </c>
    </row>
    <row r="32" spans="1:25" ht="11.25" customHeight="1">
      <c r="A32" s="157"/>
      <c r="B32" s="159"/>
      <c r="C32" s="159"/>
      <c r="D32" s="159"/>
      <c r="E32" s="159"/>
      <c r="F32" s="159"/>
      <c r="G32" s="159"/>
      <c r="H32" s="159"/>
      <c r="I32" s="159"/>
      <c r="J32" s="33"/>
      <c r="K32" s="33"/>
      <c r="L32" s="29"/>
      <c r="P32" s="839">
        <v>29</v>
      </c>
      <c r="Q32" s="840">
        <v>7.1615714349999999</v>
      </c>
      <c r="R32" s="840">
        <v>3.4249999519999998</v>
      </c>
      <c r="S32" s="840">
        <v>56.540714260000001</v>
      </c>
      <c r="T32" s="840">
        <v>23.477142610000001</v>
      </c>
      <c r="U32" s="840">
        <v>6.2828570089999998</v>
      </c>
      <c r="V32" s="840">
        <v>10.001428600000001</v>
      </c>
      <c r="W32" s="840">
        <v>2.1035714489999999</v>
      </c>
      <c r="X32" s="840">
        <v>44.25</v>
      </c>
      <c r="Y32" s="840">
        <v>6.7128572460000004</v>
      </c>
    </row>
    <row r="33" spans="1:25" ht="11.25" customHeight="1">
      <c r="A33" s="157"/>
      <c r="B33" s="159"/>
      <c r="C33" s="159"/>
      <c r="D33" s="159"/>
      <c r="E33" s="159"/>
      <c r="F33" s="159"/>
      <c r="G33" s="159"/>
      <c r="H33" s="159"/>
      <c r="I33" s="159"/>
      <c r="J33" s="32"/>
      <c r="K33" s="33"/>
      <c r="L33" s="29"/>
      <c r="P33" s="839">
        <v>30</v>
      </c>
      <c r="Q33" s="840">
        <v>6.6714285440000003</v>
      </c>
      <c r="R33" s="840">
        <v>2.8789999489999998</v>
      </c>
      <c r="S33" s="840">
        <v>65.491856709999993</v>
      </c>
      <c r="T33" s="840">
        <v>21.095714300000001</v>
      </c>
      <c r="U33" s="840">
        <v>5.8057142669999999</v>
      </c>
      <c r="V33" s="840">
        <v>10.01142883</v>
      </c>
      <c r="W33" s="840">
        <v>1.8491428750000001</v>
      </c>
      <c r="X33" s="840">
        <v>42.498571668352326</v>
      </c>
      <c r="Y33" s="840">
        <v>6.0797142300000004</v>
      </c>
    </row>
    <row r="34" spans="1:25" ht="11.25" customHeight="1">
      <c r="A34" s="157"/>
      <c r="B34" s="159"/>
      <c r="C34" s="159"/>
      <c r="D34" s="159"/>
      <c r="E34" s="159"/>
      <c r="F34" s="159"/>
      <c r="G34" s="159"/>
      <c r="H34" s="159"/>
      <c r="I34" s="159"/>
      <c r="J34" s="32"/>
      <c r="K34" s="43"/>
      <c r="L34" s="29"/>
      <c r="P34" s="839">
        <v>31</v>
      </c>
      <c r="Q34" s="840">
        <v>6.2387143543788328</v>
      </c>
      <c r="R34" s="840">
        <v>2.9382856232779297</v>
      </c>
      <c r="S34" s="840">
        <v>65.491856711251344</v>
      </c>
      <c r="T34" s="840">
        <v>20.037142889840243</v>
      </c>
      <c r="U34" s="840">
        <v>5.4814286231994549</v>
      </c>
      <c r="V34" s="840">
        <v>10.011428833007772</v>
      </c>
      <c r="W34" s="840">
        <v>1.8019999946866672</v>
      </c>
      <c r="X34" s="840">
        <v>39.98428617204933</v>
      </c>
      <c r="Y34" s="840">
        <v>4.9059999329703157</v>
      </c>
    </row>
    <row r="35" spans="1:25" ht="11.25" customHeight="1">
      <c r="A35" s="157"/>
      <c r="B35" s="159"/>
      <c r="C35" s="159"/>
      <c r="D35" s="159"/>
      <c r="E35" s="159"/>
      <c r="F35" s="159"/>
      <c r="G35" s="159"/>
      <c r="H35" s="159"/>
      <c r="I35" s="159"/>
      <c r="J35" s="32"/>
      <c r="K35" s="43"/>
      <c r="L35" s="48"/>
      <c r="O35" s="838">
        <v>32</v>
      </c>
      <c r="P35" s="839">
        <v>32</v>
      </c>
      <c r="Q35" s="840">
        <v>6.1697142459999998</v>
      </c>
      <c r="R35" s="840">
        <v>3.2030000689999998</v>
      </c>
      <c r="S35" s="840">
        <v>49.942714418571427</v>
      </c>
      <c r="T35" s="840">
        <v>23.275714059999999</v>
      </c>
      <c r="U35" s="840">
        <v>5.8257142479999997</v>
      </c>
      <c r="V35" s="840">
        <v>10.004285810000001</v>
      </c>
      <c r="W35" s="840">
        <v>1.2214285650000001</v>
      </c>
      <c r="X35" s="840">
        <v>36.654999320000002</v>
      </c>
      <c r="Y35" s="840">
        <v>4.0242800000000001</v>
      </c>
    </row>
    <row r="36" spans="1:25" ht="11.25" customHeight="1">
      <c r="A36" s="157"/>
      <c r="B36" s="159"/>
      <c r="C36" s="159"/>
      <c r="D36" s="159"/>
      <c r="E36" s="159"/>
      <c r="F36" s="159"/>
      <c r="G36" s="159"/>
      <c r="H36" s="159"/>
      <c r="I36" s="159"/>
      <c r="J36" s="32"/>
      <c r="K36" s="38"/>
      <c r="L36" s="29"/>
      <c r="P36" s="839">
        <v>33</v>
      </c>
      <c r="Q36" s="840">
        <v>6.3728570940000004</v>
      </c>
      <c r="R36" s="840">
        <v>2.841857144</v>
      </c>
      <c r="S36" s="840">
        <v>57.183571406773112</v>
      </c>
      <c r="T36" s="840">
        <v>22.619999750000002</v>
      </c>
      <c r="U36" s="840">
        <v>5.5228571210000004</v>
      </c>
      <c r="V36" s="840">
        <v>10</v>
      </c>
      <c r="W36" s="840">
        <v>1.3032857349940685</v>
      </c>
      <c r="X36" s="840">
        <v>35.152857099999999</v>
      </c>
      <c r="Y36" s="840">
        <v>4.354285752</v>
      </c>
    </row>
    <row r="37" spans="1:25" ht="11.25" customHeight="1">
      <c r="A37" s="157"/>
      <c r="B37" s="159"/>
      <c r="C37" s="159"/>
      <c r="D37" s="159"/>
      <c r="E37" s="159"/>
      <c r="F37" s="159"/>
      <c r="G37" s="159"/>
      <c r="H37" s="159"/>
      <c r="I37" s="159"/>
      <c r="J37" s="32"/>
      <c r="K37" s="38"/>
      <c r="L37" s="29"/>
      <c r="P37" s="839">
        <v>34</v>
      </c>
      <c r="Q37" s="840">
        <v>6.1195714130000001</v>
      </c>
      <c r="R37" s="840">
        <v>3.058000088</v>
      </c>
      <c r="S37" s="840">
        <v>49.366142269999997</v>
      </c>
      <c r="T37" s="840">
        <v>25.04757145</v>
      </c>
      <c r="U37" s="840">
        <v>5.8727143149999996</v>
      </c>
      <c r="V37" s="840">
        <v>10.00857162</v>
      </c>
      <c r="W37" s="840">
        <v>1.2842857160000001</v>
      </c>
      <c r="X37" s="840">
        <v>34.115715029999997</v>
      </c>
      <c r="Y37" s="840">
        <v>4.3511429509999999</v>
      </c>
    </row>
    <row r="38" spans="1:25" ht="11.25" customHeight="1">
      <c r="A38" s="157"/>
      <c r="B38" s="159"/>
      <c r="C38" s="159"/>
      <c r="D38" s="159"/>
      <c r="E38" s="159"/>
      <c r="F38" s="159"/>
      <c r="G38" s="159"/>
      <c r="H38" s="159"/>
      <c r="I38" s="159"/>
      <c r="J38" s="32"/>
      <c r="K38" s="38"/>
      <c r="L38" s="29"/>
      <c r="P38" s="839">
        <v>35</v>
      </c>
      <c r="Q38" s="840">
        <v>5.9814286230000002</v>
      </c>
      <c r="R38" s="840">
        <v>1.506999969</v>
      </c>
      <c r="S38" s="840">
        <v>56.934856959999998</v>
      </c>
      <c r="T38" s="840">
        <v>21.374285830000002</v>
      </c>
      <c r="U38" s="840">
        <v>4.9342857090000001</v>
      </c>
      <c r="V38" s="840">
        <v>10.28714289</v>
      </c>
      <c r="W38" s="840">
        <v>1.5979999810000001</v>
      </c>
      <c r="X38" s="840">
        <v>30.92</v>
      </c>
      <c r="Y38" s="840">
        <v>5.3042856629999999</v>
      </c>
    </row>
    <row r="39" spans="1:25" ht="11.25" customHeight="1">
      <c r="O39" s="838">
        <v>36</v>
      </c>
      <c r="P39" s="839">
        <v>36</v>
      </c>
      <c r="Q39" s="840">
        <v>6.03</v>
      </c>
      <c r="R39" s="840">
        <v>2.8</v>
      </c>
      <c r="S39" s="840">
        <v>48.51</v>
      </c>
      <c r="T39" s="840">
        <v>22.661428449999999</v>
      </c>
      <c r="U39" s="840">
        <v>4.9800000000000004</v>
      </c>
      <c r="V39" s="840">
        <v>11.01</v>
      </c>
      <c r="W39" s="840">
        <v>1.63</v>
      </c>
      <c r="X39" s="840">
        <v>30.922143120000001</v>
      </c>
      <c r="Y39" s="840">
        <v>7.46</v>
      </c>
    </row>
    <row r="40" spans="1:25" ht="11.25" customHeight="1">
      <c r="A40" s="939" t="s">
        <v>604</v>
      </c>
      <c r="B40" s="939"/>
      <c r="C40" s="939"/>
      <c r="D40" s="939"/>
      <c r="E40" s="939"/>
      <c r="F40" s="939"/>
      <c r="G40" s="939"/>
      <c r="H40" s="939"/>
      <c r="I40" s="939"/>
      <c r="J40" s="939"/>
      <c r="K40" s="939"/>
      <c r="L40" s="939"/>
      <c r="P40" s="839">
        <v>37</v>
      </c>
      <c r="Q40" s="840">
        <v>6.03</v>
      </c>
      <c r="R40" s="840">
        <v>2.37</v>
      </c>
      <c r="S40" s="840">
        <v>43.99</v>
      </c>
      <c r="T40" s="840">
        <v>19.149999999999999</v>
      </c>
      <c r="U40" s="840">
        <v>5.31</v>
      </c>
      <c r="V40" s="840">
        <v>11</v>
      </c>
      <c r="W40" s="840">
        <v>1.59</v>
      </c>
      <c r="X40" s="840">
        <v>29.33</v>
      </c>
      <c r="Y40" s="840">
        <v>7.79</v>
      </c>
    </row>
    <row r="41" spans="1:25" ht="11.25" customHeight="1">
      <c r="P41" s="839">
        <v>38</v>
      </c>
      <c r="Q41" s="840">
        <v>6.5951428410000004</v>
      </c>
      <c r="R41" s="840">
        <v>3.0060000420000001</v>
      </c>
      <c r="S41" s="840">
        <v>47.220570700000003</v>
      </c>
      <c r="T41" s="840">
        <v>22.304285589999999</v>
      </c>
      <c r="U41" s="840">
        <v>5.581428528</v>
      </c>
      <c r="V41" s="840">
        <v>10.85142858</v>
      </c>
      <c r="W41" s="840">
        <v>1.5402856890000001</v>
      </c>
      <c r="X41" s="840">
        <v>34.179286410000003</v>
      </c>
      <c r="Y41" s="840">
        <v>8.5442856379999998</v>
      </c>
    </row>
    <row r="42" spans="1:25" ht="11.25" customHeight="1">
      <c r="A42" s="157"/>
      <c r="B42" s="159"/>
      <c r="C42" s="159"/>
      <c r="D42" s="159"/>
      <c r="E42" s="159"/>
      <c r="F42" s="159"/>
      <c r="G42" s="159"/>
      <c r="H42" s="159"/>
      <c r="I42" s="159"/>
      <c r="J42" s="160"/>
      <c r="K42" s="160"/>
      <c r="L42" s="160"/>
      <c r="O42" s="838">
        <v>39</v>
      </c>
      <c r="P42" s="839">
        <v>39</v>
      </c>
      <c r="Q42" s="840">
        <v>6.84</v>
      </c>
      <c r="R42" s="840">
        <v>3.32</v>
      </c>
      <c r="S42" s="840">
        <v>63.05</v>
      </c>
      <c r="T42" s="840">
        <v>48.7</v>
      </c>
      <c r="U42" s="840">
        <v>7.81</v>
      </c>
      <c r="V42" s="840">
        <v>11.15</v>
      </c>
      <c r="W42" s="840">
        <v>1.32</v>
      </c>
      <c r="X42" s="840">
        <v>38.82</v>
      </c>
      <c r="Y42" s="840">
        <v>6.81</v>
      </c>
    </row>
    <row r="43" spans="1:25" ht="11.25" customHeight="1">
      <c r="A43" s="157"/>
      <c r="B43" s="159"/>
      <c r="C43" s="159"/>
      <c r="D43" s="159"/>
      <c r="E43" s="159"/>
      <c r="F43" s="159"/>
      <c r="G43" s="159"/>
      <c r="H43" s="159"/>
      <c r="I43" s="159"/>
      <c r="J43" s="160"/>
      <c r="K43" s="160"/>
      <c r="L43" s="160"/>
      <c r="P43" s="839">
        <v>40</v>
      </c>
      <c r="Q43" s="840">
        <v>7.6862857681428576</v>
      </c>
      <c r="R43" s="840">
        <v>3.1560000009999998</v>
      </c>
      <c r="S43" s="840">
        <v>61.54114314571428</v>
      </c>
      <c r="T43" s="840">
        <v>37.928571428999994</v>
      </c>
      <c r="U43" s="840">
        <v>7.9165713450000004</v>
      </c>
      <c r="V43" s="840">
        <v>11.005714417142856</v>
      </c>
      <c r="W43" s="840">
        <v>1.3828571522857145</v>
      </c>
      <c r="X43" s="840">
        <v>43.879284992857151</v>
      </c>
      <c r="Y43" s="840">
        <v>6.2752857208571422</v>
      </c>
    </row>
    <row r="44" spans="1:25" ht="11.25" customHeight="1">
      <c r="A44" s="157"/>
      <c r="B44" s="159"/>
      <c r="C44" s="159"/>
      <c r="D44" s="159"/>
      <c r="E44" s="159"/>
      <c r="F44" s="159"/>
      <c r="G44" s="159"/>
      <c r="H44" s="159"/>
      <c r="I44" s="159"/>
      <c r="P44" s="839">
        <v>41</v>
      </c>
      <c r="Q44" s="840">
        <v>7.1000001089913463</v>
      </c>
      <c r="R44" s="840">
        <v>2.9028571673801928</v>
      </c>
      <c r="S44" s="840">
        <v>58.117285592215353</v>
      </c>
      <c r="T44" s="840">
        <v>48.921429225376635</v>
      </c>
      <c r="U44" s="840">
        <v>8.5942858287266173</v>
      </c>
      <c r="V44" s="840">
        <v>11.002857208251914</v>
      </c>
      <c r="W44" s="840">
        <v>1.3182857036590543</v>
      </c>
      <c r="X44" s="840">
        <v>45.627857753208637</v>
      </c>
      <c r="Y44" s="840">
        <v>9.9285714966910028</v>
      </c>
    </row>
    <row r="45" spans="1:25" ht="11.25" customHeight="1">
      <c r="A45" s="157"/>
      <c r="B45" s="159"/>
      <c r="C45" s="159"/>
      <c r="D45" s="159"/>
      <c r="E45" s="159"/>
      <c r="F45" s="159"/>
      <c r="G45" s="159"/>
      <c r="H45" s="159"/>
      <c r="I45" s="159"/>
      <c r="P45" s="839">
        <v>42</v>
      </c>
      <c r="Q45" s="840">
        <v>6.7610000201428573</v>
      </c>
      <c r="R45" s="840">
        <v>2.8671428815714286</v>
      </c>
      <c r="S45" s="840">
        <v>58.888142721428572</v>
      </c>
      <c r="T45" s="840">
        <v>55.619142805714283</v>
      </c>
      <c r="U45" s="840">
        <v>9.5089999614285716</v>
      </c>
      <c r="V45" s="840">
        <v>11.007142884285715</v>
      </c>
      <c r="W45" s="840">
        <v>1.2221428497142859</v>
      </c>
      <c r="X45" s="840">
        <v>52.615000045714282</v>
      </c>
      <c r="Y45" s="840">
        <v>9.6800000322857152</v>
      </c>
    </row>
    <row r="46" spans="1:25" ht="11.25" customHeight="1">
      <c r="A46" s="157"/>
      <c r="B46" s="159"/>
      <c r="C46" s="159"/>
      <c r="D46" s="159"/>
      <c r="E46" s="159"/>
      <c r="F46" s="159"/>
      <c r="G46" s="159"/>
      <c r="H46" s="159"/>
      <c r="I46" s="159"/>
      <c r="O46" s="838">
        <v>43</v>
      </c>
      <c r="P46" s="839">
        <v>43</v>
      </c>
      <c r="Q46" s="840">
        <v>6.53</v>
      </c>
      <c r="R46" s="840">
        <v>2.37</v>
      </c>
      <c r="S46" s="840">
        <v>69.2</v>
      </c>
      <c r="T46" s="840">
        <v>54.58</v>
      </c>
      <c r="U46" s="840">
        <v>8.23</v>
      </c>
      <c r="V46" s="840">
        <v>11.01</v>
      </c>
      <c r="W46" s="840">
        <v>1.35</v>
      </c>
      <c r="X46" s="840">
        <v>50.71</v>
      </c>
      <c r="Y46" s="840">
        <v>10.33</v>
      </c>
    </row>
    <row r="47" spans="1:25" ht="11.25" customHeight="1">
      <c r="A47" s="157"/>
      <c r="B47" s="159"/>
      <c r="C47" s="159"/>
      <c r="D47" s="159"/>
      <c r="E47" s="159"/>
      <c r="F47" s="159"/>
      <c r="G47" s="159"/>
      <c r="H47" s="159"/>
      <c r="I47" s="159"/>
      <c r="P47" s="839">
        <v>44</v>
      </c>
      <c r="Q47" s="840">
        <v>7.58</v>
      </c>
      <c r="R47" s="840">
        <v>4.8899999999999997</v>
      </c>
      <c r="S47" s="840">
        <v>51.59</v>
      </c>
      <c r="T47" s="840">
        <v>57.65</v>
      </c>
      <c r="U47" s="840">
        <v>7.72</v>
      </c>
      <c r="V47" s="840">
        <v>11.01</v>
      </c>
      <c r="W47" s="840">
        <v>1.47</v>
      </c>
      <c r="X47" s="840">
        <v>48.41</v>
      </c>
      <c r="Y47" s="840">
        <v>11.29</v>
      </c>
    </row>
    <row r="48" spans="1:25">
      <c r="A48" s="157"/>
      <c r="B48" s="159"/>
      <c r="C48" s="159"/>
      <c r="D48" s="159"/>
      <c r="E48" s="159"/>
      <c r="F48" s="159"/>
      <c r="G48" s="159"/>
      <c r="H48" s="159"/>
      <c r="I48" s="159"/>
      <c r="P48" s="839">
        <v>45</v>
      </c>
      <c r="Q48" s="840">
        <v>6.95</v>
      </c>
      <c r="R48" s="840">
        <v>1.61</v>
      </c>
      <c r="S48" s="840">
        <v>72.92</v>
      </c>
      <c r="T48" s="840">
        <v>67.069999999999993</v>
      </c>
      <c r="U48" s="840">
        <v>6.9</v>
      </c>
      <c r="V48" s="840">
        <v>11</v>
      </c>
      <c r="W48" s="840">
        <v>1.42</v>
      </c>
      <c r="X48" s="840">
        <v>47.24</v>
      </c>
      <c r="Y48" s="840">
        <v>9</v>
      </c>
    </row>
    <row r="49" spans="1:25">
      <c r="A49" s="157"/>
      <c r="B49" s="159"/>
      <c r="C49" s="159"/>
      <c r="D49" s="159"/>
      <c r="E49" s="159"/>
      <c r="F49" s="159"/>
      <c r="G49" s="159"/>
      <c r="H49" s="159"/>
      <c r="I49" s="159"/>
      <c r="P49" s="839">
        <v>46</v>
      </c>
      <c r="Q49" s="840">
        <v>6.8571429249999998</v>
      </c>
      <c r="R49" s="840">
        <v>1.6428571599999999</v>
      </c>
      <c r="S49" s="840">
        <v>58.4</v>
      </c>
      <c r="T49" s="840">
        <v>34.982142860000003</v>
      </c>
      <c r="U49" s="840">
        <v>5.0667143550000002</v>
      </c>
      <c r="V49" s="840">
        <v>11.01</v>
      </c>
      <c r="W49" s="840">
        <v>1.38</v>
      </c>
      <c r="X49" s="840">
        <v>40.61</v>
      </c>
      <c r="Y49" s="840">
        <v>8.81</v>
      </c>
    </row>
    <row r="50" spans="1:25">
      <c r="A50" s="157"/>
      <c r="B50" s="159"/>
      <c r="C50" s="159"/>
      <c r="D50" s="159"/>
      <c r="E50" s="159"/>
      <c r="F50" s="159"/>
      <c r="G50" s="159"/>
      <c r="H50" s="159"/>
      <c r="I50" s="159"/>
      <c r="P50" s="839">
        <v>47</v>
      </c>
      <c r="Q50" s="840">
        <v>6.9940000260000001</v>
      </c>
      <c r="R50" s="840">
        <v>1.5142857009999999</v>
      </c>
      <c r="S50" s="840">
        <v>52.554856440000002</v>
      </c>
      <c r="T50" s="840">
        <v>29.07742855</v>
      </c>
      <c r="U50" s="840">
        <v>4.2727143420000004</v>
      </c>
      <c r="V50" s="840">
        <v>11.00286</v>
      </c>
      <c r="W50" s="840">
        <v>1.63</v>
      </c>
      <c r="X50" s="840">
        <v>41.625</v>
      </c>
      <c r="Y50" s="840">
        <v>9.3542860000000001</v>
      </c>
    </row>
    <row r="51" spans="1:25">
      <c r="A51" s="157"/>
      <c r="B51" s="159"/>
      <c r="C51" s="159"/>
      <c r="D51" s="159"/>
      <c r="E51" s="159"/>
      <c r="F51" s="159"/>
      <c r="G51" s="159"/>
      <c r="H51" s="159"/>
      <c r="I51" s="159"/>
      <c r="O51" s="838">
        <v>48</v>
      </c>
      <c r="P51" s="839">
        <v>48</v>
      </c>
      <c r="Q51" s="840">
        <v>7.1124285970000001</v>
      </c>
      <c r="R51" s="840">
        <v>1.4714285645714287</v>
      </c>
      <c r="S51" s="840">
        <v>53.429429191428575</v>
      </c>
      <c r="T51" s="840">
        <v>88.059571399999996</v>
      </c>
      <c r="U51" s="840">
        <v>7.879285812428571</v>
      </c>
      <c r="V51" s="840">
        <v>10.862857274285714</v>
      </c>
      <c r="W51" s="840">
        <v>1.6007142748571428</v>
      </c>
      <c r="X51" s="840">
        <v>41.014285495714283</v>
      </c>
      <c r="Y51" s="840">
        <v>14.194285802</v>
      </c>
    </row>
    <row r="52" spans="1:25">
      <c r="A52" s="157"/>
      <c r="B52" s="159"/>
      <c r="C52" s="159"/>
      <c r="D52" s="159"/>
      <c r="E52" s="159"/>
      <c r="F52" s="159"/>
      <c r="G52" s="159"/>
      <c r="H52" s="159"/>
      <c r="I52" s="159"/>
      <c r="P52" s="839">
        <v>49</v>
      </c>
      <c r="Q52" s="840">
        <v>8.43</v>
      </c>
      <c r="R52" s="840">
        <v>2.2400000000000002</v>
      </c>
      <c r="S52" s="840">
        <v>61.07</v>
      </c>
      <c r="T52" s="840">
        <v>106.59</v>
      </c>
      <c r="U52" s="840">
        <v>16.09</v>
      </c>
      <c r="V52" s="840">
        <v>10.5</v>
      </c>
      <c r="W52" s="840">
        <v>1.1200000000000001</v>
      </c>
      <c r="X52" s="840">
        <v>83.6</v>
      </c>
      <c r="Y52" s="840">
        <v>22.62</v>
      </c>
    </row>
    <row r="53" spans="1:25">
      <c r="A53" s="157"/>
      <c r="B53" s="159"/>
      <c r="C53" s="159"/>
      <c r="D53" s="159"/>
      <c r="E53" s="159"/>
      <c r="F53" s="159"/>
      <c r="G53" s="159"/>
      <c r="H53" s="159"/>
      <c r="I53" s="159"/>
      <c r="P53" s="839">
        <v>50</v>
      </c>
      <c r="Q53" s="840">
        <v>8.32</v>
      </c>
      <c r="R53" s="840">
        <v>2.19</v>
      </c>
      <c r="S53" s="840">
        <v>78.02</v>
      </c>
      <c r="T53" s="840">
        <v>104.79</v>
      </c>
      <c r="U53" s="840">
        <v>18.649999999999999</v>
      </c>
      <c r="V53" s="840">
        <v>10.51</v>
      </c>
      <c r="W53" s="840">
        <v>1.1399999999999999</v>
      </c>
      <c r="X53" s="840">
        <v>66.8</v>
      </c>
      <c r="Y53" s="840">
        <v>22.62</v>
      </c>
    </row>
    <row r="54" spans="1:25">
      <c r="A54" s="157"/>
      <c r="B54" s="159"/>
      <c r="C54" s="159"/>
      <c r="D54" s="159"/>
      <c r="E54" s="159"/>
      <c r="F54" s="159"/>
      <c r="G54" s="159"/>
      <c r="H54" s="159"/>
      <c r="I54" s="159"/>
      <c r="P54" s="839">
        <v>51</v>
      </c>
      <c r="Q54" s="840">
        <v>9.08</v>
      </c>
      <c r="R54" s="840">
        <v>3.71</v>
      </c>
      <c r="S54" s="840">
        <v>67.64</v>
      </c>
      <c r="T54" s="840">
        <v>69.61</v>
      </c>
      <c r="U54" s="840">
        <v>11.22</v>
      </c>
      <c r="V54" s="840">
        <v>10.5</v>
      </c>
      <c r="W54" s="840">
        <v>1.37</v>
      </c>
      <c r="X54" s="840">
        <v>55.42</v>
      </c>
      <c r="Y54" s="840">
        <v>17.489999999999998</v>
      </c>
    </row>
    <row r="55" spans="1:25">
      <c r="A55" s="157"/>
      <c r="B55" s="159"/>
      <c r="C55" s="159"/>
      <c r="D55" s="159"/>
      <c r="E55" s="159"/>
      <c r="F55" s="159"/>
      <c r="G55" s="159"/>
      <c r="H55" s="159"/>
      <c r="I55" s="159"/>
      <c r="O55" s="838">
        <v>52</v>
      </c>
      <c r="P55" s="839">
        <v>52</v>
      </c>
      <c r="Q55" s="840">
        <v>8.42</v>
      </c>
      <c r="R55" s="840">
        <v>3.57</v>
      </c>
      <c r="S55" s="840">
        <v>56.187571937142856</v>
      </c>
      <c r="T55" s="840">
        <v>58.452428545714284</v>
      </c>
      <c r="U55" s="840">
        <v>8.01</v>
      </c>
      <c r="V55" s="840">
        <v>10.507142884285715</v>
      </c>
      <c r="W55" s="840">
        <v>1.53</v>
      </c>
      <c r="X55" s="840">
        <v>59.550713675714292</v>
      </c>
      <c r="Y55" s="840">
        <v>18.608285904285712</v>
      </c>
    </row>
    <row r="56" spans="1:25">
      <c r="A56" s="157"/>
      <c r="B56" s="159"/>
      <c r="C56" s="159"/>
      <c r="D56" s="159"/>
      <c r="E56" s="159"/>
      <c r="F56" s="159"/>
      <c r="G56" s="159"/>
      <c r="H56" s="159"/>
      <c r="I56" s="159"/>
      <c r="N56" s="838">
        <v>2017</v>
      </c>
      <c r="O56" s="838">
        <v>1</v>
      </c>
      <c r="P56" s="839">
        <v>1</v>
      </c>
      <c r="Q56" s="840">
        <v>13.85</v>
      </c>
      <c r="R56" s="840">
        <v>11.3</v>
      </c>
      <c r="S56" s="840">
        <v>104.02</v>
      </c>
      <c r="T56" s="840">
        <v>148.43</v>
      </c>
      <c r="U56" s="840">
        <v>24.1</v>
      </c>
      <c r="V56" s="840">
        <v>10.220000000000001</v>
      </c>
      <c r="W56" s="840">
        <v>3.28</v>
      </c>
      <c r="X56" s="840">
        <v>89.46</v>
      </c>
      <c r="Y56" s="840">
        <v>25.43</v>
      </c>
    </row>
    <row r="57" spans="1:25">
      <c r="A57" s="157"/>
      <c r="B57" s="159"/>
      <c r="C57" s="159"/>
      <c r="D57" s="159"/>
      <c r="E57" s="159"/>
      <c r="F57" s="159"/>
      <c r="G57" s="159"/>
      <c r="H57" s="159"/>
      <c r="I57" s="159"/>
      <c r="P57" s="839">
        <v>2</v>
      </c>
      <c r="Q57" s="840">
        <v>14.96</v>
      </c>
      <c r="R57" s="840">
        <v>15.4</v>
      </c>
      <c r="S57" s="840">
        <v>143.97</v>
      </c>
      <c r="T57" s="840">
        <v>175.88</v>
      </c>
      <c r="U57" s="840">
        <v>33.74</v>
      </c>
      <c r="V57" s="840">
        <v>10.17</v>
      </c>
      <c r="W57" s="840">
        <v>6.45</v>
      </c>
      <c r="X57" s="840">
        <v>178.14</v>
      </c>
      <c r="Y57" s="840">
        <v>55.67</v>
      </c>
    </row>
    <row r="58" spans="1:25">
      <c r="A58" s="157"/>
      <c r="B58" s="159"/>
      <c r="C58" s="159"/>
      <c r="D58" s="159"/>
      <c r="E58" s="159"/>
      <c r="F58" s="159"/>
      <c r="G58" s="159"/>
      <c r="H58" s="159"/>
      <c r="I58" s="159"/>
      <c r="P58" s="839">
        <v>3</v>
      </c>
      <c r="Q58" s="840">
        <v>28.98</v>
      </c>
      <c r="R58" s="840">
        <v>21.94</v>
      </c>
      <c r="S58" s="840">
        <v>355.12</v>
      </c>
      <c r="T58" s="840">
        <v>177.57</v>
      </c>
      <c r="U58" s="840">
        <v>35.49</v>
      </c>
      <c r="V58" s="840">
        <v>10</v>
      </c>
      <c r="W58" s="840">
        <v>9.0500000000000007</v>
      </c>
      <c r="X58" s="840">
        <v>174.94</v>
      </c>
      <c r="Y58" s="840">
        <v>58.31</v>
      </c>
    </row>
    <row r="59" spans="1:25">
      <c r="A59" s="157"/>
      <c r="B59" s="159"/>
      <c r="C59" s="159"/>
      <c r="D59" s="159"/>
      <c r="E59" s="159"/>
      <c r="F59" s="159"/>
      <c r="G59" s="159"/>
      <c r="H59" s="159"/>
      <c r="I59" s="159"/>
      <c r="O59" s="838">
        <v>4</v>
      </c>
      <c r="P59" s="839">
        <v>4</v>
      </c>
      <c r="Q59" s="840">
        <v>30.46</v>
      </c>
      <c r="R59" s="840">
        <v>23.91</v>
      </c>
      <c r="S59" s="840">
        <v>519.4</v>
      </c>
      <c r="T59" s="840">
        <v>205.76</v>
      </c>
      <c r="U59" s="840">
        <v>48.48</v>
      </c>
      <c r="V59" s="840">
        <v>10</v>
      </c>
      <c r="W59" s="840">
        <v>2.4300000000000002</v>
      </c>
      <c r="X59" s="840">
        <v>141.31</v>
      </c>
      <c r="Y59" s="840">
        <v>47.49</v>
      </c>
    </row>
    <row r="60" spans="1:25">
      <c r="A60" s="157"/>
      <c r="B60" s="159"/>
      <c r="C60" s="159"/>
      <c r="D60" s="159"/>
      <c r="E60" s="159"/>
      <c r="F60" s="159"/>
      <c r="G60" s="159"/>
      <c r="H60" s="159"/>
      <c r="I60" s="159"/>
      <c r="P60" s="839">
        <v>5</v>
      </c>
      <c r="Q60" s="840">
        <v>21.36</v>
      </c>
      <c r="R60" s="840">
        <v>18.07</v>
      </c>
      <c r="S60" s="840">
        <v>330.78</v>
      </c>
      <c r="T60" s="840">
        <v>123.41</v>
      </c>
      <c r="U60" s="840">
        <v>25.33</v>
      </c>
      <c r="V60" s="840">
        <v>11.41</v>
      </c>
      <c r="W60" s="840">
        <v>2.87</v>
      </c>
      <c r="X60" s="840">
        <v>123.59</v>
      </c>
      <c r="Y60" s="840">
        <v>45.46</v>
      </c>
    </row>
    <row r="61" spans="1:25">
      <c r="A61" s="157"/>
      <c r="B61" s="159"/>
      <c r="C61" s="159"/>
      <c r="D61" s="159"/>
      <c r="E61" s="159"/>
      <c r="F61" s="159"/>
      <c r="G61" s="159"/>
      <c r="H61" s="159"/>
      <c r="I61" s="159"/>
      <c r="P61" s="839">
        <v>6</v>
      </c>
      <c r="Q61" s="840">
        <v>25.42</v>
      </c>
      <c r="R61" s="840">
        <v>21.42</v>
      </c>
      <c r="S61" s="840">
        <v>200.58</v>
      </c>
      <c r="T61" s="840">
        <v>108.48</v>
      </c>
      <c r="U61" s="840">
        <v>22.99</v>
      </c>
      <c r="V61" s="840">
        <v>10.57</v>
      </c>
      <c r="W61" s="840">
        <v>3.01</v>
      </c>
      <c r="X61" s="840">
        <v>85.48</v>
      </c>
      <c r="Y61" s="840">
        <v>28.56</v>
      </c>
    </row>
    <row r="62" spans="1:25">
      <c r="A62" s="157"/>
      <c r="B62" s="159"/>
      <c r="C62" s="159"/>
      <c r="D62" s="159"/>
      <c r="E62" s="159"/>
      <c r="F62" s="159"/>
      <c r="G62" s="159"/>
      <c r="H62" s="159"/>
      <c r="I62" s="159"/>
      <c r="P62" s="839">
        <v>7</v>
      </c>
      <c r="Q62" s="840">
        <v>35.43</v>
      </c>
      <c r="R62" s="840">
        <v>25.12</v>
      </c>
      <c r="S62" s="840">
        <v>393.69</v>
      </c>
      <c r="T62" s="840">
        <v>144.62</v>
      </c>
      <c r="U62" s="840">
        <v>39.44</v>
      </c>
      <c r="V62" s="840">
        <v>10</v>
      </c>
      <c r="W62" s="840">
        <v>2.88</v>
      </c>
      <c r="X62" s="840">
        <v>100.57</v>
      </c>
      <c r="Y62" s="840">
        <v>25.04</v>
      </c>
    </row>
    <row r="63" spans="1:25">
      <c r="A63" s="157"/>
      <c r="B63" s="159"/>
      <c r="C63" s="159"/>
      <c r="D63" s="159"/>
      <c r="E63" s="159"/>
      <c r="F63" s="159"/>
      <c r="G63" s="159"/>
      <c r="H63" s="159"/>
      <c r="I63" s="159"/>
      <c r="O63" s="838">
        <v>8</v>
      </c>
      <c r="P63" s="839">
        <v>8</v>
      </c>
      <c r="Q63" s="840">
        <v>30.45</v>
      </c>
      <c r="R63" s="840">
        <v>23.33</v>
      </c>
      <c r="S63" s="840">
        <v>345.37</v>
      </c>
      <c r="T63" s="840">
        <v>140.63</v>
      </c>
      <c r="U63" s="840">
        <v>30.47</v>
      </c>
      <c r="V63" s="840">
        <v>9.58</v>
      </c>
      <c r="W63" s="840">
        <v>2.0699999999999998</v>
      </c>
      <c r="X63" s="840">
        <v>163.72999999999999</v>
      </c>
      <c r="Y63" s="840">
        <v>58.84</v>
      </c>
    </row>
    <row r="64" spans="1:25" ht="6" customHeight="1">
      <c r="A64" s="157"/>
      <c r="B64" s="159"/>
      <c r="C64" s="159"/>
      <c r="D64" s="159"/>
      <c r="E64" s="159"/>
      <c r="F64" s="159"/>
      <c r="G64" s="159"/>
      <c r="H64" s="159"/>
      <c r="I64" s="159"/>
      <c r="P64" s="839">
        <v>9</v>
      </c>
      <c r="Q64" s="840">
        <v>37.72</v>
      </c>
      <c r="R64" s="840">
        <v>24.83</v>
      </c>
      <c r="S64" s="840">
        <v>567.22</v>
      </c>
      <c r="T64" s="840">
        <v>245.85</v>
      </c>
      <c r="U64" s="840">
        <v>67.56</v>
      </c>
      <c r="V64" s="840">
        <v>9.01</v>
      </c>
      <c r="W64" s="840">
        <v>7.33</v>
      </c>
      <c r="X64" s="840">
        <v>285.31</v>
      </c>
      <c r="Y64" s="840">
        <v>102.26</v>
      </c>
    </row>
    <row r="65" spans="1:25" ht="24.75" customHeight="1">
      <c r="A65" s="938" t="s">
        <v>603</v>
      </c>
      <c r="B65" s="938"/>
      <c r="C65" s="938"/>
      <c r="D65" s="938"/>
      <c r="E65" s="938"/>
      <c r="F65" s="938"/>
      <c r="G65" s="938"/>
      <c r="H65" s="938"/>
      <c r="I65" s="938"/>
      <c r="J65" s="938"/>
      <c r="K65" s="938"/>
      <c r="L65" s="938"/>
      <c r="P65" s="839">
        <v>10</v>
      </c>
      <c r="Q65" s="840">
        <v>36.46</v>
      </c>
      <c r="R65" s="840">
        <v>24.95</v>
      </c>
      <c r="S65" s="840">
        <v>467.04</v>
      </c>
      <c r="T65" s="840">
        <v>188.01</v>
      </c>
      <c r="U65" s="840">
        <v>50.5</v>
      </c>
      <c r="V65" s="840">
        <v>10.06</v>
      </c>
      <c r="W65" s="840">
        <v>3.71</v>
      </c>
      <c r="X65" s="840">
        <v>374.33</v>
      </c>
      <c r="Y65" s="840">
        <v>83.74</v>
      </c>
    </row>
    <row r="66" spans="1:25" ht="20.25" customHeight="1">
      <c r="P66" s="839">
        <v>11</v>
      </c>
      <c r="Q66" s="840">
        <v>35.590000000000003</v>
      </c>
      <c r="R66" s="840">
        <v>26.89</v>
      </c>
      <c r="S66" s="840">
        <v>448.3</v>
      </c>
      <c r="T66" s="840">
        <v>169.95</v>
      </c>
      <c r="U66" s="840">
        <v>51.21</v>
      </c>
      <c r="V66" s="840">
        <v>26.15</v>
      </c>
      <c r="W66" s="840">
        <v>8.66</v>
      </c>
      <c r="X66" s="840">
        <v>219.86</v>
      </c>
      <c r="Y66" s="840">
        <v>62.42</v>
      </c>
    </row>
    <row r="67" spans="1:25">
      <c r="O67" s="838">
        <v>12</v>
      </c>
      <c r="P67" s="839">
        <v>12</v>
      </c>
      <c r="Q67" s="840">
        <v>37.82</v>
      </c>
      <c r="R67" s="840">
        <v>20.6</v>
      </c>
      <c r="S67" s="840">
        <v>350.87</v>
      </c>
      <c r="T67" s="840">
        <v>146.01</v>
      </c>
      <c r="U67" s="840">
        <v>38.08</v>
      </c>
      <c r="V67" s="840">
        <v>12.43</v>
      </c>
      <c r="W67" s="840">
        <v>5.63</v>
      </c>
      <c r="X67" s="840">
        <v>190.11</v>
      </c>
      <c r="Y67" s="840">
        <v>52.01</v>
      </c>
    </row>
    <row r="68" spans="1:25">
      <c r="P68" s="839">
        <v>13</v>
      </c>
      <c r="Q68" s="840">
        <v>35.93</v>
      </c>
      <c r="R68" s="840">
        <v>24.02</v>
      </c>
      <c r="S68" s="840">
        <v>380.48</v>
      </c>
      <c r="T68" s="840">
        <v>173.02</v>
      </c>
      <c r="U68" s="840">
        <v>38.869999999999997</v>
      </c>
      <c r="V68" s="840">
        <v>11.98</v>
      </c>
      <c r="W68" s="840">
        <v>5.83</v>
      </c>
      <c r="X68" s="840">
        <v>272.08999999999997</v>
      </c>
      <c r="Y68" s="840">
        <v>65.430000000000007</v>
      </c>
    </row>
    <row r="69" spans="1:25">
      <c r="P69" s="839">
        <v>14</v>
      </c>
      <c r="Q69" s="840">
        <v>42.9</v>
      </c>
      <c r="R69" s="840">
        <v>17.87</v>
      </c>
      <c r="S69" s="840">
        <v>427.28</v>
      </c>
      <c r="T69" s="840">
        <v>137.65</v>
      </c>
      <c r="U69" s="840">
        <v>35.950000000000003</v>
      </c>
      <c r="V69" s="840">
        <v>28.72</v>
      </c>
      <c r="W69" s="840">
        <v>4.95</v>
      </c>
      <c r="X69" s="840">
        <v>301.82</v>
      </c>
      <c r="Y69" s="840">
        <v>71.06</v>
      </c>
    </row>
    <row r="70" spans="1:25">
      <c r="P70" s="839">
        <v>15</v>
      </c>
      <c r="Q70" s="840">
        <v>31.19</v>
      </c>
      <c r="R70" s="840">
        <v>17.87</v>
      </c>
      <c r="S70" s="840">
        <v>334.14</v>
      </c>
      <c r="T70" s="840">
        <v>129.9</v>
      </c>
      <c r="U70" s="840">
        <v>29.93</v>
      </c>
      <c r="V70" s="840">
        <v>16.28</v>
      </c>
      <c r="W70" s="840">
        <v>1.82</v>
      </c>
      <c r="X70" s="840">
        <v>203.49</v>
      </c>
      <c r="Y70" s="840">
        <v>77.099999999999994</v>
      </c>
    </row>
    <row r="71" spans="1:25">
      <c r="O71" s="838">
        <v>16</v>
      </c>
      <c r="P71" s="839">
        <v>16</v>
      </c>
      <c r="Q71" s="840">
        <v>22.8</v>
      </c>
      <c r="R71" s="840">
        <v>11.46</v>
      </c>
      <c r="S71" s="840">
        <v>218.96</v>
      </c>
      <c r="T71" s="840">
        <v>100.66</v>
      </c>
      <c r="U71" s="840">
        <v>21.85</v>
      </c>
      <c r="V71" s="840">
        <v>15.43</v>
      </c>
      <c r="W71" s="840">
        <v>2.33</v>
      </c>
      <c r="X71" s="840">
        <v>155.33000000000001</v>
      </c>
      <c r="Y71" s="840">
        <v>48.77</v>
      </c>
    </row>
    <row r="72" spans="1:25">
      <c r="P72" s="839">
        <v>17</v>
      </c>
      <c r="Q72" s="840">
        <v>20.18</v>
      </c>
      <c r="R72" s="840">
        <v>11.46</v>
      </c>
      <c r="S72" s="840">
        <v>180.47</v>
      </c>
      <c r="T72" s="840">
        <v>91.24</v>
      </c>
      <c r="U72" s="840">
        <v>18.89</v>
      </c>
      <c r="V72" s="840">
        <v>12.29</v>
      </c>
      <c r="W72" s="840">
        <v>1.9</v>
      </c>
      <c r="X72" s="840">
        <v>111.37</v>
      </c>
      <c r="Y72" s="840">
        <v>34.409999999999997</v>
      </c>
    </row>
    <row r="73" spans="1:25">
      <c r="P73" s="839">
        <v>18</v>
      </c>
      <c r="Q73" s="840">
        <v>19.84</v>
      </c>
      <c r="R73" s="840">
        <v>10.36</v>
      </c>
      <c r="S73" s="840">
        <v>212.89</v>
      </c>
      <c r="T73" s="840">
        <v>98.95</v>
      </c>
      <c r="U73" s="840">
        <v>19.899999999999999</v>
      </c>
      <c r="V73" s="840">
        <v>11.64</v>
      </c>
      <c r="W73" s="840">
        <v>1.46</v>
      </c>
      <c r="X73" s="840">
        <v>117.05</v>
      </c>
      <c r="Y73" s="840">
        <v>28.8</v>
      </c>
    </row>
    <row r="74" spans="1:25">
      <c r="P74" s="839">
        <v>19</v>
      </c>
      <c r="Q74" s="840">
        <v>21.4</v>
      </c>
      <c r="R74" s="840">
        <v>9.25</v>
      </c>
      <c r="S74" s="840">
        <v>199.54</v>
      </c>
      <c r="T74" s="840">
        <v>89.02</v>
      </c>
      <c r="U74" s="840">
        <v>15.9</v>
      </c>
      <c r="V74" s="840">
        <v>11</v>
      </c>
      <c r="W74" s="840">
        <v>1.36</v>
      </c>
      <c r="X74" s="840">
        <v>79.2</v>
      </c>
      <c r="Y74" s="840">
        <v>22.78</v>
      </c>
    </row>
    <row r="75" spans="1:25">
      <c r="O75" s="838">
        <v>20</v>
      </c>
      <c r="P75" s="839">
        <v>20</v>
      </c>
      <c r="Q75" s="840">
        <v>17.23</v>
      </c>
      <c r="R75" s="840">
        <v>6.32</v>
      </c>
      <c r="S75" s="840">
        <v>136.84</v>
      </c>
      <c r="T75" s="840">
        <v>72.95</v>
      </c>
      <c r="U75" s="840">
        <v>15.03</v>
      </c>
      <c r="V75" s="840">
        <v>11</v>
      </c>
      <c r="W75" s="840">
        <v>1.98</v>
      </c>
      <c r="X75" s="840">
        <v>69.37</v>
      </c>
      <c r="Y75" s="840">
        <v>17.8</v>
      </c>
    </row>
    <row r="76" spans="1:25">
      <c r="P76" s="839">
        <v>21</v>
      </c>
      <c r="Q76" s="840">
        <v>16.09</v>
      </c>
      <c r="R76" s="840">
        <v>6.32</v>
      </c>
      <c r="S76" s="840">
        <v>116.86</v>
      </c>
      <c r="T76" s="840">
        <v>99.42</v>
      </c>
      <c r="U76" s="840">
        <v>20.059999999999999</v>
      </c>
      <c r="V76" s="840">
        <v>11.01</v>
      </c>
      <c r="W76" s="840">
        <v>1.6</v>
      </c>
      <c r="X76" s="840">
        <v>68.8</v>
      </c>
      <c r="Y76" s="840">
        <v>17.84</v>
      </c>
    </row>
    <row r="77" spans="1:25">
      <c r="P77" s="839">
        <v>22</v>
      </c>
      <c r="Q77" s="840">
        <v>15.1</v>
      </c>
      <c r="R77" s="840">
        <v>5.59</v>
      </c>
      <c r="S77" s="840">
        <v>118.58</v>
      </c>
      <c r="T77" s="840">
        <v>79.099999999999994</v>
      </c>
      <c r="U77" s="840">
        <v>16</v>
      </c>
      <c r="V77" s="840">
        <v>11</v>
      </c>
      <c r="W77" s="840">
        <v>1.01</v>
      </c>
      <c r="X77" s="840">
        <v>69.05</v>
      </c>
      <c r="Y77" s="840">
        <v>16.37</v>
      </c>
    </row>
    <row r="78" spans="1:25">
      <c r="P78" s="839">
        <v>23</v>
      </c>
      <c r="Q78" s="840">
        <v>14.28</v>
      </c>
      <c r="R78" s="840">
        <v>4.8499999999999996</v>
      </c>
      <c r="S78" s="840">
        <v>112.05</v>
      </c>
      <c r="T78" s="840">
        <v>63.27</v>
      </c>
      <c r="U78" s="840">
        <v>13.78</v>
      </c>
      <c r="V78" s="840">
        <v>11</v>
      </c>
      <c r="W78" s="840">
        <v>1.82</v>
      </c>
      <c r="X78" s="840">
        <v>54.09</v>
      </c>
      <c r="Y78" s="840">
        <v>13.15</v>
      </c>
    </row>
    <row r="79" spans="1:25">
      <c r="O79" s="838">
        <v>24</v>
      </c>
      <c r="P79" s="839">
        <v>24</v>
      </c>
      <c r="Q79" s="840">
        <v>13.3</v>
      </c>
      <c r="R79" s="840">
        <v>4.8499999999999996</v>
      </c>
      <c r="S79" s="840">
        <v>91.62</v>
      </c>
      <c r="T79" s="840">
        <v>49.79</v>
      </c>
      <c r="U79" s="840">
        <v>11.29</v>
      </c>
      <c r="V79" s="840">
        <v>11</v>
      </c>
      <c r="W79" s="840">
        <v>1.89</v>
      </c>
      <c r="X79" s="840">
        <v>45.31</v>
      </c>
      <c r="Y79" s="840">
        <v>10.85</v>
      </c>
    </row>
    <row r="80" spans="1:25">
      <c r="P80" s="839">
        <v>25</v>
      </c>
      <c r="Q80" s="840">
        <v>12.63</v>
      </c>
      <c r="R80" s="840">
        <v>3.77</v>
      </c>
      <c r="S80" s="840">
        <v>81.33</v>
      </c>
      <c r="T80" s="840">
        <v>46.74</v>
      </c>
      <c r="U80" s="840">
        <v>10.02</v>
      </c>
      <c r="V80" s="840">
        <v>11</v>
      </c>
      <c r="W80" s="840">
        <v>1.77</v>
      </c>
      <c r="X80" s="840">
        <v>40.42</v>
      </c>
      <c r="Y80" s="840">
        <v>8.98</v>
      </c>
    </row>
    <row r="81" spans="15:25">
      <c r="P81" s="839">
        <v>26</v>
      </c>
      <c r="Q81" s="840">
        <v>11.92</v>
      </c>
      <c r="R81" s="840">
        <v>3.77</v>
      </c>
      <c r="S81" s="840">
        <v>80.900000000000006</v>
      </c>
      <c r="T81" s="840">
        <v>41.45</v>
      </c>
      <c r="U81" s="840">
        <v>9.24</v>
      </c>
      <c r="V81" s="840">
        <v>12</v>
      </c>
      <c r="W81" s="840">
        <v>1.86</v>
      </c>
      <c r="X81" s="840">
        <v>37.89</v>
      </c>
      <c r="Y81" s="840">
        <v>9.41</v>
      </c>
    </row>
    <row r="82" spans="15:25">
      <c r="P82" s="839">
        <v>27</v>
      </c>
      <c r="Q82" s="840">
        <v>11.92</v>
      </c>
      <c r="R82" s="840">
        <v>3.91</v>
      </c>
      <c r="S82" s="840">
        <v>82.99</v>
      </c>
      <c r="T82" s="840">
        <v>60.31</v>
      </c>
      <c r="U82" s="840">
        <v>9.73</v>
      </c>
      <c r="V82" s="840">
        <v>12</v>
      </c>
      <c r="W82" s="840">
        <v>1.9</v>
      </c>
      <c r="X82" s="840">
        <v>38.229999999999997</v>
      </c>
      <c r="Y82" s="840">
        <v>8.58</v>
      </c>
    </row>
    <row r="83" spans="15:25">
      <c r="O83" s="838">
        <v>28</v>
      </c>
      <c r="P83" s="839">
        <v>28</v>
      </c>
      <c r="Q83" s="840">
        <v>11.04</v>
      </c>
      <c r="R83" s="840">
        <v>3.91</v>
      </c>
      <c r="S83" s="840">
        <v>71.739999999999995</v>
      </c>
      <c r="T83" s="840">
        <v>39.090000000000003</v>
      </c>
      <c r="U83" s="840">
        <v>8.42</v>
      </c>
      <c r="V83" s="840">
        <v>12</v>
      </c>
      <c r="W83" s="840">
        <v>1.65</v>
      </c>
      <c r="X83" s="840">
        <v>33.9</v>
      </c>
      <c r="Y83" s="840">
        <v>6.64</v>
      </c>
    </row>
    <row r="84" spans="15:25">
      <c r="P84" s="839">
        <v>29</v>
      </c>
      <c r="Q84" s="840">
        <v>10.27</v>
      </c>
      <c r="R84" s="840">
        <v>3.42</v>
      </c>
      <c r="S84" s="840">
        <v>67.8</v>
      </c>
      <c r="T84" s="840">
        <v>32.590000000000003</v>
      </c>
      <c r="U84" s="840">
        <v>7.7</v>
      </c>
      <c r="V84" s="840">
        <v>10.51</v>
      </c>
      <c r="W84" s="840">
        <v>1.79</v>
      </c>
      <c r="X84" s="840">
        <v>31.97</v>
      </c>
      <c r="Y84" s="840">
        <v>6.49</v>
      </c>
    </row>
    <row r="85" spans="15:25">
      <c r="P85" s="839">
        <v>30</v>
      </c>
      <c r="Q85" s="840">
        <v>9.4700000000000006</v>
      </c>
      <c r="R85" s="840">
        <v>3.42</v>
      </c>
      <c r="S85" s="840">
        <v>69.62</v>
      </c>
      <c r="T85" s="840">
        <v>28.39</v>
      </c>
      <c r="U85" s="840">
        <v>7.39</v>
      </c>
      <c r="V85" s="840">
        <v>12</v>
      </c>
      <c r="W85" s="840">
        <v>1.64</v>
      </c>
      <c r="X85" s="840">
        <v>31.76</v>
      </c>
      <c r="Y85" s="840">
        <v>6.15</v>
      </c>
    </row>
    <row r="86" spans="15:25">
      <c r="P86" s="839">
        <v>31</v>
      </c>
      <c r="Q86" s="840">
        <v>9.0500000000000007</v>
      </c>
      <c r="R86" s="840">
        <v>3.3</v>
      </c>
      <c r="S86" s="840">
        <v>61.71</v>
      </c>
      <c r="T86" s="840">
        <v>26.51</v>
      </c>
      <c r="U86" s="840">
        <v>7.02</v>
      </c>
      <c r="V86" s="840">
        <v>12</v>
      </c>
      <c r="W86" s="840">
        <v>1.87</v>
      </c>
      <c r="X86" s="840">
        <v>31.68</v>
      </c>
      <c r="Y86" s="840">
        <v>5.51</v>
      </c>
    </row>
    <row r="87" spans="15:25">
      <c r="O87" s="838">
        <v>32</v>
      </c>
      <c r="P87" s="839">
        <v>32</v>
      </c>
      <c r="Q87" s="840">
        <v>9.9</v>
      </c>
      <c r="R87" s="840">
        <v>2.68</v>
      </c>
      <c r="S87" s="840">
        <v>65.38</v>
      </c>
      <c r="T87" s="840">
        <v>24.1</v>
      </c>
      <c r="U87" s="840">
        <v>6.7</v>
      </c>
      <c r="V87" s="840">
        <v>12</v>
      </c>
      <c r="W87" s="840">
        <v>1.95</v>
      </c>
      <c r="X87" s="840">
        <v>31.01</v>
      </c>
      <c r="Y87" s="840">
        <v>5.16</v>
      </c>
    </row>
    <row r="88" spans="15:25">
      <c r="P88" s="839">
        <v>33</v>
      </c>
      <c r="Q88" s="840">
        <v>9.17</v>
      </c>
      <c r="R88" s="840">
        <v>2.4300000000000002</v>
      </c>
      <c r="S88" s="840">
        <v>59.63</v>
      </c>
      <c r="T88" s="840">
        <v>24.29</v>
      </c>
      <c r="U88" s="840">
        <v>6.44</v>
      </c>
      <c r="V88" s="840">
        <v>12</v>
      </c>
      <c r="W88" s="840">
        <v>1.82</v>
      </c>
      <c r="X88" s="840">
        <v>30.23</v>
      </c>
      <c r="Y88" s="840">
        <v>5.27</v>
      </c>
    </row>
    <row r="89" spans="15:25">
      <c r="P89" s="839">
        <v>34</v>
      </c>
      <c r="Q89" s="840">
        <v>7.78</v>
      </c>
      <c r="R89" s="840">
        <v>2.61</v>
      </c>
      <c r="S89" s="840">
        <v>60.62</v>
      </c>
      <c r="T89" s="840">
        <v>25.9</v>
      </c>
      <c r="U89" s="840">
        <v>6.62</v>
      </c>
      <c r="V89" s="840">
        <v>12</v>
      </c>
      <c r="W89" s="840">
        <v>1.89</v>
      </c>
      <c r="X89" s="840">
        <v>32.17</v>
      </c>
      <c r="Y89" s="840">
        <v>5.0599999999999996</v>
      </c>
    </row>
    <row r="90" spans="15:25">
      <c r="P90" s="839">
        <v>35</v>
      </c>
      <c r="Q90" s="840">
        <v>7.73</v>
      </c>
      <c r="R90" s="840">
        <v>3.07</v>
      </c>
      <c r="S90" s="840">
        <v>58.47</v>
      </c>
      <c r="T90" s="840">
        <v>26.33</v>
      </c>
      <c r="U90" s="840">
        <v>6.66</v>
      </c>
      <c r="V90" s="840">
        <v>12.14</v>
      </c>
      <c r="W90" s="840">
        <v>1.97</v>
      </c>
      <c r="X90" s="840">
        <v>31.63</v>
      </c>
      <c r="Y90" s="840">
        <v>4.84</v>
      </c>
    </row>
    <row r="91" spans="15:25">
      <c r="O91" s="838">
        <v>36</v>
      </c>
      <c r="P91" s="839">
        <v>36</v>
      </c>
      <c r="Q91" s="840">
        <v>7.1</v>
      </c>
      <c r="R91" s="840">
        <v>3.57</v>
      </c>
      <c r="S91" s="840">
        <v>61.13</v>
      </c>
      <c r="T91" s="840">
        <v>27.35</v>
      </c>
      <c r="U91" s="840">
        <v>6.84</v>
      </c>
      <c r="V91" s="840">
        <v>13</v>
      </c>
      <c r="W91" s="840">
        <v>1.76</v>
      </c>
      <c r="X91" s="840">
        <v>34.090000000000003</v>
      </c>
      <c r="Y91" s="840">
        <v>4.8899999999999997</v>
      </c>
    </row>
    <row r="92" spans="15:25">
      <c r="P92" s="839">
        <v>37</v>
      </c>
      <c r="Q92" s="840">
        <v>7.53</v>
      </c>
      <c r="R92" s="840">
        <v>5.04</v>
      </c>
      <c r="S92" s="840">
        <v>59.93</v>
      </c>
      <c r="T92" s="840">
        <v>34.56</v>
      </c>
      <c r="U92" s="840">
        <v>7.96</v>
      </c>
      <c r="V92" s="840">
        <v>13</v>
      </c>
      <c r="W92" s="840">
        <v>1.7</v>
      </c>
      <c r="X92" s="840">
        <v>38.06</v>
      </c>
      <c r="Y92" s="840">
        <v>8.4</v>
      </c>
    </row>
    <row r="93" spans="15:25">
      <c r="P93" s="839">
        <v>38</v>
      </c>
      <c r="Q93" s="840">
        <v>9.73</v>
      </c>
      <c r="R93" s="840">
        <v>3.75</v>
      </c>
      <c r="S93" s="840">
        <v>64.319999999999993</v>
      </c>
      <c r="T93" s="840">
        <v>41.74</v>
      </c>
      <c r="U93" s="840">
        <v>9.43</v>
      </c>
      <c r="V93" s="840">
        <v>13</v>
      </c>
      <c r="W93" s="840">
        <v>1.77</v>
      </c>
      <c r="X93" s="840">
        <v>41.12</v>
      </c>
      <c r="Y93" s="840">
        <v>6.42</v>
      </c>
    </row>
    <row r="94" spans="15:25">
      <c r="O94" s="838">
        <v>39</v>
      </c>
      <c r="P94" s="839">
        <v>39</v>
      </c>
      <c r="Q94" s="840">
        <v>7.21</v>
      </c>
      <c r="R94" s="840">
        <v>3.83</v>
      </c>
      <c r="S94" s="840">
        <v>66.83</v>
      </c>
      <c r="T94" s="840">
        <v>46.48</v>
      </c>
      <c r="U94" s="840">
        <v>7.93</v>
      </c>
      <c r="V94" s="840">
        <v>13</v>
      </c>
      <c r="W94" s="840">
        <v>1.99</v>
      </c>
      <c r="X94" s="840">
        <v>33.06</v>
      </c>
      <c r="Y94" s="840">
        <v>7.98</v>
      </c>
    </row>
    <row r="95" spans="15:25">
      <c r="P95" s="839">
        <v>40</v>
      </c>
      <c r="Q95" s="840">
        <v>6.89</v>
      </c>
      <c r="R95" s="840">
        <v>3.2</v>
      </c>
      <c r="S95" s="840">
        <v>56.32</v>
      </c>
      <c r="T95" s="840">
        <v>28.11</v>
      </c>
      <c r="U95" s="840">
        <v>6.02</v>
      </c>
      <c r="V95" s="840">
        <v>13</v>
      </c>
      <c r="W95" s="840">
        <v>1.48</v>
      </c>
      <c r="X95" s="840">
        <v>35.54</v>
      </c>
      <c r="Y95" s="840">
        <v>5.32</v>
      </c>
    </row>
    <row r="96" spans="15:25">
      <c r="P96" s="839">
        <v>41</v>
      </c>
      <c r="Q96" s="840">
        <v>7.51</v>
      </c>
      <c r="R96" s="840">
        <v>3.26</v>
      </c>
      <c r="S96" s="840">
        <v>57.18</v>
      </c>
      <c r="T96" s="840">
        <v>32.11</v>
      </c>
      <c r="U96" s="840">
        <v>6.5</v>
      </c>
      <c r="V96" s="840">
        <v>13</v>
      </c>
      <c r="W96" s="840">
        <v>1.53</v>
      </c>
      <c r="X96" s="840">
        <v>37.47</v>
      </c>
      <c r="Y96" s="840">
        <v>4.95</v>
      </c>
    </row>
    <row r="97" spans="14:25">
      <c r="P97" s="839">
        <v>42</v>
      </c>
      <c r="Q97" s="840">
        <v>7.92</v>
      </c>
      <c r="R97" s="840">
        <v>3.59</v>
      </c>
      <c r="S97" s="840">
        <v>71.87</v>
      </c>
      <c r="T97" s="840">
        <v>64.69</v>
      </c>
      <c r="U97" s="840">
        <v>9.44</v>
      </c>
      <c r="V97" s="840">
        <v>13</v>
      </c>
      <c r="W97" s="840">
        <v>1.93</v>
      </c>
      <c r="X97" s="840">
        <v>52.42</v>
      </c>
      <c r="Y97" s="840">
        <v>7.39</v>
      </c>
    </row>
    <row r="98" spans="14:25">
      <c r="O98" s="838">
        <v>43</v>
      </c>
      <c r="P98" s="839">
        <v>43</v>
      </c>
      <c r="Q98" s="840">
        <v>9.16</v>
      </c>
      <c r="R98" s="840">
        <v>3.99</v>
      </c>
      <c r="S98" s="840">
        <v>73.22</v>
      </c>
      <c r="T98" s="840">
        <v>71.16</v>
      </c>
      <c r="U98" s="840">
        <v>8.8800000000000008</v>
      </c>
      <c r="V98" s="840">
        <v>13</v>
      </c>
      <c r="W98" s="840">
        <v>1.69</v>
      </c>
      <c r="X98" s="840">
        <v>43.93</v>
      </c>
      <c r="Y98" s="840">
        <v>6.18</v>
      </c>
    </row>
    <row r="99" spans="14:25">
      <c r="P99" s="839">
        <v>44</v>
      </c>
      <c r="Q99" s="840">
        <v>8.81</v>
      </c>
      <c r="R99" s="840">
        <v>5.0199999999999996</v>
      </c>
      <c r="S99" s="840">
        <v>75.150000000000006</v>
      </c>
      <c r="T99" s="840">
        <v>62.33</v>
      </c>
      <c r="U99" s="840">
        <v>10.59</v>
      </c>
      <c r="V99" s="840">
        <v>13</v>
      </c>
      <c r="W99" s="840">
        <v>1.65</v>
      </c>
      <c r="X99" s="840">
        <v>40.229999999999997</v>
      </c>
      <c r="Y99" s="840">
        <v>8.7899999999999991</v>
      </c>
    </row>
    <row r="100" spans="14:25">
      <c r="P100" s="839">
        <v>45</v>
      </c>
      <c r="Q100" s="840">
        <v>8.3800000000000008</v>
      </c>
      <c r="R100" s="840">
        <v>4.2</v>
      </c>
      <c r="S100" s="840">
        <v>67.39</v>
      </c>
      <c r="T100" s="840">
        <v>61.76</v>
      </c>
      <c r="U100" s="840">
        <v>10.039999999999999</v>
      </c>
      <c r="V100" s="840">
        <v>13</v>
      </c>
      <c r="W100" s="840">
        <v>1.51</v>
      </c>
      <c r="X100" s="840">
        <v>41.85</v>
      </c>
      <c r="Y100" s="840">
        <v>11.45</v>
      </c>
    </row>
    <row r="101" spans="14:25">
      <c r="P101" s="839">
        <v>46</v>
      </c>
      <c r="Q101" s="840">
        <v>7.55</v>
      </c>
      <c r="R101" s="840">
        <v>3.7</v>
      </c>
      <c r="S101" s="840">
        <v>66.959999999999994</v>
      </c>
      <c r="T101" s="840">
        <v>66.040000000000006</v>
      </c>
      <c r="U101" s="840">
        <v>8.7799999999999994</v>
      </c>
      <c r="V101" s="840">
        <v>13</v>
      </c>
      <c r="W101" s="840">
        <v>1.65</v>
      </c>
      <c r="X101" s="840">
        <v>70.849999999999994</v>
      </c>
      <c r="Y101" s="840">
        <v>14.58</v>
      </c>
    </row>
    <row r="102" spans="14:25">
      <c r="P102" s="839">
        <v>47</v>
      </c>
      <c r="Q102" s="840">
        <v>7.39</v>
      </c>
      <c r="R102" s="840">
        <v>3.85</v>
      </c>
      <c r="S102" s="840">
        <v>67.72</v>
      </c>
      <c r="T102" s="840">
        <v>52.82</v>
      </c>
      <c r="U102" s="840">
        <v>7.81</v>
      </c>
      <c r="V102" s="840">
        <v>13</v>
      </c>
      <c r="W102" s="840">
        <v>1.6</v>
      </c>
      <c r="X102" s="840">
        <v>64.819999999999993</v>
      </c>
      <c r="Y102" s="840">
        <v>12.14</v>
      </c>
    </row>
    <row r="103" spans="14:25">
      <c r="O103" s="838">
        <v>48</v>
      </c>
      <c r="P103" s="839">
        <v>48</v>
      </c>
      <c r="Q103" s="840">
        <v>7.9678571564285718</v>
      </c>
      <c r="R103" s="840">
        <v>3.558142900428571</v>
      </c>
      <c r="S103" s="840">
        <v>77.366571698571434</v>
      </c>
      <c r="T103" s="840">
        <v>66.577285762857144</v>
      </c>
      <c r="U103" s="840">
        <v>9.1851428580000007</v>
      </c>
      <c r="V103" s="840">
        <v>13.005714417142858</v>
      </c>
      <c r="W103" s="840">
        <v>1.6</v>
      </c>
      <c r="X103" s="840">
        <v>47.846427917142854</v>
      </c>
      <c r="Y103" s="840">
        <v>12.516714369142859</v>
      </c>
    </row>
    <row r="104" spans="14:25">
      <c r="P104" s="839">
        <v>49</v>
      </c>
      <c r="Q104" s="840">
        <v>8.4875713758571436</v>
      </c>
      <c r="R104" s="840">
        <v>3.2600000074285718</v>
      </c>
      <c r="S104" s="840">
        <v>84.55585806714285</v>
      </c>
      <c r="T104" s="840">
        <v>72.732000077142857</v>
      </c>
      <c r="U104" s="840">
        <v>14.04828548342857</v>
      </c>
      <c r="V104" s="840">
        <v>13.002857208571429</v>
      </c>
      <c r="W104" s="840">
        <v>1.6</v>
      </c>
      <c r="X104" s="840">
        <v>57.322143555714298</v>
      </c>
      <c r="Y104" s="840">
        <v>18.826999800000003</v>
      </c>
    </row>
    <row r="105" spans="14:25">
      <c r="P105" s="839">
        <v>50</v>
      </c>
      <c r="Q105" s="840">
        <v>8.7257142747142868</v>
      </c>
      <c r="R105" s="840">
        <v>3.4628571441428577</v>
      </c>
      <c r="S105" s="840">
        <v>77.460142951428566</v>
      </c>
      <c r="T105" s="840">
        <v>64.097142899999994</v>
      </c>
      <c r="U105" s="840">
        <v>11.032857077571427</v>
      </c>
      <c r="V105" s="840">
        <v>13</v>
      </c>
      <c r="W105" s="840">
        <v>1.6000000240000001</v>
      </c>
      <c r="X105" s="840">
        <v>51.470714571428573</v>
      </c>
      <c r="Y105" s="840">
        <v>20.280285972857143</v>
      </c>
    </row>
    <row r="106" spans="14:25">
      <c r="P106" s="839">
        <v>51</v>
      </c>
      <c r="Q106" s="840">
        <v>9.7215715127142861</v>
      </c>
      <c r="R106" s="840">
        <v>4.2539999484285715</v>
      </c>
      <c r="S106" s="840">
        <v>78.166143688571424</v>
      </c>
      <c r="T106" s="840">
        <v>94.237856191428577</v>
      </c>
      <c r="U106" s="840">
        <v>14.381428445285712</v>
      </c>
      <c r="V106" s="840">
        <v>13.01285743857143</v>
      </c>
      <c r="W106" s="840">
        <v>1.6257142851428572</v>
      </c>
      <c r="X106" s="840">
        <v>65.58357184285714</v>
      </c>
      <c r="Y106" s="840">
        <v>34.849000112857141</v>
      </c>
    </row>
    <row r="107" spans="14:25">
      <c r="O107" s="838">
        <v>52</v>
      </c>
      <c r="P107" s="839">
        <v>52</v>
      </c>
      <c r="Q107" s="840">
        <v>10.323285784571427</v>
      </c>
      <c r="R107" s="840">
        <v>4.6457142829999993</v>
      </c>
      <c r="S107" s="840">
        <v>86.972714017142849</v>
      </c>
      <c r="T107" s="840">
        <v>94.357285634285716</v>
      </c>
      <c r="U107" s="840">
        <v>13.293999945714287</v>
      </c>
      <c r="V107" s="840">
        <v>13.09681579142857</v>
      </c>
      <c r="W107" s="840">
        <v>1.644999981</v>
      </c>
      <c r="X107" s="840">
        <v>104.27285767571428</v>
      </c>
      <c r="Y107" s="840">
        <v>35.335714887142856</v>
      </c>
    </row>
    <row r="108" spans="14:25">
      <c r="N108" s="838">
        <v>2018</v>
      </c>
      <c r="O108" s="838">
        <v>1</v>
      </c>
      <c r="P108" s="839">
        <v>1</v>
      </c>
      <c r="Q108" s="840">
        <v>10.34</v>
      </c>
      <c r="R108" s="840">
        <v>4.4628571428571426</v>
      </c>
      <c r="S108" s="840">
        <v>140.04142857142858</v>
      </c>
      <c r="T108" s="840">
        <v>143.09</v>
      </c>
      <c r="U108" s="840">
        <v>20.63</v>
      </c>
      <c r="V108" s="840">
        <v>13</v>
      </c>
      <c r="W108" s="840">
        <v>1.64</v>
      </c>
      <c r="X108" s="840">
        <v>201.2428571428571</v>
      </c>
      <c r="Y108" s="840">
        <v>63.23</v>
      </c>
    </row>
    <row r="109" spans="14:25">
      <c r="P109" s="839">
        <v>2</v>
      </c>
      <c r="Q109" s="840">
        <v>13.730999947142859</v>
      </c>
      <c r="R109" s="840">
        <v>3.5944285392857145</v>
      </c>
      <c r="S109" s="840">
        <v>209.91800362857143</v>
      </c>
      <c r="T109" s="840">
        <v>160.98214394285716</v>
      </c>
      <c r="U109" s="840">
        <v>36.213856559999996</v>
      </c>
      <c r="V109" s="840">
        <v>11.774285724285715</v>
      </c>
      <c r="W109" s="840">
        <v>1.5914286031428568</v>
      </c>
      <c r="X109" s="840">
        <v>229.4250030571429</v>
      </c>
      <c r="Y109" s="840">
        <v>56.654285431428562</v>
      </c>
    </row>
    <row r="110" spans="14:25">
      <c r="P110" s="839">
        <v>3</v>
      </c>
      <c r="Q110" s="840">
        <v>15.983285902857142</v>
      </c>
      <c r="R110" s="840">
        <v>8.3045714242857152</v>
      </c>
      <c r="S110" s="840">
        <v>223.6645725857143</v>
      </c>
      <c r="T110" s="840">
        <v>190.44042751428574</v>
      </c>
      <c r="U110" s="840">
        <v>30.819142750000001</v>
      </c>
      <c r="V110" s="840">
        <v>11.857142857142858</v>
      </c>
      <c r="W110" s="840">
        <v>1.5814286125714285</v>
      </c>
      <c r="X110" s="840">
        <v>261.56357028571426</v>
      </c>
      <c r="Y110" s="840">
        <v>68.516428267142857</v>
      </c>
    </row>
    <row r="111" spans="14:25">
      <c r="O111" s="838">
        <v>4</v>
      </c>
      <c r="P111" s="839">
        <v>4</v>
      </c>
      <c r="Q111" s="840">
        <v>21.988571574285714</v>
      </c>
      <c r="R111" s="840">
        <v>15.598142828000002</v>
      </c>
      <c r="S111" s="840">
        <v>346.88342720000003</v>
      </c>
      <c r="T111" s="840">
        <v>205.5832868285714</v>
      </c>
      <c r="U111" s="840">
        <v>40.893000467142862</v>
      </c>
      <c r="V111" s="840">
        <v>18.734285627142857</v>
      </c>
      <c r="W111" s="840">
        <v>1.5700000519999997</v>
      </c>
      <c r="X111" s="840">
        <v>261.98000009999998</v>
      </c>
      <c r="Y111" s="840">
        <v>58.935427530000005</v>
      </c>
    </row>
    <row r="112" spans="14:25">
      <c r="P112" s="839">
        <v>5</v>
      </c>
      <c r="Q112" s="840">
        <v>17.729000225714284</v>
      </c>
      <c r="R112" s="840">
        <v>13.724571365714285</v>
      </c>
      <c r="S112" s="840">
        <v>214.95928737142859</v>
      </c>
      <c r="T112" s="840">
        <v>93.607142857142861</v>
      </c>
      <c r="U112" s="840">
        <v>17.748285841428572</v>
      </c>
      <c r="V112" s="840">
        <v>23.390000208571426</v>
      </c>
      <c r="W112" s="840">
        <v>1.5700000519999997</v>
      </c>
      <c r="X112" s="840">
        <v>141.83571514285714</v>
      </c>
      <c r="Y112" s="840">
        <v>45.332857951428579</v>
      </c>
    </row>
    <row r="113" spans="15:25">
      <c r="P113" s="839">
        <v>6</v>
      </c>
      <c r="Q113" s="840">
        <v>13.582571572857143</v>
      </c>
      <c r="R113" s="840">
        <v>8.6634286477142854</v>
      </c>
      <c r="S113" s="840">
        <v>166.34242902857142</v>
      </c>
      <c r="T113" s="840">
        <v>108.25571334000001</v>
      </c>
      <c r="U113" s="840">
        <v>18.79157175142857</v>
      </c>
      <c r="V113" s="840">
        <v>20.201017107142857</v>
      </c>
      <c r="W113" s="840">
        <v>2.3694285491428571</v>
      </c>
      <c r="X113" s="840">
        <v>164.55714089999998</v>
      </c>
      <c r="Y113" s="840">
        <v>65.987571171428584</v>
      </c>
    </row>
    <row r="114" spans="15:25">
      <c r="P114" s="839">
        <v>7</v>
      </c>
      <c r="Q114" s="840">
        <v>14.722571237142859</v>
      </c>
      <c r="R114" s="840">
        <v>11.071428435428571</v>
      </c>
      <c r="S114" s="840">
        <v>239.50057330000001</v>
      </c>
      <c r="T114" s="840">
        <v>202.98199900000003</v>
      </c>
      <c r="U114" s="840">
        <v>42.088571821428573</v>
      </c>
      <c r="V114" s="840">
        <v>15.283185821428571</v>
      </c>
      <c r="W114" s="840">
        <v>3.1689999100000001</v>
      </c>
      <c r="X114" s="840">
        <v>355.31285748571423</v>
      </c>
      <c r="Y114" s="840">
        <v>97.722999031428586</v>
      </c>
    </row>
    <row r="115" spans="15:25">
      <c r="O115" s="838">
        <v>8</v>
      </c>
      <c r="P115" s="839">
        <v>8</v>
      </c>
      <c r="Q115" s="840">
        <v>18.48</v>
      </c>
      <c r="R115" s="840">
        <v>14.97</v>
      </c>
      <c r="S115" s="840">
        <v>357.61814662857148</v>
      </c>
      <c r="T115" s="840">
        <v>251.1</v>
      </c>
      <c r="U115" s="840">
        <v>43.74</v>
      </c>
      <c r="V115" s="840">
        <v>16.564</v>
      </c>
      <c r="W115" s="840">
        <v>3.16</v>
      </c>
      <c r="X115" s="840">
        <v>437.78</v>
      </c>
      <c r="Y115" s="840">
        <v>142.13</v>
      </c>
    </row>
    <row r="116" spans="15:25">
      <c r="P116" s="839">
        <v>9</v>
      </c>
      <c r="Q116" s="840">
        <v>21.652428627142854</v>
      </c>
      <c r="R116" s="840">
        <v>14.185285431142857</v>
      </c>
      <c r="S116" s="840">
        <v>333.90885488571433</v>
      </c>
      <c r="T116" s="840">
        <v>204.95843285714287</v>
      </c>
      <c r="U116" s="840">
        <v>31.755000522857138</v>
      </c>
      <c r="V116" s="840">
        <v>15.852976190476195</v>
      </c>
      <c r="W116" s="840">
        <v>3.1689999100000001</v>
      </c>
      <c r="X116" s="840">
        <v>424.14571271428576</v>
      </c>
      <c r="Y116" s="840">
        <v>142.13857270714286</v>
      </c>
    </row>
    <row r="117" spans="15:25">
      <c r="P117" s="839">
        <v>10</v>
      </c>
      <c r="Q117" s="840">
        <v>30.272714344285713</v>
      </c>
      <c r="R117" s="840">
        <v>17.434571538571429</v>
      </c>
      <c r="S117" s="840">
        <v>431.64157101428572</v>
      </c>
      <c r="T117" s="840">
        <v>177.15485925714287</v>
      </c>
      <c r="U117" s="840">
        <v>31.196571622857142</v>
      </c>
      <c r="V117" s="840">
        <v>14.442</v>
      </c>
      <c r="W117" s="840">
        <v>4.7437142644285712</v>
      </c>
      <c r="X117" s="840">
        <v>293.69142804285718</v>
      </c>
      <c r="Y117" s="840">
        <v>72.30971418</v>
      </c>
    </row>
    <row r="118" spans="15:25">
      <c r="P118" s="839">
        <v>11</v>
      </c>
      <c r="Q118" s="840">
        <v>28.071857179999999</v>
      </c>
      <c r="R118" s="840">
        <v>17.048571724285715</v>
      </c>
      <c r="S118" s="840">
        <v>485.98543439999997</v>
      </c>
      <c r="T118" s="840">
        <v>169.375</v>
      </c>
      <c r="U118" s="840">
        <v>52.626284462857136</v>
      </c>
      <c r="V118" s="840">
        <v>18.273</v>
      </c>
      <c r="W118" s="840">
        <v>3.0879999738571429</v>
      </c>
      <c r="X118" s="840">
        <v>511.54500034285724</v>
      </c>
      <c r="Y118" s="840">
        <v>119.7894287057143</v>
      </c>
    </row>
    <row r="119" spans="15:25">
      <c r="O119" s="838">
        <v>12</v>
      </c>
      <c r="P119" s="839">
        <v>12</v>
      </c>
      <c r="Q119" s="840">
        <v>29.90999984714286</v>
      </c>
      <c r="R119" s="840">
        <v>21.62</v>
      </c>
      <c r="S119" s="840">
        <v>465.24414497142863</v>
      </c>
      <c r="T119" s="840">
        <v>201.58328465714288</v>
      </c>
      <c r="U119" s="840">
        <v>57.669144221428567</v>
      </c>
      <c r="V119" s="840">
        <v>23.244</v>
      </c>
      <c r="W119" s="840">
        <v>4.5095714328571432</v>
      </c>
      <c r="X119" s="840">
        <v>433.89143152857145</v>
      </c>
      <c r="Y119" s="840">
        <v>152.80443028571429</v>
      </c>
    </row>
    <row r="120" spans="15:25">
      <c r="P120" s="839">
        <v>13</v>
      </c>
      <c r="Q120" s="840">
        <v>28.360142844285718</v>
      </c>
      <c r="R120" s="840">
        <v>17.439428465714283</v>
      </c>
      <c r="S120" s="840">
        <v>396.37686155714289</v>
      </c>
      <c r="T120" s="840">
        <v>163.75585502857143</v>
      </c>
      <c r="U120" s="840">
        <v>35.725570951428573</v>
      </c>
      <c r="V120" s="840">
        <v>23.143392837142859</v>
      </c>
      <c r="W120" s="840">
        <v>3.3929999999999998</v>
      </c>
      <c r="X120" s="840">
        <v>281.79928587142859</v>
      </c>
      <c r="Y120" s="840">
        <v>107.32928468714286</v>
      </c>
    </row>
    <row r="121" spans="15:25">
      <c r="P121" s="839">
        <v>14</v>
      </c>
      <c r="Q121" s="840">
        <v>23.830285752857144</v>
      </c>
      <c r="R121" s="840">
        <v>12.833285604571429</v>
      </c>
      <c r="S121" s="840">
        <v>226.32643345714288</v>
      </c>
      <c r="T121" s="840">
        <v>133.53585814285714</v>
      </c>
      <c r="U121" s="840">
        <v>28.622000282857147</v>
      </c>
      <c r="V121" s="840">
        <v>19.16</v>
      </c>
      <c r="W121" s="840">
        <v>1.736</v>
      </c>
      <c r="X121" s="840">
        <v>176.23214502857144</v>
      </c>
      <c r="Y121" s="840">
        <v>80.936570849999995</v>
      </c>
    </row>
    <row r="122" spans="15:25">
      <c r="P122" s="839">
        <v>15</v>
      </c>
      <c r="Q122" s="840">
        <v>27</v>
      </c>
      <c r="R122" s="840">
        <v>15.571285655714286</v>
      </c>
      <c r="S122" s="840">
        <v>207.40800040000002</v>
      </c>
      <c r="T122" s="840">
        <v>107.59514291428572</v>
      </c>
      <c r="U122" s="840">
        <v>30.753999982857145</v>
      </c>
      <c r="V122" s="840">
        <v>14.377143042857142</v>
      </c>
      <c r="W122" s="840">
        <v>1.8612856864285716</v>
      </c>
      <c r="X122" s="840">
        <v>130.09</v>
      </c>
      <c r="Y122" s="840">
        <v>42.693143572857146</v>
      </c>
    </row>
    <row r="123" spans="15:25">
      <c r="O123" s="838">
        <v>16</v>
      </c>
      <c r="P123" s="839">
        <v>16</v>
      </c>
      <c r="Q123" s="840">
        <v>19.899999999999999</v>
      </c>
      <c r="R123" s="840">
        <v>12.83</v>
      </c>
      <c r="S123" s="840">
        <v>166.38871437142856</v>
      </c>
      <c r="T123" s="840">
        <v>95.78</v>
      </c>
      <c r="U123" s="840">
        <v>29.88</v>
      </c>
      <c r="V123" s="840">
        <v>12.36</v>
      </c>
      <c r="W123" s="840">
        <v>1.9</v>
      </c>
      <c r="X123" s="840">
        <v>96.9</v>
      </c>
      <c r="Y123" s="840">
        <v>33.717142651428574</v>
      </c>
    </row>
    <row r="124" spans="15:25">
      <c r="P124" s="839">
        <v>17</v>
      </c>
      <c r="Q124" s="840">
        <v>19.14</v>
      </c>
      <c r="R124" s="840">
        <v>13.52</v>
      </c>
      <c r="S124" s="840">
        <v>168.19342804285716</v>
      </c>
      <c r="T124" s="840">
        <v>95.39</v>
      </c>
      <c r="U124" s="840">
        <v>22.257285525714284</v>
      </c>
      <c r="V124" s="840">
        <v>13.4</v>
      </c>
      <c r="W124" s="840">
        <v>1.7940000124285713</v>
      </c>
      <c r="X124" s="840">
        <v>89.59</v>
      </c>
      <c r="Y124" s="840">
        <v>27.06</v>
      </c>
    </row>
    <row r="125" spans="15:25">
      <c r="P125" s="839">
        <v>18</v>
      </c>
      <c r="Q125" s="840">
        <v>19.703571455714286</v>
      </c>
      <c r="R125" s="840">
        <v>14.166857039571427</v>
      </c>
      <c r="S125" s="840">
        <v>171.5428597714286</v>
      </c>
      <c r="T125" s="840">
        <v>85.958285739999994</v>
      </c>
      <c r="U125" s="840">
        <v>21.651714052857141</v>
      </c>
      <c r="V125" s="840">
        <v>12.785805702857145</v>
      </c>
      <c r="W125" s="840">
        <v>2.3024285860000004</v>
      </c>
      <c r="X125" s="840">
        <v>89.602142331428567</v>
      </c>
      <c r="Y125" s="840">
        <v>22.269714081428571</v>
      </c>
    </row>
    <row r="126" spans="15:25">
      <c r="P126" s="839">
        <v>19</v>
      </c>
      <c r="Q126" s="840">
        <v>15.48828561</v>
      </c>
      <c r="R126" s="840">
        <v>12.650857108142857</v>
      </c>
      <c r="S126" s="840">
        <v>146.54485865714287</v>
      </c>
      <c r="T126" s="840">
        <v>88.244000028571435</v>
      </c>
      <c r="U126" s="840">
        <v>19.037142890000002</v>
      </c>
      <c r="V126" s="840">
        <v>11.328391347142857</v>
      </c>
      <c r="W126" s="840">
        <v>1.8057142665714285</v>
      </c>
      <c r="X126" s="840">
        <v>75.568572998571426</v>
      </c>
      <c r="Y126" s="840">
        <v>17.565999711428571</v>
      </c>
    </row>
    <row r="127" spans="15:25">
      <c r="O127" s="838">
        <v>20</v>
      </c>
      <c r="P127" s="839">
        <v>20</v>
      </c>
      <c r="Q127" s="840">
        <v>14.601142882857145</v>
      </c>
      <c r="R127" s="840">
        <v>10.013285772</v>
      </c>
      <c r="S127" s="840">
        <v>112.76242937142857</v>
      </c>
      <c r="T127" s="840">
        <v>64.809571402857145</v>
      </c>
      <c r="U127" s="840">
        <v>16.531571660000001</v>
      </c>
      <c r="V127" s="840">
        <v>10.899261474285714</v>
      </c>
      <c r="W127" s="840">
        <v>1.7767143248571429</v>
      </c>
      <c r="X127" s="840">
        <v>62.208570752857149</v>
      </c>
      <c r="Y127" s="840">
        <v>14.502285821428572</v>
      </c>
    </row>
    <row r="128" spans="15:25">
      <c r="P128" s="839">
        <v>21</v>
      </c>
      <c r="Q128" s="840">
        <v>13.411285537142858</v>
      </c>
      <c r="R128" s="840">
        <v>7.8631429672857154</v>
      </c>
      <c r="S128" s="840">
        <v>94.636570517142857</v>
      </c>
      <c r="T128" s="840">
        <v>49.303714208571428</v>
      </c>
      <c r="U128" s="840">
        <v>13.450571468571427</v>
      </c>
      <c r="V128" s="840">
        <v>11.166911400000002</v>
      </c>
      <c r="W128" s="840">
        <v>1.8437143055714282</v>
      </c>
      <c r="X128" s="840">
        <v>54.38714218285714</v>
      </c>
      <c r="Y128" s="840">
        <v>12.214999879999999</v>
      </c>
    </row>
    <row r="129" spans="15:25">
      <c r="P129" s="839">
        <v>22</v>
      </c>
      <c r="Q129" s="840">
        <v>12.490285737142855</v>
      </c>
      <c r="R129" s="840">
        <v>6.4215714250000007</v>
      </c>
      <c r="S129" s="840">
        <v>81.718714031428576</v>
      </c>
      <c r="T129" s="840">
        <v>42.928571428571431</v>
      </c>
      <c r="U129" s="840">
        <v>11.897571562857141</v>
      </c>
      <c r="V129" s="840">
        <v>10.57333578442857</v>
      </c>
      <c r="W129" s="840">
        <v>1.8770000252857142</v>
      </c>
      <c r="X129" s="840">
        <v>48.837857382857138</v>
      </c>
      <c r="Y129" s="840">
        <v>10.894571441428569</v>
      </c>
    </row>
    <row r="130" spans="15:25">
      <c r="P130" s="839">
        <v>23</v>
      </c>
      <c r="Q130" s="840">
        <v>12.278000014285713</v>
      </c>
      <c r="R130" s="840">
        <v>5.5577142921428564</v>
      </c>
      <c r="S130" s="840">
        <v>83.760285512857152</v>
      </c>
      <c r="T130" s="840">
        <v>67.797571451428567</v>
      </c>
      <c r="U130" s="840">
        <v>15.801714215714284</v>
      </c>
      <c r="V130" s="840">
        <v>11.341294289999999</v>
      </c>
      <c r="W130" s="840">
        <v>1.7928571701428571</v>
      </c>
      <c r="X130" s="840">
        <v>58.175000328571436</v>
      </c>
      <c r="Y130" s="840">
        <v>13.860571451428571</v>
      </c>
    </row>
    <row r="131" spans="15:25">
      <c r="O131" s="838">
        <v>24</v>
      </c>
      <c r="P131" s="839">
        <v>24</v>
      </c>
      <c r="Q131" s="840">
        <v>10.882714271142857</v>
      </c>
      <c r="R131" s="840">
        <v>5.3317142215714286</v>
      </c>
      <c r="S131" s="840">
        <v>82.799001421428557</v>
      </c>
      <c r="T131" s="840">
        <v>63.982142857142854</v>
      </c>
      <c r="U131" s="840">
        <v>15.595999989999999</v>
      </c>
      <c r="V131" s="840">
        <v>11.96411841142857</v>
      </c>
      <c r="W131" s="840">
        <v>2.0252857377142854</v>
      </c>
      <c r="X131" s="840">
        <v>61.988572801428582</v>
      </c>
      <c r="Y131" s="840">
        <v>13.392856871428572</v>
      </c>
    </row>
    <row r="132" spans="15:25">
      <c r="P132" s="839">
        <v>25</v>
      </c>
      <c r="Q132" s="840">
        <v>10.290999957142857</v>
      </c>
      <c r="R132" s="840">
        <v>3.7498572211428569</v>
      </c>
      <c r="S132" s="840">
        <v>74.093855721428568</v>
      </c>
      <c r="T132" s="840">
        <v>53.035571505714287</v>
      </c>
      <c r="U132" s="840">
        <v>14.135857038571428</v>
      </c>
      <c r="V132" s="840">
        <v>11.79</v>
      </c>
      <c r="W132" s="840">
        <v>2.0514285564285717</v>
      </c>
      <c r="X132" s="840">
        <v>51.970714024285719</v>
      </c>
      <c r="Y132" s="840">
        <v>10.749428476857142</v>
      </c>
    </row>
    <row r="133" spans="15:25">
      <c r="P133" s="839">
        <v>26</v>
      </c>
      <c r="Q133" s="840">
        <v>9.5591429302857147</v>
      </c>
      <c r="R133" s="840">
        <v>3.5651427677142853</v>
      </c>
      <c r="S133" s="840">
        <v>66.795142037142867</v>
      </c>
      <c r="T133" s="840">
        <v>40.369000025714286</v>
      </c>
      <c r="U133" s="840">
        <v>10.912428581428573</v>
      </c>
      <c r="V133" s="840">
        <v>10.93</v>
      </c>
      <c r="W133" s="840">
        <v>2.1038571597142854</v>
      </c>
      <c r="X133" s="840">
        <v>44.390714371428579</v>
      </c>
      <c r="Y133" s="840">
        <v>9.1145714351428584</v>
      </c>
    </row>
    <row r="134" spans="15:25">
      <c r="Q134" s="838" t="s">
        <v>306</v>
      </c>
      <c r="R134" s="838" t="s">
        <v>307</v>
      </c>
      <c r="S134" s="838" t="s">
        <v>308</v>
      </c>
      <c r="T134" s="838" t="s">
        <v>309</v>
      </c>
      <c r="U134" s="838" t="s">
        <v>310</v>
      </c>
      <c r="V134" s="838" t="s">
        <v>311</v>
      </c>
      <c r="W134" s="838" t="s">
        <v>312</v>
      </c>
      <c r="X134" s="838" t="s">
        <v>313</v>
      </c>
      <c r="Y134" s="838" t="s">
        <v>314</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R31" sqref="R31"/>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808" customWidth="1"/>
    <col min="14" max="15" width="9.33203125" style="807"/>
    <col min="16" max="16384" width="9.33203125" style="3"/>
  </cols>
  <sheetData>
    <row r="1" spans="1:15" ht="11.25" customHeight="1"/>
    <row r="2" spans="1:15" ht="11.25" customHeight="1">
      <c r="A2" s="918" t="s">
        <v>498</v>
      </c>
      <c r="B2" s="918"/>
      <c r="C2" s="918"/>
      <c r="D2" s="918"/>
      <c r="E2" s="918"/>
      <c r="F2" s="918"/>
      <c r="G2" s="918"/>
      <c r="H2" s="918"/>
      <c r="I2" s="918"/>
      <c r="J2" s="918"/>
      <c r="K2" s="918"/>
    </row>
    <row r="3" spans="1:15" ht="11.25" customHeight="1">
      <c r="A3" s="253"/>
      <c r="B3" s="253"/>
      <c r="C3" s="253"/>
      <c r="D3" s="253"/>
      <c r="E3" s="253"/>
      <c r="F3" s="253"/>
      <c r="G3" s="253"/>
      <c r="H3" s="253"/>
      <c r="I3" s="253"/>
      <c r="J3" s="253"/>
      <c r="K3" s="646"/>
      <c r="L3" s="45"/>
    </row>
    <row r="4" spans="1:15" ht="11.25" customHeight="1">
      <c r="A4" s="903" t="s">
        <v>499</v>
      </c>
      <c r="B4" s="903"/>
      <c r="C4" s="903"/>
      <c r="D4" s="903"/>
      <c r="E4" s="903"/>
      <c r="F4" s="903"/>
      <c r="G4" s="903"/>
      <c r="H4" s="903"/>
      <c r="I4" s="254"/>
      <c r="J4" s="254"/>
      <c r="L4" s="45"/>
    </row>
    <row r="5" spans="1:15" ht="7.5" customHeight="1">
      <c r="A5" s="255"/>
      <c r="B5" s="255"/>
      <c r="C5" s="255"/>
      <c r="D5" s="255"/>
      <c r="E5" s="255"/>
      <c r="F5" s="255"/>
      <c r="G5" s="255"/>
      <c r="H5" s="255"/>
      <c r="I5" s="255"/>
      <c r="J5" s="255"/>
      <c r="L5" s="10"/>
    </row>
    <row r="6" spans="1:15" ht="11.25" customHeight="1">
      <c r="A6" s="255"/>
      <c r="B6" s="259" t="s">
        <v>500</v>
      </c>
      <c r="C6" s="255"/>
      <c r="D6" s="255"/>
      <c r="E6" s="255"/>
      <c r="F6" s="255"/>
      <c r="G6" s="255"/>
      <c r="H6" s="255"/>
      <c r="I6" s="255"/>
      <c r="J6" s="255"/>
      <c r="L6" s="20"/>
    </row>
    <row r="7" spans="1:15" ht="7.5" customHeight="1">
      <c r="A7" s="255"/>
      <c r="B7" s="256"/>
      <c r="C7" s="255"/>
      <c r="D7" s="255"/>
      <c r="E7" s="255"/>
      <c r="F7" s="255"/>
      <c r="G7" s="255"/>
      <c r="H7" s="255"/>
      <c r="I7" s="255"/>
      <c r="J7" s="255"/>
      <c r="L7" s="16"/>
    </row>
    <row r="8" spans="1:15" ht="21" customHeight="1">
      <c r="A8" s="255"/>
      <c r="B8" s="667" t="s">
        <v>176</v>
      </c>
      <c r="C8" s="668" t="s">
        <v>177</v>
      </c>
      <c r="D8" s="668" t="s">
        <v>178</v>
      </c>
      <c r="E8" s="668" t="s">
        <v>181</v>
      </c>
      <c r="F8" s="668" t="s">
        <v>180</v>
      </c>
      <c r="G8" s="669" t="s">
        <v>179</v>
      </c>
      <c r="H8" s="264"/>
      <c r="I8" s="264"/>
      <c r="J8" s="264"/>
      <c r="L8" s="34"/>
      <c r="M8" s="809" t="s">
        <v>177</v>
      </c>
      <c r="N8" s="810" t="str">
        <f>M8&amp;"
 ("&amp;ROUND(HLOOKUP(M8,$C$8:$G$9,2,0),2)&amp;"   USD/MWh)"</f>
        <v>PIURA OESTE 220
 (10,51   USD/MWh)</v>
      </c>
    </row>
    <row r="9" spans="1:15" ht="18" customHeight="1">
      <c r="A9" s="255"/>
      <c r="B9" s="670" t="s">
        <v>182</v>
      </c>
      <c r="C9" s="421">
        <v>10.508462649536783</v>
      </c>
      <c r="D9" s="421">
        <v>10.284734492720437</v>
      </c>
      <c r="E9" s="421">
        <v>10.086361511360563</v>
      </c>
      <c r="F9" s="421">
        <v>10.089925690838585</v>
      </c>
      <c r="G9" s="421">
        <v>10.017291362078341</v>
      </c>
      <c r="H9" s="264"/>
      <c r="I9" s="264"/>
      <c r="J9" s="264"/>
      <c r="K9" s="264"/>
      <c r="L9" s="29"/>
      <c r="M9" s="809" t="s">
        <v>178</v>
      </c>
      <c r="N9" s="810" t="str">
        <f>M9&amp;"
("&amp;ROUND(HLOOKUP(M9,$C$8:$G$9,2,0),2)&amp;" USD/MWh)"</f>
        <v>CHICLAYO 220
(10,28 USD/MWh)</v>
      </c>
    </row>
    <row r="10" spans="1:15" ht="14.25" customHeight="1">
      <c r="A10" s="255"/>
      <c r="B10" s="940"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940"/>
      <c r="D10" s="940"/>
      <c r="E10" s="940"/>
      <c r="F10" s="940"/>
      <c r="G10" s="940"/>
      <c r="H10" s="940"/>
      <c r="I10" s="940"/>
      <c r="J10" s="264"/>
      <c r="K10" s="264"/>
      <c r="L10" s="29"/>
      <c r="M10" s="809" t="s">
        <v>180</v>
      </c>
      <c r="N10" s="810" t="str">
        <f>M10&amp;"
("&amp;ROUND(HLOOKUP(M10,$C$8:$G$9,2,0),2)&amp;" USD/MWh)"</f>
        <v>TRUJILLO 220
(10,09 USD/MWh)</v>
      </c>
    </row>
    <row r="11" spans="1:15" ht="11.25" customHeight="1">
      <c r="A11" s="255"/>
      <c r="B11" s="265"/>
      <c r="C11" s="264"/>
      <c r="D11" s="264"/>
      <c r="E11" s="264"/>
      <c r="F11" s="264"/>
      <c r="G11" s="264"/>
      <c r="H11" s="264"/>
      <c r="I11" s="264"/>
      <c r="J11" s="264"/>
      <c r="K11" s="264"/>
      <c r="L11" s="29"/>
      <c r="M11" s="809" t="s">
        <v>179</v>
      </c>
      <c r="N11" s="810" t="str">
        <f>M11&amp;"
("&amp;ROUND(HLOOKUP(M11,$C$8:$G$9,2,0),2)&amp;" USD/MWh)"</f>
        <v>CHIMBOTE1 138
(10,02 USD/MWh)</v>
      </c>
    </row>
    <row r="12" spans="1:15" ht="11.25" customHeight="1">
      <c r="A12" s="255"/>
      <c r="B12" s="264"/>
      <c r="C12" s="264"/>
      <c r="D12" s="264"/>
      <c r="E12" s="264"/>
      <c r="F12" s="264"/>
      <c r="G12" s="264"/>
      <c r="H12" s="264"/>
      <c r="I12" s="264"/>
      <c r="J12" s="264"/>
      <c r="K12" s="264"/>
      <c r="L12" s="31"/>
      <c r="M12" s="809" t="s">
        <v>181</v>
      </c>
      <c r="N12" s="810" t="str">
        <f>M12&amp;"
("&amp;ROUND(HLOOKUP(M12,$C$8:$G$9,2,0),2)&amp;" USD/MWh)"</f>
        <v>CAJAMARCA 220
(10,09 USD/MWh)</v>
      </c>
    </row>
    <row r="13" spans="1:15" ht="11.25" customHeight="1">
      <c r="A13" s="255"/>
      <c r="B13" s="264"/>
      <c r="C13" s="264"/>
      <c r="D13" s="264"/>
      <c r="E13" s="264"/>
      <c r="F13" s="264"/>
      <c r="G13" s="264"/>
      <c r="H13" s="264"/>
      <c r="I13" s="264"/>
      <c r="J13" s="264"/>
      <c r="K13" s="264"/>
      <c r="L13" s="34"/>
      <c r="M13" s="809"/>
      <c r="N13" s="810"/>
      <c r="O13" s="809"/>
    </row>
    <row r="14" spans="1:15" ht="11.25" customHeight="1">
      <c r="A14" s="255"/>
      <c r="B14" s="264"/>
      <c r="C14" s="264"/>
      <c r="D14" s="264"/>
      <c r="E14" s="264"/>
      <c r="F14" s="264"/>
      <c r="G14" s="264"/>
      <c r="H14" s="264"/>
      <c r="I14" s="264"/>
      <c r="J14" s="264"/>
      <c r="K14" s="264"/>
      <c r="L14" s="29"/>
      <c r="M14" s="809" t="s">
        <v>184</v>
      </c>
      <c r="N14" s="810" t="str">
        <f t="shared" ref="N14:N20" si="0">M14&amp;"
("&amp;ROUND(HLOOKUP(M14,$C$26:$I$27,2,0),2)&amp;" USD/MWh)"</f>
        <v>CHAVARRIA 220
(9,57 USD/MWh)</v>
      </c>
    </row>
    <row r="15" spans="1:15" ht="11.25" customHeight="1">
      <c r="A15" s="255"/>
      <c r="B15" s="264"/>
      <c r="C15" s="264"/>
      <c r="D15" s="264"/>
      <c r="E15" s="264"/>
      <c r="F15" s="264"/>
      <c r="G15" s="264"/>
      <c r="H15" s="264"/>
      <c r="I15" s="264"/>
      <c r="J15" s="264"/>
      <c r="K15" s="264"/>
      <c r="L15" s="29"/>
      <c r="M15" s="809" t="s">
        <v>186</v>
      </c>
      <c r="N15" s="810" t="str">
        <f t="shared" si="0"/>
        <v>INDEPENDENCIA 220
(9,53 USD/MWh)</v>
      </c>
    </row>
    <row r="16" spans="1:15" ht="11.25" customHeight="1">
      <c r="A16" s="255"/>
      <c r="B16" s="264"/>
      <c r="C16" s="264"/>
      <c r="D16" s="264"/>
      <c r="E16" s="264"/>
      <c r="F16" s="264"/>
      <c r="G16" s="264"/>
      <c r="H16" s="264"/>
      <c r="I16" s="264"/>
      <c r="J16" s="264"/>
      <c r="K16" s="264"/>
      <c r="L16" s="29"/>
      <c r="M16" s="809" t="s">
        <v>187</v>
      </c>
      <c r="N16" s="810" t="str">
        <f t="shared" si="0"/>
        <v>CARABAYLLO 220
(9,55 USD/MWh)</v>
      </c>
    </row>
    <row r="17" spans="1:14" ht="11.25" customHeight="1">
      <c r="A17" s="255"/>
      <c r="B17" s="264"/>
      <c r="C17" s="264"/>
      <c r="D17" s="264"/>
      <c r="E17" s="264"/>
      <c r="F17" s="264"/>
      <c r="G17" s="264"/>
      <c r="H17" s="264"/>
      <c r="I17" s="264"/>
      <c r="J17" s="264"/>
      <c r="K17" s="264"/>
      <c r="L17" s="29"/>
      <c r="M17" s="809" t="s">
        <v>183</v>
      </c>
      <c r="N17" s="810" t="str">
        <f t="shared" si="0"/>
        <v>SANTA ROSA 220
(9,51 USD/MWh)</v>
      </c>
    </row>
    <row r="18" spans="1:14" ht="11.25" customHeight="1">
      <c r="A18" s="255"/>
      <c r="B18" s="264"/>
      <c r="C18" s="264"/>
      <c r="D18" s="264"/>
      <c r="E18" s="264"/>
      <c r="F18" s="264"/>
      <c r="G18" s="264"/>
      <c r="H18" s="264"/>
      <c r="I18" s="264"/>
      <c r="J18" s="264"/>
      <c r="K18" s="264"/>
      <c r="L18" s="29"/>
      <c r="M18" s="809" t="s">
        <v>185</v>
      </c>
      <c r="N18" s="810" t="str">
        <f t="shared" si="0"/>
        <v>SAN JUAN 220
(9,46 USD/MWh)</v>
      </c>
    </row>
    <row r="19" spans="1:14" ht="11.25" customHeight="1">
      <c r="A19" s="255"/>
      <c r="B19" s="264"/>
      <c r="C19" s="264"/>
      <c r="D19" s="264"/>
      <c r="E19" s="264"/>
      <c r="F19" s="264"/>
      <c r="G19" s="264"/>
      <c r="H19" s="264"/>
      <c r="I19" s="264"/>
      <c r="J19" s="264"/>
      <c r="K19" s="264"/>
      <c r="L19" s="39"/>
      <c r="M19" s="809" t="s">
        <v>188</v>
      </c>
      <c r="N19" s="810" t="str">
        <f t="shared" si="0"/>
        <v>POMACOCHA 220
(9,36 USD/MWh)</v>
      </c>
    </row>
    <row r="20" spans="1:14" ht="11.25" customHeight="1">
      <c r="A20" s="255"/>
      <c r="B20" s="262"/>
      <c r="C20" s="262"/>
      <c r="D20" s="262"/>
      <c r="E20" s="262"/>
      <c r="F20" s="262"/>
      <c r="G20" s="264"/>
      <c r="H20" s="264"/>
      <c r="I20" s="264"/>
      <c r="J20" s="264"/>
      <c r="K20" s="264"/>
      <c r="L20" s="29"/>
      <c r="M20" s="809" t="s">
        <v>189</v>
      </c>
      <c r="N20" s="810" t="str">
        <f t="shared" si="0"/>
        <v>OROYA NUEVA 50
(9,34 USD/MWh)</v>
      </c>
    </row>
    <row r="21" spans="1:14" ht="11.25" customHeight="1">
      <c r="A21" s="255"/>
      <c r="B21" s="941" t="str">
        <f>"Gráfico N°20: Costos marginales medios registrados en las principales barras del área norte durante el mes de "&amp;'1. Resumen'!Q4</f>
        <v>Gráfico N°20: Costos marginales medios registrados en las principales barras del área norte durante el mes de junio</v>
      </c>
      <c r="C21" s="941"/>
      <c r="D21" s="941"/>
      <c r="E21" s="941"/>
      <c r="F21" s="941"/>
      <c r="G21" s="941"/>
      <c r="H21" s="941"/>
      <c r="I21" s="941"/>
      <c r="J21" s="264"/>
      <c r="K21" s="264"/>
      <c r="L21" s="29"/>
      <c r="M21" s="809"/>
      <c r="N21" s="810"/>
    </row>
    <row r="22" spans="1:14" ht="7.5" customHeight="1">
      <c r="A22" s="255"/>
      <c r="B22" s="257"/>
      <c r="C22" s="257"/>
      <c r="D22" s="257"/>
      <c r="E22" s="257"/>
      <c r="F22" s="257"/>
      <c r="G22" s="255"/>
      <c r="H22" s="255"/>
      <c r="I22" s="255"/>
      <c r="J22" s="255"/>
      <c r="K22" s="255"/>
      <c r="L22" s="20"/>
      <c r="M22" s="809"/>
      <c r="N22" s="810"/>
    </row>
    <row r="23" spans="1:14" ht="11.25" customHeight="1">
      <c r="A23" s="255"/>
      <c r="B23" s="257"/>
      <c r="C23" s="257"/>
      <c r="D23" s="257"/>
      <c r="E23" s="257"/>
      <c r="F23" s="257"/>
      <c r="G23" s="255"/>
      <c r="H23" s="255"/>
      <c r="I23" s="255"/>
      <c r="J23" s="255"/>
      <c r="K23" s="255"/>
      <c r="L23" s="22"/>
      <c r="M23" s="809" t="s">
        <v>190</v>
      </c>
      <c r="N23" s="810" t="str">
        <f t="shared" ref="N23:N29" si="1">M23&amp;"
("&amp;ROUND(HLOOKUP(M23,$C$45:$I$46,2,0),2)&amp;" USD/MWh)"</f>
        <v>TINTAYA NUEVA 220
(10,54 USD/MWh)</v>
      </c>
    </row>
    <row r="24" spans="1:14" ht="11.25" customHeight="1">
      <c r="A24" s="255"/>
      <c r="B24" s="260" t="s">
        <v>501</v>
      </c>
      <c r="C24" s="257"/>
      <c r="D24" s="257"/>
      <c r="E24" s="257"/>
      <c r="F24" s="257"/>
      <c r="G24" s="255"/>
      <c r="H24" s="255"/>
      <c r="I24" s="255"/>
      <c r="J24" s="255"/>
      <c r="K24" s="255"/>
      <c r="L24" s="20"/>
      <c r="M24" s="809" t="s">
        <v>191</v>
      </c>
      <c r="N24" s="810" t="str">
        <f t="shared" si="1"/>
        <v>PUNO 138
(10,34 USD/MWh)</v>
      </c>
    </row>
    <row r="25" spans="1:14" ht="6.75" customHeight="1">
      <c r="A25" s="255"/>
      <c r="B25" s="257"/>
      <c r="C25" s="257"/>
      <c r="D25" s="257"/>
      <c r="E25" s="257"/>
      <c r="F25" s="257"/>
      <c r="G25" s="255"/>
      <c r="H25" s="255"/>
      <c r="I25" s="255"/>
      <c r="J25" s="255"/>
      <c r="K25" s="255"/>
      <c r="L25" s="20"/>
      <c r="M25" s="809" t="s">
        <v>192</v>
      </c>
      <c r="N25" s="810" t="str">
        <f t="shared" si="1"/>
        <v>SOCABAYA 220
(10,14 USD/MWh)</v>
      </c>
    </row>
    <row r="26" spans="1:14" ht="25.5" customHeight="1">
      <c r="A26" s="255"/>
      <c r="B26" s="671" t="s">
        <v>176</v>
      </c>
      <c r="C26" s="668" t="s">
        <v>184</v>
      </c>
      <c r="D26" s="668" t="s">
        <v>187</v>
      </c>
      <c r="E26" s="668" t="s">
        <v>186</v>
      </c>
      <c r="F26" s="668" t="s">
        <v>183</v>
      </c>
      <c r="G26" s="668" t="s">
        <v>185</v>
      </c>
      <c r="H26" s="668" t="s">
        <v>188</v>
      </c>
      <c r="I26" s="669" t="s">
        <v>189</v>
      </c>
      <c r="J26" s="261"/>
      <c r="K26" s="264"/>
      <c r="L26" s="29"/>
      <c r="M26" s="809" t="s">
        <v>193</v>
      </c>
      <c r="N26" s="810" t="str">
        <f t="shared" si="1"/>
        <v>MOQUEGUA 138
(10,11 USD/MWh)</v>
      </c>
    </row>
    <row r="27" spans="1:14" ht="18" customHeight="1">
      <c r="A27" s="255"/>
      <c r="B27" s="672" t="s">
        <v>182</v>
      </c>
      <c r="C27" s="421">
        <v>9.5693421587592198</v>
      </c>
      <c r="D27" s="421">
        <v>9.55161918715641</v>
      </c>
      <c r="E27" s="421">
        <v>9.5254563405704804</v>
      </c>
      <c r="F27" s="421">
        <v>9.5122667054825936</v>
      </c>
      <c r="G27" s="421">
        <v>9.4601492877383997</v>
      </c>
      <c r="H27" s="421">
        <v>9.3625683092377407</v>
      </c>
      <c r="I27" s="421">
        <v>9.3354342806115813</v>
      </c>
      <c r="J27" s="263"/>
      <c r="K27" s="264"/>
      <c r="L27" s="29"/>
      <c r="M27" s="809" t="s">
        <v>194</v>
      </c>
      <c r="N27" s="810" t="str">
        <f t="shared" si="1"/>
        <v>DOLORESPATA 138
(9,87 USD/MWh)</v>
      </c>
    </row>
    <row r="28" spans="1:14" ht="19.5" customHeight="1">
      <c r="A28" s="255"/>
      <c r="B28" s="942"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942"/>
      <c r="D28" s="942"/>
      <c r="E28" s="942"/>
      <c r="F28" s="942"/>
      <c r="G28" s="942"/>
      <c r="H28" s="942"/>
      <c r="I28" s="942"/>
      <c r="J28" s="264"/>
      <c r="K28" s="264"/>
      <c r="L28" s="29"/>
      <c r="M28" s="809" t="s">
        <v>195</v>
      </c>
      <c r="N28" s="810" t="str">
        <f t="shared" si="1"/>
        <v>COTARUSE 220
(9,73 USD/MWh)</v>
      </c>
    </row>
    <row r="29" spans="1:14" ht="11.25" customHeight="1">
      <c r="A29" s="255"/>
      <c r="B29" s="262"/>
      <c r="C29" s="262"/>
      <c r="D29" s="262"/>
      <c r="E29" s="262"/>
      <c r="F29" s="262"/>
      <c r="G29" s="262"/>
      <c r="H29" s="262"/>
      <c r="I29" s="262"/>
      <c r="J29" s="262"/>
      <c r="K29" s="262"/>
      <c r="L29" s="29"/>
      <c r="M29" s="809" t="s">
        <v>196</v>
      </c>
      <c r="N29" s="810" t="str">
        <f t="shared" si="1"/>
        <v>SAN GABAN 138
(10,14 USD/MWh)</v>
      </c>
    </row>
    <row r="30" spans="1:14" ht="11.25" customHeight="1">
      <c r="A30" s="255"/>
      <c r="B30" s="262"/>
      <c r="C30" s="262"/>
      <c r="D30" s="262"/>
      <c r="E30" s="262"/>
      <c r="F30" s="262"/>
      <c r="G30" s="262"/>
      <c r="H30" s="262"/>
      <c r="I30" s="262"/>
      <c r="J30" s="262"/>
      <c r="K30" s="262"/>
      <c r="L30" s="29"/>
      <c r="M30" s="809"/>
      <c r="N30" s="806"/>
    </row>
    <row r="31" spans="1:14" ht="11.25" customHeight="1">
      <c r="A31" s="255"/>
      <c r="B31" s="262"/>
      <c r="C31" s="262"/>
      <c r="D31" s="262"/>
      <c r="E31" s="262"/>
      <c r="F31" s="262"/>
      <c r="G31" s="262"/>
      <c r="H31" s="262"/>
      <c r="I31" s="262"/>
      <c r="J31" s="262"/>
      <c r="K31" s="262"/>
      <c r="L31" s="29"/>
      <c r="M31" s="809"/>
      <c r="N31" s="806"/>
    </row>
    <row r="32" spans="1:14" ht="11.25" customHeight="1">
      <c r="A32" s="255"/>
      <c r="B32" s="262"/>
      <c r="C32" s="262"/>
      <c r="D32" s="262"/>
      <c r="E32" s="262"/>
      <c r="F32" s="262"/>
      <c r="G32" s="262"/>
      <c r="H32" s="262"/>
      <c r="I32" s="262"/>
      <c r="J32" s="262"/>
      <c r="K32" s="262"/>
      <c r="L32" s="29"/>
      <c r="M32" s="809"/>
    </row>
    <row r="33" spans="1:12" ht="11.25" customHeight="1">
      <c r="A33" s="255"/>
      <c r="B33" s="262"/>
      <c r="C33" s="262"/>
      <c r="D33" s="262"/>
      <c r="E33" s="262"/>
      <c r="F33" s="262"/>
      <c r="G33" s="262"/>
      <c r="H33" s="262"/>
      <c r="I33" s="262"/>
      <c r="J33" s="262"/>
      <c r="K33" s="262"/>
      <c r="L33" s="29"/>
    </row>
    <row r="34" spans="1:12" ht="11.25" customHeight="1">
      <c r="A34" s="255"/>
      <c r="B34" s="262"/>
      <c r="C34" s="262"/>
      <c r="D34" s="262"/>
      <c r="E34" s="262"/>
      <c r="F34" s="262"/>
      <c r="G34" s="262"/>
      <c r="H34" s="262"/>
      <c r="I34" s="262"/>
      <c r="J34" s="262"/>
      <c r="K34" s="262"/>
      <c r="L34" s="29"/>
    </row>
    <row r="35" spans="1:12" ht="11.25" customHeight="1">
      <c r="A35" s="255"/>
      <c r="B35" s="262"/>
      <c r="C35" s="262"/>
      <c r="D35" s="262"/>
      <c r="E35" s="262"/>
      <c r="F35" s="262"/>
      <c r="G35" s="262"/>
      <c r="H35" s="262"/>
      <c r="I35" s="262"/>
      <c r="J35" s="262"/>
      <c r="K35" s="262"/>
      <c r="L35" s="48"/>
    </row>
    <row r="36" spans="1:12" ht="11.25" customHeight="1">
      <c r="A36" s="255"/>
      <c r="B36" s="262"/>
      <c r="C36" s="262"/>
      <c r="D36" s="262"/>
      <c r="E36" s="262"/>
      <c r="F36" s="262"/>
      <c r="G36" s="262"/>
      <c r="H36" s="262"/>
      <c r="I36" s="262"/>
      <c r="J36" s="262"/>
      <c r="K36" s="262"/>
      <c r="L36" s="29"/>
    </row>
    <row r="37" spans="1:12" ht="11.25" customHeight="1">
      <c r="A37" s="255"/>
      <c r="B37" s="262"/>
      <c r="C37" s="262"/>
      <c r="D37" s="262"/>
      <c r="E37" s="262"/>
      <c r="F37" s="262"/>
      <c r="G37" s="262"/>
      <c r="H37" s="262"/>
      <c r="I37" s="262"/>
      <c r="J37" s="262"/>
      <c r="K37" s="262"/>
      <c r="L37" s="29"/>
    </row>
    <row r="38" spans="1:12" ht="11.25" customHeight="1">
      <c r="A38" s="255"/>
      <c r="B38" s="262"/>
      <c r="C38" s="262"/>
      <c r="D38" s="262"/>
      <c r="E38" s="262"/>
      <c r="F38" s="262"/>
      <c r="G38" s="262"/>
      <c r="H38" s="262"/>
      <c r="I38" s="262"/>
      <c r="J38" s="262"/>
      <c r="K38" s="262"/>
      <c r="L38" s="29"/>
    </row>
    <row r="39" spans="1:12" ht="11.25" customHeight="1">
      <c r="A39" s="255"/>
      <c r="B39" s="262"/>
      <c r="C39" s="262"/>
      <c r="D39" s="262"/>
      <c r="E39" s="262"/>
      <c r="F39" s="262"/>
      <c r="G39" s="262"/>
      <c r="H39" s="262"/>
      <c r="I39" s="262"/>
      <c r="J39" s="262"/>
      <c r="K39" s="262"/>
      <c r="L39" s="29"/>
    </row>
    <row r="40" spans="1:12" ht="13.5" customHeight="1">
      <c r="A40" s="255"/>
      <c r="B40" s="940" t="str">
        <f>"Gráfico N°21: Costos marginales medios registrados en las principales barras del área centro durante el mes de "&amp;'1. Resumen'!Q4</f>
        <v>Gráfico N°21: Costos marginales medios registrados en las principales barras del área centro durante el mes de junio</v>
      </c>
      <c r="C40" s="940"/>
      <c r="D40" s="940"/>
      <c r="E40" s="940"/>
      <c r="F40" s="940"/>
      <c r="G40" s="940"/>
      <c r="H40" s="940"/>
      <c r="I40" s="940"/>
      <c r="J40" s="262"/>
      <c r="K40" s="262"/>
      <c r="L40" s="29"/>
    </row>
    <row r="41" spans="1:12" ht="6.75" customHeight="1">
      <c r="A41" s="255"/>
      <c r="B41" s="262"/>
      <c r="C41" s="262"/>
      <c r="D41" s="262"/>
      <c r="E41" s="262"/>
      <c r="F41" s="262"/>
      <c r="G41" s="262"/>
      <c r="H41" s="262"/>
      <c r="I41" s="262"/>
      <c r="J41" s="262"/>
      <c r="K41" s="262"/>
      <c r="L41" s="29"/>
    </row>
    <row r="42" spans="1:12" ht="8.25" customHeight="1">
      <c r="A42" s="255"/>
      <c r="B42" s="257"/>
      <c r="C42" s="257"/>
      <c r="D42" s="257"/>
      <c r="E42" s="257"/>
      <c r="F42" s="257"/>
      <c r="G42" s="257"/>
      <c r="H42" s="257"/>
      <c r="I42" s="257"/>
      <c r="J42" s="257"/>
      <c r="K42" s="257"/>
      <c r="L42" s="15"/>
    </row>
    <row r="43" spans="1:12" ht="11.25" customHeight="1">
      <c r="A43" s="255"/>
      <c r="B43" s="260" t="s">
        <v>502</v>
      </c>
      <c r="C43" s="257"/>
      <c r="D43" s="257"/>
      <c r="E43" s="257"/>
      <c r="F43" s="257"/>
      <c r="G43" s="257"/>
      <c r="H43" s="257"/>
      <c r="I43" s="257"/>
      <c r="J43" s="257"/>
      <c r="K43" s="257"/>
      <c r="L43" s="14"/>
    </row>
    <row r="44" spans="1:12" ht="6.75" customHeight="1">
      <c r="A44" s="255"/>
      <c r="B44" s="257"/>
      <c r="C44" s="257"/>
      <c r="D44" s="257"/>
      <c r="E44" s="257"/>
      <c r="F44" s="257"/>
      <c r="G44" s="257"/>
      <c r="H44" s="257"/>
      <c r="I44" s="257"/>
      <c r="J44" s="257"/>
      <c r="K44" s="257"/>
      <c r="L44" s="14"/>
    </row>
    <row r="45" spans="1:12" ht="27" customHeight="1">
      <c r="A45" s="255"/>
      <c r="B45" s="671" t="s">
        <v>176</v>
      </c>
      <c r="C45" s="668" t="s">
        <v>190</v>
      </c>
      <c r="D45" s="668" t="s">
        <v>191</v>
      </c>
      <c r="E45" s="668" t="s">
        <v>192</v>
      </c>
      <c r="F45" s="668" t="s">
        <v>196</v>
      </c>
      <c r="G45" s="668" t="s">
        <v>193</v>
      </c>
      <c r="H45" s="668" t="s">
        <v>194</v>
      </c>
      <c r="I45" s="669" t="s">
        <v>195</v>
      </c>
      <c r="J45" s="261"/>
      <c r="K45" s="262"/>
    </row>
    <row r="46" spans="1:12" ht="18.75" customHeight="1">
      <c r="A46" s="255"/>
      <c r="B46" s="672" t="s">
        <v>182</v>
      </c>
      <c r="C46" s="421">
        <v>10.53585063144811</v>
      </c>
      <c r="D46" s="421">
        <v>10.338577415283696</v>
      </c>
      <c r="E46" s="421">
        <v>10.139148771041208</v>
      </c>
      <c r="F46" s="421">
        <v>10.138436978424274</v>
      </c>
      <c r="G46" s="421">
        <v>10.114099024087059</v>
      </c>
      <c r="H46" s="421">
        <v>9.8723928402650358</v>
      </c>
      <c r="I46" s="421">
        <v>9.734490784505855</v>
      </c>
      <c r="J46" s="263"/>
      <c r="K46" s="262"/>
    </row>
    <row r="47" spans="1:12" ht="18" customHeight="1">
      <c r="A47" s="255"/>
      <c r="B47" s="942" t="str">
        <f>"Cuadro N°13: Valor de los costos marginales medios registrados en las principales barras del área sur durante el mes de "&amp;'1. Resumen'!Q4</f>
        <v>Cuadro N°13: Valor de los costos marginales medios registrados en las principales barras del área sur durante el mes de junio</v>
      </c>
      <c r="C47" s="942"/>
      <c r="D47" s="942"/>
      <c r="E47" s="942"/>
      <c r="F47" s="942"/>
      <c r="G47" s="942"/>
      <c r="H47" s="942"/>
      <c r="I47" s="942"/>
      <c r="J47" s="263"/>
      <c r="K47" s="262"/>
    </row>
    <row r="48" spans="1:12" ht="12.75">
      <c r="A48" s="255"/>
      <c r="B48" s="262"/>
      <c r="C48" s="262"/>
      <c r="D48" s="262"/>
      <c r="E48" s="262"/>
      <c r="F48" s="262"/>
      <c r="G48" s="264"/>
      <c r="H48" s="264"/>
      <c r="I48" s="264"/>
      <c r="J48" s="264"/>
      <c r="K48" s="262"/>
    </row>
    <row r="49" spans="1:11" ht="12.75">
      <c r="A49" s="255"/>
      <c r="B49" s="264"/>
      <c r="C49" s="264"/>
      <c r="D49" s="264"/>
      <c r="E49" s="264"/>
      <c r="F49" s="264"/>
      <c r="G49" s="264"/>
      <c r="H49" s="264"/>
      <c r="I49" s="264"/>
      <c r="J49" s="264"/>
      <c r="K49" s="262"/>
    </row>
    <row r="50" spans="1:11" ht="12.75">
      <c r="A50" s="255"/>
      <c r="B50" s="132"/>
      <c r="C50" s="132"/>
      <c r="D50" s="132"/>
      <c r="E50" s="132"/>
      <c r="F50" s="132"/>
      <c r="G50" s="132"/>
      <c r="H50" s="132"/>
      <c r="I50" s="132"/>
      <c r="J50" s="132"/>
      <c r="K50" s="262"/>
    </row>
    <row r="51" spans="1:11" ht="12.75">
      <c r="A51" s="255"/>
      <c r="B51" s="132"/>
      <c r="C51" s="132"/>
      <c r="D51" s="132"/>
      <c r="E51" s="132"/>
      <c r="F51" s="132"/>
      <c r="G51" s="132"/>
      <c r="H51" s="132"/>
      <c r="I51" s="132"/>
      <c r="J51" s="132"/>
      <c r="K51" s="262"/>
    </row>
    <row r="52" spans="1:11" ht="12.75">
      <c r="A52" s="255"/>
      <c r="B52" s="132"/>
      <c r="C52" s="132"/>
      <c r="D52" s="132"/>
      <c r="E52" s="132"/>
      <c r="F52" s="132"/>
      <c r="G52" s="132"/>
      <c r="H52" s="132"/>
      <c r="I52" s="132"/>
      <c r="J52" s="132"/>
      <c r="K52" s="262"/>
    </row>
    <row r="53" spans="1:11" ht="12.75">
      <c r="A53" s="255"/>
      <c r="B53" s="132"/>
      <c r="C53" s="132"/>
      <c r="D53" s="132"/>
      <c r="E53" s="132"/>
      <c r="F53" s="132"/>
      <c r="G53" s="132"/>
      <c r="H53" s="132"/>
      <c r="I53" s="132"/>
      <c r="J53" s="132"/>
      <c r="K53" s="262"/>
    </row>
    <row r="54" spans="1:11" ht="12.75">
      <c r="A54" s="255"/>
      <c r="B54" s="132"/>
      <c r="C54" s="132"/>
      <c r="D54" s="132"/>
      <c r="E54" s="132"/>
      <c r="F54" s="132"/>
      <c r="G54" s="132"/>
      <c r="H54" s="132"/>
      <c r="I54" s="132"/>
      <c r="J54" s="132"/>
      <c r="K54" s="262"/>
    </row>
    <row r="55" spans="1:11" ht="12.75">
      <c r="A55" s="255"/>
      <c r="B55" s="132"/>
      <c r="C55" s="132"/>
      <c r="D55" s="132"/>
      <c r="E55" s="132"/>
      <c r="F55" s="132"/>
      <c r="G55" s="132"/>
      <c r="H55" s="132"/>
      <c r="I55" s="132"/>
      <c r="J55" s="132"/>
      <c r="K55" s="262"/>
    </row>
    <row r="56" spans="1:11" ht="12.75">
      <c r="A56" s="255"/>
      <c r="B56" s="264"/>
      <c r="C56" s="264"/>
      <c r="D56" s="264"/>
      <c r="E56" s="264"/>
      <c r="F56" s="264"/>
      <c r="G56" s="264"/>
      <c r="H56" s="264"/>
      <c r="I56" s="264"/>
      <c r="J56" s="264"/>
      <c r="K56" s="262"/>
    </row>
    <row r="57" spans="1:11" ht="12.75">
      <c r="A57" s="255"/>
      <c r="B57" s="264"/>
      <c r="C57" s="264"/>
      <c r="D57" s="264"/>
      <c r="E57" s="264"/>
      <c r="F57" s="264"/>
      <c r="G57" s="264"/>
      <c r="H57" s="264"/>
      <c r="I57" s="264"/>
      <c r="J57" s="264"/>
      <c r="K57" s="262"/>
    </row>
    <row r="58" spans="1:11" ht="12.75">
      <c r="A58" s="255"/>
      <c r="B58" s="940" t="str">
        <f>"Gráfico N°22: Costos marginales medios registrados en las principales barras del área sur durante el mes de "&amp;'1. Resumen'!Q4</f>
        <v>Gráfico N°22: Costos marginales medios registrados en las principales barras del área sur durante el mes de junio</v>
      </c>
      <c r="C58" s="940"/>
      <c r="D58" s="940"/>
      <c r="E58" s="940"/>
      <c r="F58" s="940"/>
      <c r="G58" s="940"/>
      <c r="H58" s="940"/>
      <c r="I58" s="940"/>
      <c r="J58" s="264"/>
      <c r="K58" s="262"/>
    </row>
    <row r="59" spans="1:11" ht="12.75">
      <c r="A59" s="92"/>
      <c r="B59" s="157"/>
      <c r="C59" s="157"/>
      <c r="D59" s="157"/>
      <c r="E59" s="157"/>
      <c r="F59" s="157"/>
      <c r="G59" s="157"/>
      <c r="H59" s="264"/>
      <c r="I59" s="264"/>
      <c r="J59" s="264"/>
      <c r="K59" s="262"/>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R31" sqref="R31"/>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03" t="s">
        <v>504</v>
      </c>
      <c r="B2" s="903"/>
      <c r="C2" s="903"/>
      <c r="D2" s="903"/>
      <c r="E2" s="903"/>
      <c r="F2" s="903"/>
      <c r="G2" s="903"/>
      <c r="H2" s="903"/>
      <c r="I2" s="903"/>
      <c r="J2" s="903"/>
      <c r="K2" s="903"/>
      <c r="L2" s="903"/>
    </row>
    <row r="3" spans="1:12" ht="11.25" customHeight="1">
      <c r="A3" s="255"/>
      <c r="B3" s="255"/>
      <c r="C3" s="255"/>
      <c r="D3" s="255"/>
      <c r="E3" s="255"/>
      <c r="F3" s="255"/>
      <c r="G3" s="255"/>
      <c r="H3" s="255"/>
      <c r="I3" s="255"/>
      <c r="J3" s="255"/>
      <c r="K3" s="255"/>
      <c r="L3" s="266"/>
    </row>
    <row r="4" spans="1:12" ht="11.25" customHeight="1">
      <c r="A4" s="255"/>
      <c r="B4" s="255"/>
      <c r="C4" s="255"/>
      <c r="D4" s="255"/>
      <c r="E4" s="255"/>
      <c r="F4" s="255"/>
      <c r="G4" s="255"/>
      <c r="H4" s="255"/>
      <c r="I4" s="255"/>
      <c r="J4" s="255"/>
      <c r="K4" s="255"/>
      <c r="L4" s="84"/>
    </row>
    <row r="5" spans="1:12" ht="11.25" customHeight="1">
      <c r="A5" s="255"/>
      <c r="B5" s="255"/>
      <c r="C5" s="255"/>
      <c r="D5" s="255"/>
      <c r="E5" s="255"/>
      <c r="F5" s="255"/>
      <c r="G5" s="255"/>
      <c r="H5" s="255"/>
      <c r="I5" s="255"/>
      <c r="J5" s="255"/>
      <c r="K5" s="255"/>
      <c r="L5" s="84"/>
    </row>
    <row r="6" spans="1:12" ht="11.25" customHeight="1">
      <c r="A6" s="255"/>
      <c r="B6" s="255"/>
      <c r="C6" s="255"/>
      <c r="D6" s="255"/>
      <c r="E6" s="255"/>
      <c r="F6" s="255"/>
      <c r="G6" s="255"/>
      <c r="H6" s="255"/>
      <c r="I6" s="255"/>
      <c r="J6" s="255"/>
      <c r="K6" s="255"/>
      <c r="L6" s="84"/>
    </row>
    <row r="7" spans="1:12" ht="11.25" customHeight="1">
      <c r="A7" s="255"/>
      <c r="B7" s="256"/>
      <c r="C7" s="255"/>
      <c r="D7" s="255"/>
      <c r="E7" s="255"/>
      <c r="F7" s="255"/>
      <c r="G7" s="255"/>
      <c r="H7" s="255"/>
      <c r="I7" s="255"/>
      <c r="J7" s="255"/>
      <c r="K7" s="255"/>
      <c r="L7" s="84"/>
    </row>
    <row r="8" spans="1:12" ht="11.25" customHeight="1">
      <c r="A8" s="255"/>
      <c r="B8" s="256"/>
      <c r="C8" s="255"/>
      <c r="D8" s="255"/>
      <c r="E8" s="255"/>
      <c r="F8" s="255"/>
      <c r="G8" s="255"/>
      <c r="H8" s="255"/>
      <c r="I8" s="255"/>
      <c r="J8" s="255"/>
      <c r="K8" s="255"/>
      <c r="L8" s="84"/>
    </row>
    <row r="9" spans="1:12" ht="11.25" customHeight="1">
      <c r="A9" s="255"/>
      <c r="B9" s="256"/>
      <c r="C9" s="255"/>
      <c r="D9" s="255"/>
      <c r="E9" s="255"/>
      <c r="F9" s="255"/>
      <c r="G9" s="255"/>
      <c r="H9" s="255"/>
      <c r="I9" s="255"/>
      <c r="J9" s="255"/>
      <c r="K9" s="255"/>
      <c r="L9" s="84"/>
    </row>
    <row r="10" spans="1:12" ht="11.25" customHeight="1">
      <c r="A10" s="255"/>
      <c r="B10" s="255"/>
      <c r="C10" s="255"/>
      <c r="D10" s="255"/>
      <c r="E10" s="255"/>
      <c r="F10" s="255"/>
      <c r="G10" s="255"/>
      <c r="H10" s="255"/>
      <c r="I10" s="255"/>
      <c r="J10" s="255"/>
      <c r="K10" s="255"/>
      <c r="L10" s="84"/>
    </row>
    <row r="11" spans="1:12" ht="11.25" customHeight="1">
      <c r="A11" s="255"/>
      <c r="B11" s="255"/>
      <c r="C11" s="255"/>
      <c r="D11" s="255"/>
      <c r="E11" s="255"/>
      <c r="F11" s="255"/>
      <c r="G11" s="255"/>
      <c r="H11" s="255"/>
      <c r="I11" s="255"/>
      <c r="J11" s="255"/>
      <c r="K11" s="255"/>
      <c r="L11" s="84"/>
    </row>
    <row r="12" spans="1:12" ht="11.25" customHeight="1">
      <c r="A12" s="255"/>
      <c r="B12" s="255"/>
      <c r="C12" s="255"/>
      <c r="D12" s="255"/>
      <c r="E12" s="255"/>
      <c r="F12" s="255"/>
      <c r="G12" s="255"/>
      <c r="H12" s="255"/>
      <c r="I12" s="255"/>
      <c r="J12" s="255"/>
      <c r="K12" s="255"/>
      <c r="L12" s="84"/>
    </row>
    <row r="13" spans="1:12" ht="11.25" customHeight="1">
      <c r="A13" s="255"/>
      <c r="B13" s="255"/>
      <c r="C13" s="255"/>
      <c r="D13" s="255"/>
      <c r="E13" s="255"/>
      <c r="F13" s="255"/>
      <c r="G13" s="255"/>
      <c r="H13" s="255"/>
      <c r="I13" s="255"/>
      <c r="J13" s="255"/>
      <c r="K13" s="255"/>
      <c r="L13" s="84"/>
    </row>
    <row r="14" spans="1:12" ht="11.25" customHeight="1">
      <c r="A14" s="255"/>
      <c r="B14" s="255"/>
      <c r="C14" s="255"/>
      <c r="D14" s="255"/>
      <c r="E14" s="255"/>
      <c r="F14" s="255"/>
      <c r="G14" s="255"/>
      <c r="H14" s="255"/>
      <c r="I14" s="255"/>
      <c r="J14" s="255"/>
      <c r="K14" s="255"/>
      <c r="L14" s="84"/>
    </row>
    <row r="15" spans="1:12" ht="11.25" customHeight="1">
      <c r="A15" s="255"/>
      <c r="B15" s="255"/>
      <c r="C15" s="255"/>
      <c r="D15" s="255"/>
      <c r="E15" s="255"/>
      <c r="F15" s="255"/>
      <c r="G15" s="255"/>
      <c r="H15" s="255"/>
      <c r="I15" s="255"/>
      <c r="J15" s="255"/>
      <c r="K15" s="255"/>
      <c r="L15" s="84"/>
    </row>
    <row r="16" spans="1:12" ht="11.25" customHeight="1">
      <c r="A16" s="255"/>
      <c r="B16" s="255"/>
      <c r="C16" s="255"/>
      <c r="D16" s="255"/>
      <c r="E16" s="255"/>
      <c r="F16" s="255"/>
      <c r="G16" s="255"/>
      <c r="H16" s="255"/>
      <c r="I16" s="255"/>
      <c r="J16" s="255"/>
      <c r="K16" s="255"/>
      <c r="L16" s="84"/>
    </row>
    <row r="17" spans="1:12" ht="11.25" customHeight="1">
      <c r="A17" s="255"/>
      <c r="B17" s="255"/>
      <c r="C17" s="255"/>
      <c r="D17" s="255"/>
      <c r="E17" s="255"/>
      <c r="F17" s="255"/>
      <c r="G17" s="255"/>
      <c r="H17" s="255"/>
      <c r="I17" s="255"/>
      <c r="J17" s="255"/>
      <c r="K17" s="255"/>
      <c r="L17" s="84"/>
    </row>
    <row r="18" spans="1:12" ht="11.25" customHeight="1">
      <c r="A18" s="255"/>
      <c r="B18" s="255"/>
      <c r="C18" s="255"/>
      <c r="D18" s="255"/>
      <c r="E18" s="255"/>
      <c r="F18" s="255"/>
      <c r="G18" s="255"/>
      <c r="H18" s="255"/>
      <c r="I18" s="255"/>
      <c r="J18" s="255"/>
      <c r="K18" s="255"/>
      <c r="L18" s="266"/>
    </row>
    <row r="19" spans="1:12" ht="11.25" customHeight="1">
      <c r="A19" s="255"/>
      <c r="B19" s="255"/>
      <c r="C19" s="255"/>
      <c r="D19" s="255"/>
      <c r="E19" s="255"/>
      <c r="F19" s="255"/>
      <c r="G19" s="255"/>
      <c r="H19" s="255"/>
      <c r="I19" s="255"/>
      <c r="J19" s="255"/>
      <c r="K19" s="255"/>
      <c r="L19" s="266"/>
    </row>
    <row r="20" spans="1:12" ht="11.25" customHeight="1">
      <c r="A20" s="255"/>
      <c r="B20" s="255"/>
      <c r="C20" s="255"/>
      <c r="D20" s="255"/>
      <c r="E20" s="255"/>
      <c r="F20" s="255"/>
      <c r="G20" s="255"/>
      <c r="H20" s="255"/>
      <c r="I20" s="255"/>
      <c r="J20" s="255"/>
      <c r="K20" s="255"/>
      <c r="L20" s="266"/>
    </row>
    <row r="21" spans="1:12" ht="11.25" customHeight="1">
      <c r="A21" s="255"/>
      <c r="B21" s="255"/>
      <c r="C21" s="255"/>
      <c r="D21" s="255"/>
      <c r="E21" s="255"/>
      <c r="F21" s="255"/>
      <c r="G21" s="255"/>
      <c r="H21" s="255"/>
      <c r="I21" s="255"/>
      <c r="J21" s="255"/>
      <c r="K21" s="255"/>
      <c r="L21" s="266"/>
    </row>
    <row r="22" spans="1:12" ht="11.25" customHeight="1">
      <c r="A22" s="255"/>
      <c r="B22" s="255"/>
      <c r="C22" s="255"/>
      <c r="D22" s="255"/>
      <c r="E22" s="255"/>
      <c r="F22" s="255"/>
      <c r="G22" s="255"/>
      <c r="H22" s="255"/>
      <c r="I22" s="255"/>
      <c r="J22" s="255"/>
      <c r="K22" s="255"/>
      <c r="L22" s="266"/>
    </row>
    <row r="23" spans="1:12" ht="11.25" customHeight="1">
      <c r="A23" s="255"/>
      <c r="B23" s="255"/>
      <c r="C23" s="255"/>
      <c r="D23" s="255"/>
      <c r="E23" s="255"/>
      <c r="F23" s="255"/>
      <c r="G23" s="255"/>
      <c r="H23" s="255"/>
      <c r="I23" s="255"/>
      <c r="J23" s="255"/>
      <c r="K23" s="255"/>
      <c r="L23" s="266"/>
    </row>
    <row r="24" spans="1:12" ht="11.25" customHeight="1">
      <c r="A24" s="255"/>
      <c r="B24" s="255"/>
      <c r="C24" s="255"/>
      <c r="D24" s="255"/>
      <c r="E24" s="255"/>
      <c r="F24" s="255"/>
      <c r="G24" s="255"/>
      <c r="H24" s="255"/>
      <c r="I24" s="255"/>
      <c r="J24" s="255"/>
      <c r="K24" s="255"/>
      <c r="L24" s="266"/>
    </row>
    <row r="25" spans="1:12" ht="11.25" customHeight="1">
      <c r="A25" s="255"/>
      <c r="B25" s="255"/>
      <c r="C25" s="255"/>
      <c r="D25" s="255"/>
      <c r="E25" s="255"/>
      <c r="F25" s="255"/>
      <c r="G25" s="255"/>
      <c r="H25" s="255"/>
      <c r="I25" s="255"/>
      <c r="J25" s="255"/>
      <c r="K25" s="255"/>
      <c r="L25" s="266"/>
    </row>
    <row r="26" spans="1:12" ht="11.25" customHeight="1">
      <c r="A26" s="255"/>
      <c r="B26" s="255"/>
      <c r="C26" s="255"/>
      <c r="D26" s="255"/>
      <c r="E26" s="255"/>
      <c r="F26" s="255"/>
      <c r="G26" s="255"/>
      <c r="H26" s="255"/>
      <c r="I26" s="255"/>
      <c r="J26" s="255"/>
      <c r="K26" s="255"/>
      <c r="L26" s="266"/>
    </row>
    <row r="27" spans="1:12" ht="11.25" customHeight="1">
      <c r="A27" s="255"/>
      <c r="B27" s="255"/>
      <c r="C27" s="255"/>
      <c r="D27" s="255"/>
      <c r="E27" s="255"/>
      <c r="F27" s="255"/>
      <c r="G27" s="255"/>
      <c r="H27" s="255"/>
      <c r="I27" s="255"/>
      <c r="J27" s="255"/>
      <c r="K27" s="255"/>
      <c r="L27" s="266"/>
    </row>
    <row r="28" spans="1:12" ht="11.25" customHeight="1">
      <c r="A28" s="255"/>
      <c r="B28" s="255"/>
      <c r="C28" s="255"/>
      <c r="D28" s="255"/>
      <c r="E28" s="255"/>
      <c r="F28" s="255"/>
      <c r="G28" s="255"/>
      <c r="H28" s="255"/>
      <c r="I28" s="255"/>
      <c r="J28" s="255"/>
      <c r="K28" s="255"/>
      <c r="L28" s="266"/>
    </row>
    <row r="29" spans="1:12" ht="11.25" customHeight="1">
      <c r="A29" s="255"/>
      <c r="B29" s="255"/>
      <c r="C29" s="255"/>
      <c r="D29" s="255"/>
      <c r="E29" s="255"/>
      <c r="F29" s="255"/>
      <c r="G29" s="255"/>
      <c r="H29" s="255"/>
      <c r="I29" s="255"/>
      <c r="J29" s="255"/>
      <c r="K29" s="255"/>
      <c r="L29" s="266"/>
    </row>
    <row r="30" spans="1:12" ht="11.25" customHeight="1">
      <c r="A30" s="255"/>
      <c r="B30" s="255"/>
      <c r="C30" s="255"/>
      <c r="D30" s="255"/>
      <c r="E30" s="255"/>
      <c r="F30" s="255"/>
      <c r="G30" s="255"/>
      <c r="H30" s="255"/>
      <c r="I30" s="255"/>
      <c r="J30" s="255"/>
      <c r="K30" s="255"/>
      <c r="L30" s="266"/>
    </row>
    <row r="31" spans="1:12" ht="11.25" customHeight="1">
      <c r="A31" s="255"/>
      <c r="B31" s="255"/>
      <c r="C31" s="255"/>
      <c r="D31" s="255"/>
      <c r="E31" s="255"/>
      <c r="F31" s="255"/>
      <c r="G31" s="255"/>
      <c r="H31" s="255"/>
      <c r="I31" s="255"/>
      <c r="J31" s="255"/>
      <c r="K31" s="255"/>
      <c r="L31" s="266"/>
    </row>
    <row r="32" spans="1:12" ht="11.25" customHeight="1">
      <c r="A32" s="255"/>
      <c r="B32" s="255"/>
      <c r="C32" s="255"/>
      <c r="D32" s="255"/>
      <c r="E32" s="255"/>
      <c r="F32" s="255"/>
      <c r="G32" s="255"/>
      <c r="H32" s="255"/>
      <c r="I32" s="255"/>
      <c r="J32" s="255"/>
      <c r="K32" s="255"/>
      <c r="L32" s="91"/>
    </row>
    <row r="33" spans="1:12" ht="11.25" customHeight="1">
      <c r="A33" s="255"/>
      <c r="B33" s="255"/>
      <c r="C33" s="255"/>
      <c r="D33" s="255"/>
      <c r="E33" s="255"/>
      <c r="F33" s="255"/>
      <c r="G33" s="255"/>
      <c r="H33" s="255"/>
      <c r="I33" s="255"/>
      <c r="J33" s="255"/>
      <c r="K33" s="255"/>
      <c r="L33" s="91"/>
    </row>
    <row r="34" spans="1:12" ht="11.25" customHeight="1">
      <c r="A34" s="255"/>
      <c r="B34" s="255"/>
      <c r="C34" s="255"/>
      <c r="D34" s="255"/>
      <c r="E34" s="255"/>
      <c r="F34" s="255"/>
      <c r="G34" s="255"/>
      <c r="H34" s="255"/>
      <c r="I34" s="255"/>
      <c r="J34" s="255"/>
      <c r="K34" s="255"/>
      <c r="L34" s="91"/>
    </row>
    <row r="35" spans="1:12" ht="11.25" customHeight="1">
      <c r="A35" s="255"/>
      <c r="B35" s="255"/>
      <c r="C35" s="255"/>
      <c r="D35" s="255"/>
      <c r="E35" s="255"/>
      <c r="F35" s="255"/>
      <c r="G35" s="255"/>
      <c r="H35" s="255"/>
      <c r="I35" s="255"/>
      <c r="J35" s="255"/>
      <c r="K35" s="255"/>
      <c r="L35" s="91"/>
    </row>
    <row r="36" spans="1:12" ht="11.25" customHeight="1">
      <c r="A36" s="255"/>
      <c r="B36" s="255"/>
      <c r="C36" s="255"/>
      <c r="D36" s="255"/>
      <c r="E36" s="255"/>
      <c r="F36" s="255"/>
      <c r="G36" s="255"/>
      <c r="H36" s="255"/>
      <c r="I36" s="255"/>
      <c r="J36" s="255"/>
      <c r="K36" s="255"/>
      <c r="L36" s="91"/>
    </row>
    <row r="37" spans="1:12" ht="11.25" customHeight="1">
      <c r="A37" s="255"/>
      <c r="B37" s="255"/>
      <c r="C37" s="255"/>
      <c r="D37" s="255"/>
      <c r="E37" s="255"/>
      <c r="F37" s="255"/>
      <c r="G37" s="255"/>
      <c r="H37" s="255"/>
      <c r="I37" s="255"/>
      <c r="J37" s="255"/>
      <c r="K37" s="255"/>
      <c r="L37" s="91"/>
    </row>
    <row r="38" spans="1:12" ht="11.25" customHeight="1">
      <c r="A38" s="255"/>
      <c r="B38" s="255"/>
      <c r="C38" s="255"/>
      <c r="D38" s="255"/>
      <c r="E38" s="255"/>
      <c r="F38" s="255"/>
      <c r="G38" s="255"/>
      <c r="H38" s="255"/>
      <c r="I38" s="255"/>
      <c r="J38" s="255"/>
      <c r="K38" s="255"/>
      <c r="L38" s="91"/>
    </row>
    <row r="39" spans="1:12" ht="11.25" customHeight="1">
      <c r="A39" s="255"/>
      <c r="B39" s="255"/>
      <c r="C39" s="255"/>
      <c r="D39" s="255"/>
      <c r="E39" s="255"/>
      <c r="F39" s="255"/>
      <c r="G39" s="255"/>
      <c r="H39" s="255"/>
      <c r="I39" s="255"/>
      <c r="J39" s="255"/>
      <c r="K39" s="255"/>
      <c r="L39" s="91"/>
    </row>
    <row r="40" spans="1:12" ht="11.25" customHeight="1">
      <c r="A40" s="255"/>
      <c r="B40" s="255"/>
      <c r="C40" s="255"/>
      <c r="D40" s="255"/>
      <c r="E40" s="255"/>
      <c r="F40" s="255"/>
      <c r="G40" s="255"/>
      <c r="H40" s="255"/>
      <c r="I40" s="255"/>
      <c r="J40" s="255"/>
      <c r="K40" s="255"/>
      <c r="L40" s="91"/>
    </row>
    <row r="41" spans="1:12" ht="11.25" customHeight="1">
      <c r="A41" s="255"/>
      <c r="B41" s="255"/>
      <c r="C41" s="255"/>
      <c r="D41" s="255"/>
      <c r="E41" s="255"/>
      <c r="F41" s="255"/>
      <c r="G41" s="255"/>
      <c r="H41" s="255"/>
      <c r="I41" s="255"/>
      <c r="J41" s="255"/>
      <c r="K41" s="255"/>
      <c r="L41" s="91"/>
    </row>
    <row r="42" spans="1:12" ht="11.25" customHeight="1">
      <c r="A42" s="255"/>
      <c r="B42" s="255"/>
      <c r="C42" s="255"/>
      <c r="D42" s="255"/>
      <c r="E42" s="255"/>
      <c r="F42" s="255"/>
      <c r="G42" s="255"/>
      <c r="H42" s="255"/>
      <c r="I42" s="255"/>
      <c r="J42" s="255"/>
      <c r="K42" s="255"/>
      <c r="L42" s="91"/>
    </row>
    <row r="43" spans="1:12" ht="11.25" customHeight="1">
      <c r="A43" s="255"/>
      <c r="B43" s="255"/>
      <c r="C43" s="255"/>
      <c r="D43" s="255"/>
      <c r="E43" s="255"/>
      <c r="F43" s="255"/>
      <c r="G43" s="255"/>
      <c r="H43" s="255"/>
      <c r="I43" s="255"/>
      <c r="J43" s="255"/>
      <c r="K43" s="255"/>
      <c r="L43" s="91"/>
    </row>
    <row r="44" spans="1:12" ht="11.25" customHeight="1">
      <c r="A44" s="92"/>
      <c r="B44" s="92"/>
      <c r="C44" s="92"/>
      <c r="D44" s="92"/>
      <c r="E44" s="92"/>
      <c r="F44" s="92"/>
      <c r="G44" s="92"/>
      <c r="H44" s="92"/>
      <c r="I44" s="92"/>
      <c r="J44" s="92"/>
      <c r="K44" s="255"/>
      <c r="L44" s="91"/>
    </row>
    <row r="45" spans="1:12" ht="11.25" customHeight="1">
      <c r="A45" s="92"/>
      <c r="B45" s="92"/>
      <c r="C45" s="92"/>
      <c r="D45" s="92"/>
      <c r="E45" s="92"/>
      <c r="F45" s="92"/>
      <c r="G45" s="92"/>
      <c r="H45" s="92"/>
      <c r="I45" s="92"/>
      <c r="J45" s="92"/>
      <c r="K45" s="255"/>
      <c r="L45" s="91"/>
    </row>
    <row r="46" spans="1:12" ht="11.25" customHeight="1">
      <c r="A46" s="92"/>
      <c r="B46" s="92"/>
      <c r="C46" s="92"/>
      <c r="D46" s="92"/>
      <c r="E46" s="92"/>
      <c r="F46" s="92"/>
      <c r="G46" s="92"/>
      <c r="H46" s="92"/>
      <c r="I46" s="92"/>
      <c r="J46" s="92"/>
      <c r="K46" s="255"/>
      <c r="L46" s="91"/>
    </row>
    <row r="47" spans="1:12" ht="11.25" customHeight="1">
      <c r="A47" s="92"/>
      <c r="B47" s="92"/>
      <c r="C47" s="92"/>
      <c r="D47" s="92"/>
      <c r="E47" s="92"/>
      <c r="F47" s="92"/>
      <c r="G47" s="92"/>
      <c r="H47" s="92"/>
      <c r="I47" s="92"/>
      <c r="J47" s="92"/>
      <c r="K47" s="255"/>
      <c r="L47" s="91"/>
    </row>
    <row r="48" spans="1:12" ht="11.25" customHeight="1">
      <c r="A48" s="92"/>
      <c r="B48" s="92"/>
      <c r="C48" s="92"/>
      <c r="D48" s="92"/>
      <c r="E48" s="92"/>
      <c r="F48" s="92"/>
      <c r="G48" s="92"/>
      <c r="H48" s="92"/>
      <c r="I48" s="92"/>
      <c r="J48" s="92"/>
      <c r="K48" s="255"/>
      <c r="L48" s="91"/>
    </row>
    <row r="49" spans="1:12" ht="11.25" customHeight="1">
      <c r="A49" s="92"/>
      <c r="B49" s="92"/>
      <c r="C49" s="92"/>
      <c r="D49" s="92"/>
      <c r="E49" s="92"/>
      <c r="F49" s="92"/>
      <c r="G49" s="92"/>
      <c r="H49" s="92"/>
      <c r="I49" s="92"/>
      <c r="J49" s="92"/>
      <c r="K49" s="255"/>
      <c r="L49" s="91"/>
    </row>
    <row r="50" spans="1:12" ht="12.75">
      <c r="A50" s="92"/>
      <c r="B50" s="92"/>
      <c r="C50" s="92"/>
      <c r="D50" s="92"/>
      <c r="E50" s="92"/>
      <c r="F50" s="92"/>
      <c r="G50" s="92"/>
      <c r="H50" s="92"/>
      <c r="I50" s="92"/>
      <c r="J50" s="92"/>
      <c r="K50" s="255"/>
      <c r="L50" s="91"/>
    </row>
    <row r="51" spans="1:12" ht="12.75">
      <c r="A51" s="92"/>
      <c r="B51" s="92"/>
      <c r="C51" s="92"/>
      <c r="D51" s="92"/>
      <c r="E51" s="92"/>
      <c r="F51" s="92"/>
      <c r="G51" s="92"/>
      <c r="H51" s="92"/>
      <c r="I51" s="92"/>
      <c r="J51" s="92"/>
      <c r="K51" s="255"/>
      <c r="L51" s="91"/>
    </row>
    <row r="52" spans="1:12" ht="12.75">
      <c r="A52" s="92"/>
      <c r="B52" s="92"/>
      <c r="C52" s="92"/>
      <c r="D52" s="92"/>
      <c r="E52" s="92"/>
      <c r="F52" s="92"/>
      <c r="G52" s="92"/>
      <c r="H52" s="92"/>
      <c r="I52" s="92"/>
      <c r="J52" s="92"/>
      <c r="K52" s="255"/>
      <c r="L52" s="91"/>
    </row>
    <row r="53" spans="1:12" ht="12.75">
      <c r="A53" s="92"/>
      <c r="B53" s="92"/>
      <c r="C53" s="92"/>
      <c r="D53" s="92"/>
      <c r="E53" s="92"/>
      <c r="F53" s="92"/>
      <c r="G53" s="92"/>
      <c r="H53" s="92"/>
      <c r="I53" s="92"/>
      <c r="J53" s="92"/>
      <c r="K53" s="255"/>
      <c r="L53" s="91"/>
    </row>
    <row r="54" spans="1:12" ht="12.75">
      <c r="A54" s="92"/>
      <c r="B54" s="92"/>
      <c r="C54" s="92"/>
      <c r="D54" s="92"/>
      <c r="E54" s="92"/>
      <c r="F54" s="92"/>
      <c r="G54" s="92"/>
      <c r="H54" s="92"/>
      <c r="I54" s="92"/>
      <c r="J54" s="92"/>
      <c r="K54" s="255"/>
      <c r="L54" s="91"/>
    </row>
    <row r="55" spans="1:12" ht="12.75">
      <c r="A55" s="92"/>
      <c r="B55" s="92"/>
      <c r="C55" s="92"/>
      <c r="D55" s="92"/>
      <c r="E55" s="92"/>
      <c r="F55" s="92"/>
      <c r="G55" s="92"/>
      <c r="H55" s="92"/>
      <c r="I55" s="92"/>
      <c r="J55" s="92"/>
      <c r="K55" s="255"/>
      <c r="L55" s="91"/>
    </row>
    <row r="56" spans="1:12" ht="12.75">
      <c r="A56" s="92"/>
      <c r="B56" s="92"/>
      <c r="C56" s="92"/>
      <c r="D56" s="92"/>
      <c r="E56" s="92"/>
      <c r="F56" s="92"/>
      <c r="G56" s="92"/>
      <c r="H56" s="92"/>
      <c r="I56" s="92"/>
      <c r="J56" s="92"/>
      <c r="K56" s="255"/>
      <c r="L56" s="91"/>
    </row>
    <row r="57" spans="1:12" ht="12.75">
      <c r="A57" s="92"/>
      <c r="B57" s="92"/>
      <c r="C57" s="92"/>
      <c r="D57" s="92"/>
      <c r="E57" s="92"/>
      <c r="F57" s="92"/>
      <c r="G57" s="92"/>
      <c r="H57" s="92"/>
      <c r="I57" s="92"/>
      <c r="J57" s="92"/>
      <c r="K57" s="255"/>
      <c r="L57" s="91"/>
    </row>
    <row r="58" spans="1:12" ht="12.75">
      <c r="A58" s="92"/>
      <c r="B58" s="92"/>
      <c r="C58" s="92"/>
      <c r="D58" s="92"/>
      <c r="E58" s="92"/>
      <c r="F58" s="92"/>
      <c r="G58" s="92"/>
      <c r="H58" s="92"/>
      <c r="I58" s="92"/>
      <c r="J58" s="92"/>
      <c r="K58" s="255"/>
      <c r="L58" s="91"/>
    </row>
    <row r="59" spans="1:12" ht="12.75">
      <c r="A59" s="92"/>
      <c r="B59" s="92"/>
      <c r="C59" s="92"/>
      <c r="D59" s="92"/>
      <c r="E59" s="92"/>
      <c r="F59" s="92"/>
      <c r="G59" s="92"/>
      <c r="H59" s="92"/>
      <c r="I59" s="92"/>
      <c r="J59" s="92"/>
      <c r="K59" s="255"/>
      <c r="L59" s="91"/>
    </row>
    <row r="60" spans="1:12" ht="12.75">
      <c r="A60" s="92"/>
      <c r="B60" s="92"/>
      <c r="C60" s="92"/>
      <c r="D60" s="92"/>
      <c r="E60" s="92"/>
      <c r="F60" s="92"/>
      <c r="G60" s="92"/>
      <c r="H60" s="92"/>
      <c r="I60" s="92"/>
      <c r="J60" s="92"/>
      <c r="K60" s="255"/>
      <c r="L60" s="91"/>
    </row>
    <row r="61" spans="1:12" ht="12.75">
      <c r="A61" s="92"/>
      <c r="B61" s="92"/>
      <c r="C61" s="92"/>
      <c r="D61" s="92"/>
      <c r="E61" s="92"/>
      <c r="F61" s="92"/>
      <c r="G61" s="92"/>
      <c r="H61" s="92"/>
      <c r="I61" s="92"/>
      <c r="J61" s="92"/>
      <c r="K61" s="255"/>
      <c r="L61" s="91"/>
    </row>
    <row r="62" spans="1:12" ht="12.75">
      <c r="A62" s="92"/>
      <c r="B62" s="92"/>
      <c r="C62" s="92"/>
      <c r="D62" s="92"/>
      <c r="E62" s="92"/>
      <c r="F62" s="92"/>
      <c r="G62" s="92"/>
      <c r="H62" s="92"/>
      <c r="I62" s="92"/>
      <c r="J62" s="92"/>
      <c r="K62" s="255"/>
      <c r="L62" s="91"/>
    </row>
    <row r="63" spans="1:12" ht="12.75">
      <c r="A63" s="92"/>
      <c r="B63" s="92"/>
      <c r="C63" s="92"/>
      <c r="D63" s="92"/>
      <c r="E63" s="92"/>
      <c r="F63" s="92"/>
      <c r="G63" s="92"/>
      <c r="H63" s="92"/>
      <c r="I63" s="92"/>
      <c r="J63" s="92"/>
      <c r="K63" s="255"/>
      <c r="L63" s="91"/>
    </row>
    <row r="64" spans="1:12" ht="12.75">
      <c r="A64" s="92"/>
      <c r="B64" s="92"/>
      <c r="C64" s="92"/>
      <c r="D64" s="92"/>
      <c r="E64" s="92"/>
      <c r="F64" s="92"/>
      <c r="G64" s="92"/>
      <c r="H64" s="92"/>
      <c r="I64" s="92"/>
      <c r="J64" s="92"/>
      <c r="K64" s="255"/>
      <c r="L64" s="91"/>
    </row>
    <row r="65" spans="1:12" ht="12.75">
      <c r="A65" s="92"/>
      <c r="B65" s="92"/>
      <c r="C65" s="92"/>
      <c r="D65" s="92"/>
      <c r="E65" s="92"/>
      <c r="F65" s="92"/>
      <c r="G65" s="92"/>
      <c r="H65" s="92"/>
      <c r="I65" s="92"/>
      <c r="J65" s="92"/>
      <c r="K65" s="255"/>
      <c r="L65" s="91"/>
    </row>
    <row r="66" spans="1:12" ht="12.75">
      <c r="A66" s="92"/>
      <c r="B66" s="92"/>
      <c r="C66" s="92"/>
      <c r="D66" s="92"/>
      <c r="E66" s="92"/>
      <c r="F66" s="92"/>
      <c r="G66" s="92"/>
      <c r="H66" s="92"/>
      <c r="I66" s="92"/>
      <c r="J66" s="92"/>
      <c r="K66" s="255"/>
      <c r="L66" s="91"/>
    </row>
    <row r="67" spans="1:12" ht="12.75">
      <c r="A67" s="92"/>
      <c r="B67" s="92"/>
      <c r="C67" s="92"/>
      <c r="D67" s="92"/>
      <c r="E67" s="92"/>
      <c r="F67" s="92"/>
      <c r="G67" s="92"/>
      <c r="H67" s="92"/>
      <c r="I67" s="92"/>
      <c r="J67" s="92"/>
      <c r="K67" s="255"/>
      <c r="L67" s="91"/>
    </row>
    <row r="68" spans="1:12" ht="12.75">
      <c r="A68" s="92"/>
      <c r="B68" s="92"/>
      <c r="C68" s="92"/>
      <c r="D68" s="92"/>
      <c r="E68" s="92"/>
      <c r="F68" s="92"/>
      <c r="G68" s="92"/>
      <c r="H68" s="92"/>
      <c r="I68" s="92"/>
      <c r="J68" s="92"/>
      <c r="K68" s="255"/>
      <c r="L68" s="91"/>
    </row>
    <row r="69" spans="1:12" ht="12.75">
      <c r="A69" s="92"/>
      <c r="B69" s="92"/>
      <c r="C69" s="92"/>
      <c r="D69" s="92"/>
      <c r="E69" s="92"/>
      <c r="F69" s="92"/>
      <c r="G69" s="92"/>
      <c r="H69" s="92"/>
      <c r="I69" s="92"/>
      <c r="J69" s="92"/>
      <c r="K69" s="255"/>
      <c r="L69" s="91"/>
    </row>
    <row r="70" spans="1:12" ht="12.75">
      <c r="A70" s="267"/>
      <c r="B70" s="267"/>
      <c r="C70" s="267"/>
      <c r="D70" s="267"/>
      <c r="E70" s="267"/>
      <c r="F70" s="267"/>
      <c r="G70" s="267"/>
      <c r="H70" s="267"/>
      <c r="I70" s="267"/>
      <c r="J70" s="267"/>
      <c r="K70" s="255"/>
      <c r="L70" s="91"/>
    </row>
    <row r="71" spans="1:12" ht="12.75">
      <c r="A71" s="92"/>
      <c r="B71" s="91"/>
      <c r="C71" s="91"/>
      <c r="D71" s="91"/>
      <c r="E71" s="91"/>
      <c r="F71" s="91"/>
      <c r="G71" s="91"/>
      <c r="H71" s="91"/>
      <c r="I71" s="91"/>
      <c r="J71" s="91"/>
      <c r="K71" s="255"/>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Junio 2018
INFSGI-MES-06-2018
10/07/2018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1"/>
  <sheetViews>
    <sheetView showGridLines="0" view="pageBreakPreview" zoomScale="130" zoomScaleNormal="100" zoomScaleSheetLayoutView="130" zoomScalePageLayoutView="115" workbookViewId="0">
      <selection activeCell="R31" sqref="R31"/>
    </sheetView>
  </sheetViews>
  <sheetFormatPr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43" t="s">
        <v>503</v>
      </c>
      <c r="B2" s="943"/>
      <c r="C2" s="943"/>
      <c r="D2" s="943"/>
      <c r="E2" s="943"/>
      <c r="F2" s="943"/>
      <c r="G2" s="943"/>
      <c r="H2" s="943"/>
      <c r="I2" s="279"/>
      <c r="J2" s="279"/>
      <c r="K2" s="279"/>
    </row>
    <row r="3" spans="1:12" ht="11.25" customHeight="1">
      <c r="A3" s="97"/>
      <c r="B3" s="97"/>
      <c r="C3" s="97"/>
      <c r="D3" s="97"/>
      <c r="E3" s="97"/>
      <c r="F3" s="97"/>
      <c r="G3" s="97"/>
      <c r="H3" s="97"/>
      <c r="I3" s="280"/>
      <c r="J3" s="280"/>
      <c r="K3" s="280"/>
      <c r="L3" s="269"/>
    </row>
    <row r="4" spans="1:12" ht="11.25" customHeight="1">
      <c r="A4" s="933" t="s">
        <v>505</v>
      </c>
      <c r="B4" s="933"/>
      <c r="C4" s="933"/>
      <c r="D4" s="933"/>
      <c r="E4" s="933"/>
      <c r="F4" s="933"/>
      <c r="G4" s="933"/>
      <c r="H4" s="933"/>
      <c r="I4" s="270"/>
      <c r="J4" s="270"/>
      <c r="K4" s="270"/>
      <c r="L4" s="269"/>
    </row>
    <row r="5" spans="1:12" ht="11.25" customHeight="1">
      <c r="A5" s="97"/>
      <c r="B5" s="208"/>
      <c r="C5" s="98"/>
      <c r="D5" s="99"/>
      <c r="E5" s="99"/>
      <c r="F5" s="100"/>
      <c r="G5" s="96"/>
      <c r="H5" s="96"/>
      <c r="I5" s="271"/>
      <c r="J5" s="271"/>
      <c r="K5" s="271"/>
      <c r="L5" s="281"/>
    </row>
    <row r="6" spans="1:12" ht="30.75" customHeight="1">
      <c r="A6" s="286" t="s">
        <v>197</v>
      </c>
      <c r="B6" s="287" t="s">
        <v>198</v>
      </c>
      <c r="C6" s="287" t="s">
        <v>199</v>
      </c>
      <c r="D6" s="423" t="str">
        <f>UPPER('1. Resumen'!Q4)&amp;"
 "&amp;'1. Resumen'!Q5</f>
        <v>JUNIO
 2018</v>
      </c>
      <c r="E6" s="423" t="str">
        <f>UPPER('1. Resumen'!Q4)&amp;"
 "&amp;'1. Resumen'!Q5-1</f>
        <v>JUNIO
 2017</v>
      </c>
      <c r="F6" s="423" t="str">
        <f>UPPER('1. Resumen'!Q4)&amp;"
 "&amp;'1. Resumen'!Q5-2</f>
        <v>JUNIO
 2016</v>
      </c>
      <c r="G6" s="287" t="s">
        <v>518</v>
      </c>
      <c r="H6" s="424" t="s">
        <v>200</v>
      </c>
      <c r="I6" s="271"/>
      <c r="J6" s="271"/>
      <c r="K6" s="271"/>
      <c r="L6" s="210"/>
    </row>
    <row r="7" spans="1:12" ht="22.5">
      <c r="A7" s="947" t="s">
        <v>201</v>
      </c>
      <c r="B7" s="422" t="s">
        <v>586</v>
      </c>
      <c r="C7" s="785" t="s">
        <v>585</v>
      </c>
      <c r="D7" s="288"/>
      <c r="E7" s="288">
        <v>689.33333333333326</v>
      </c>
      <c r="F7" s="288">
        <v>359.06666666666666</v>
      </c>
      <c r="G7" s="825">
        <f>+D7/E7-1</f>
        <v>-1</v>
      </c>
      <c r="H7" s="425">
        <f>+E7/F7-1</f>
        <v>0.91979205347196413</v>
      </c>
      <c r="I7" s="271"/>
      <c r="J7" s="271"/>
      <c r="K7" s="271"/>
      <c r="L7" s="74"/>
    </row>
    <row r="8" spans="1:12" ht="12.75">
      <c r="A8" s="948"/>
      <c r="B8" s="422" t="s">
        <v>739</v>
      </c>
      <c r="C8" s="785" t="s">
        <v>740</v>
      </c>
      <c r="D8" s="288"/>
      <c r="E8" s="288">
        <v>9.6999999999999993</v>
      </c>
      <c r="F8" s="288"/>
      <c r="G8" s="825">
        <f t="shared" ref="G8:G11" si="0">+D8/E8-1</f>
        <v>-1</v>
      </c>
      <c r="H8" s="425"/>
      <c r="I8" s="271"/>
      <c r="J8" s="271"/>
      <c r="K8" s="271"/>
      <c r="L8" s="74"/>
    </row>
    <row r="9" spans="1:12" ht="12.75">
      <c r="A9" s="944" t="s">
        <v>202</v>
      </c>
      <c r="B9" s="422" t="s">
        <v>203</v>
      </c>
      <c r="C9" s="785" t="s">
        <v>580</v>
      </c>
      <c r="D9" s="288"/>
      <c r="E9" s="288">
        <v>27.316666666666663</v>
      </c>
      <c r="F9" s="288">
        <v>78.716666666666683</v>
      </c>
      <c r="G9" s="825">
        <f t="shared" si="0"/>
        <v>-1</v>
      </c>
      <c r="H9" s="425">
        <f t="shared" ref="H9:H15" si="1">+E9/F9-1</f>
        <v>-0.65297480414990483</v>
      </c>
      <c r="I9" s="271"/>
      <c r="J9" s="271"/>
      <c r="K9" s="271"/>
      <c r="L9" s="209"/>
    </row>
    <row r="10" spans="1:12" ht="12.75">
      <c r="A10" s="945"/>
      <c r="B10" s="422" t="s">
        <v>735</v>
      </c>
      <c r="C10" s="785" t="s">
        <v>736</v>
      </c>
      <c r="D10" s="288">
        <v>3.5333333333333341</v>
      </c>
      <c r="E10" s="288"/>
      <c r="F10" s="288"/>
      <c r="G10" s="825"/>
      <c r="H10" s="425"/>
      <c r="I10" s="271"/>
      <c r="J10" s="271"/>
      <c r="K10" s="272"/>
      <c r="L10" s="282"/>
    </row>
    <row r="11" spans="1:12" ht="12.75">
      <c r="A11" s="945"/>
      <c r="B11" s="422" t="s">
        <v>565</v>
      </c>
      <c r="C11" s="785" t="s">
        <v>581</v>
      </c>
      <c r="D11" s="288"/>
      <c r="E11" s="288">
        <v>13.733333333333333</v>
      </c>
      <c r="F11" s="288"/>
      <c r="G11" s="825">
        <f t="shared" si="0"/>
        <v>-1</v>
      </c>
      <c r="H11" s="425"/>
      <c r="I11" s="271"/>
      <c r="J11" s="271"/>
      <c r="K11" s="272"/>
      <c r="L11" s="282"/>
    </row>
    <row r="12" spans="1:12" ht="12.75">
      <c r="A12" s="945"/>
      <c r="B12" s="422" t="s">
        <v>588</v>
      </c>
      <c r="C12" s="785" t="s">
        <v>583</v>
      </c>
      <c r="D12" s="288"/>
      <c r="E12" s="288"/>
      <c r="F12" s="288">
        <v>7.2333333333333307</v>
      </c>
      <c r="G12" s="825"/>
      <c r="H12" s="425">
        <f t="shared" si="1"/>
        <v>-1</v>
      </c>
      <c r="I12" s="271"/>
      <c r="J12" s="271"/>
      <c r="K12" s="272"/>
      <c r="L12" s="282"/>
    </row>
    <row r="13" spans="1:12" ht="12.75">
      <c r="A13" s="945"/>
      <c r="B13" s="422" t="s">
        <v>737</v>
      </c>
      <c r="C13" s="785" t="s">
        <v>738</v>
      </c>
      <c r="D13" s="288">
        <v>4.033333333333335</v>
      </c>
      <c r="E13" s="288"/>
      <c r="F13" s="288"/>
      <c r="G13" s="825"/>
      <c r="H13" s="425"/>
      <c r="I13" s="271"/>
      <c r="J13" s="271"/>
      <c r="K13" s="272"/>
      <c r="L13" s="282"/>
    </row>
    <row r="14" spans="1:12" ht="12.75">
      <c r="A14" s="945"/>
      <c r="B14" s="422" t="s">
        <v>587</v>
      </c>
      <c r="C14" s="785" t="s">
        <v>582</v>
      </c>
      <c r="D14" s="288">
        <v>4.7833333333333323</v>
      </c>
      <c r="E14" s="288"/>
      <c r="F14" s="288">
        <v>14.05</v>
      </c>
      <c r="G14" s="825"/>
      <c r="H14" s="425">
        <f t="shared" si="1"/>
        <v>-1</v>
      </c>
      <c r="I14" s="271"/>
      <c r="J14" s="271"/>
      <c r="K14" s="272"/>
      <c r="L14" s="282"/>
    </row>
    <row r="15" spans="1:12" ht="12.75">
      <c r="A15" s="946"/>
      <c r="B15" s="422" t="s">
        <v>589</v>
      </c>
      <c r="C15" s="785" t="s">
        <v>584</v>
      </c>
      <c r="D15" s="288"/>
      <c r="E15" s="288"/>
      <c r="F15" s="288">
        <v>1.7333333333333325</v>
      </c>
      <c r="G15" s="825"/>
      <c r="H15" s="425">
        <f t="shared" si="1"/>
        <v>-1</v>
      </c>
      <c r="I15" s="271"/>
      <c r="J15" s="271"/>
      <c r="K15" s="272"/>
      <c r="L15" s="282"/>
    </row>
    <row r="16" spans="1:12" ht="11.25" customHeight="1">
      <c r="A16" s="289" t="s">
        <v>204</v>
      </c>
      <c r="B16" s="290"/>
      <c r="C16" s="291"/>
      <c r="D16" s="292">
        <f>SUM(D7:D15)</f>
        <v>12.350000000000001</v>
      </c>
      <c r="E16" s="292">
        <f>SUM(E7:E15)</f>
        <v>740.08333333333326</v>
      </c>
      <c r="F16" s="292">
        <f>SUM(F7:F15)</f>
        <v>460.80000000000007</v>
      </c>
      <c r="G16" s="426">
        <f>+E16/F16-1</f>
        <v>0.60608362268518468</v>
      </c>
      <c r="H16" s="426">
        <f>+D16/E16-1</f>
        <v>-0.98331269001238597</v>
      </c>
      <c r="I16" s="271"/>
      <c r="J16" s="271"/>
      <c r="K16" s="272"/>
      <c r="L16" s="282"/>
    </row>
    <row r="17" spans="1:12" ht="11.25" customHeight="1">
      <c r="A17" s="418" t="str">
        <f>"Cuadro N° 14: Horas de operación de los principales equipos de congestión en "&amp;'1. Resumen'!Q4</f>
        <v>Cuadro N° 14: Horas de operación de los principales equipos de congestión en junio</v>
      </c>
      <c r="B17" s="293"/>
      <c r="C17" s="294"/>
      <c r="D17" s="295"/>
      <c r="E17" s="295"/>
      <c r="F17" s="296"/>
      <c r="G17" s="96"/>
      <c r="H17" s="102"/>
      <c r="I17" s="271"/>
      <c r="J17" s="271"/>
      <c r="K17" s="272"/>
      <c r="L17" s="282"/>
    </row>
    <row r="18" spans="1:12" ht="11.25" customHeight="1">
      <c r="A18" s="158"/>
      <c r="B18" s="293"/>
      <c r="C18" s="294"/>
      <c r="D18" s="295"/>
      <c r="E18" s="295"/>
      <c r="F18" s="296"/>
      <c r="G18" s="96"/>
      <c r="H18" s="96"/>
      <c r="I18" s="271"/>
      <c r="J18" s="271"/>
      <c r="K18" s="272"/>
      <c r="L18" s="282"/>
    </row>
    <row r="19" spans="1:12" ht="11.25" customHeight="1">
      <c r="A19" s="158"/>
      <c r="B19" s="293"/>
      <c r="C19" s="294"/>
      <c r="D19" s="295"/>
      <c r="E19" s="295"/>
      <c r="F19" s="296"/>
      <c r="G19" s="96"/>
      <c r="H19" s="96"/>
      <c r="I19" s="271"/>
      <c r="J19" s="271"/>
      <c r="K19" s="272"/>
      <c r="L19" s="282"/>
    </row>
    <row r="20" spans="1:12" ht="11.25" customHeight="1">
      <c r="A20" s="97"/>
      <c r="B20" s="208"/>
      <c r="C20" s="98"/>
      <c r="D20" s="99"/>
      <c r="E20" s="99"/>
      <c r="F20" s="100"/>
      <c r="G20" s="96"/>
      <c r="H20" s="96"/>
      <c r="I20" s="271"/>
      <c r="J20" s="271"/>
      <c r="K20" s="272"/>
      <c r="L20" s="282"/>
    </row>
    <row r="21" spans="1:12" ht="11.25" customHeight="1">
      <c r="A21" s="97"/>
      <c r="B21" s="208"/>
      <c r="C21" s="98"/>
      <c r="D21" s="99"/>
      <c r="E21" s="99"/>
      <c r="F21" s="100"/>
      <c r="G21" s="96"/>
      <c r="H21" s="96"/>
      <c r="I21" s="271"/>
      <c r="J21" s="271"/>
      <c r="K21" s="272"/>
      <c r="L21" s="282"/>
    </row>
    <row r="22" spans="1:12" ht="11.25" customHeight="1">
      <c r="A22" s="97"/>
      <c r="B22" s="208"/>
      <c r="C22" s="98"/>
      <c r="D22" s="99"/>
      <c r="E22" s="99"/>
      <c r="F22" s="100"/>
      <c r="G22" s="96"/>
      <c r="H22" s="96"/>
      <c r="I22" s="271"/>
      <c r="J22" s="271"/>
      <c r="K22" s="272"/>
      <c r="L22" s="283"/>
    </row>
    <row r="23" spans="1:12" ht="11.25" customHeight="1">
      <c r="A23" s="97"/>
      <c r="B23" s="208"/>
      <c r="C23" s="98"/>
      <c r="D23" s="99"/>
      <c r="E23" s="99"/>
      <c r="F23" s="100"/>
      <c r="G23" s="96"/>
      <c r="H23" s="96"/>
      <c r="I23" s="271"/>
      <c r="J23" s="271"/>
      <c r="K23" s="272"/>
      <c r="L23" s="282"/>
    </row>
    <row r="24" spans="1:12" ht="11.25" customHeight="1">
      <c r="A24" s="97"/>
      <c r="B24" s="208"/>
      <c r="C24" s="98"/>
      <c r="D24" s="99"/>
      <c r="E24" s="99"/>
      <c r="F24" s="100"/>
      <c r="G24" s="96"/>
      <c r="H24" s="96"/>
      <c r="I24" s="271"/>
      <c r="J24" s="271"/>
      <c r="K24" s="272"/>
      <c r="L24" s="282"/>
    </row>
    <row r="25" spans="1:12" ht="11.25" customHeight="1">
      <c r="A25" s="97"/>
      <c r="B25" s="208"/>
      <c r="C25" s="98"/>
      <c r="D25" s="99"/>
      <c r="E25" s="99"/>
      <c r="F25" s="100"/>
      <c r="G25" s="96"/>
      <c r="H25" s="96"/>
      <c r="I25" s="271"/>
      <c r="J25" s="271"/>
      <c r="K25" s="271"/>
      <c r="L25" s="74"/>
    </row>
    <row r="26" spans="1:12" ht="11.25" customHeight="1">
      <c r="A26" s="97"/>
      <c r="B26" s="208"/>
      <c r="C26" s="98"/>
      <c r="D26" s="99"/>
      <c r="E26" s="99"/>
      <c r="F26" s="100"/>
      <c r="G26" s="96"/>
      <c r="H26" s="96"/>
      <c r="I26" s="271"/>
      <c r="J26" s="271"/>
      <c r="K26" s="272"/>
      <c r="L26" s="282"/>
    </row>
    <row r="27" spans="1:12" ht="11.25" customHeight="1">
      <c r="A27" s="97"/>
      <c r="B27" s="208"/>
      <c r="C27" s="98"/>
      <c r="D27" s="99"/>
      <c r="E27" s="99"/>
      <c r="F27" s="100"/>
      <c r="G27" s="96"/>
      <c r="H27" s="96"/>
      <c r="I27" s="271"/>
      <c r="J27" s="271"/>
      <c r="K27" s="273"/>
      <c r="L27" s="282"/>
    </row>
    <row r="28" spans="1:12" ht="11.25" customHeight="1">
      <c r="A28" s="97"/>
      <c r="B28" s="208"/>
      <c r="C28" s="98"/>
      <c r="D28" s="99"/>
      <c r="E28" s="99"/>
      <c r="F28" s="100"/>
      <c r="G28" s="96"/>
      <c r="H28" s="96"/>
      <c r="I28" s="271"/>
      <c r="J28" s="271"/>
      <c r="K28" s="273"/>
      <c r="L28" s="282"/>
    </row>
    <row r="29" spans="1:12" ht="11.25" customHeight="1">
      <c r="A29" s="97"/>
      <c r="B29" s="208"/>
      <c r="C29" s="98"/>
      <c r="D29" s="99"/>
      <c r="E29" s="99"/>
      <c r="F29" s="100"/>
      <c r="G29" s="96"/>
      <c r="H29" s="96"/>
      <c r="I29" s="271"/>
      <c r="J29" s="271"/>
      <c r="K29" s="273"/>
      <c r="L29" s="282"/>
    </row>
    <row r="30" spans="1:12" ht="11.25" customHeight="1">
      <c r="A30" s="97"/>
      <c r="B30" s="208"/>
      <c r="C30" s="98"/>
      <c r="D30" s="99"/>
      <c r="E30" s="99"/>
      <c r="F30" s="100"/>
      <c r="G30" s="96"/>
      <c r="H30" s="96"/>
      <c r="I30" s="271"/>
      <c r="J30" s="271"/>
      <c r="K30" s="273"/>
      <c r="L30" s="282"/>
    </row>
    <row r="31" spans="1:12" ht="11.25" customHeight="1">
      <c r="A31" s="97"/>
      <c r="B31" s="208"/>
      <c r="C31" s="98"/>
      <c r="D31" s="99"/>
      <c r="E31" s="99"/>
      <c r="F31" s="100"/>
      <c r="G31" s="96"/>
      <c r="H31" s="96"/>
      <c r="I31" s="271"/>
      <c r="J31" s="271"/>
      <c r="K31" s="273"/>
      <c r="L31" s="282"/>
    </row>
    <row r="32" spans="1:12" ht="11.25" customHeight="1">
      <c r="A32" s="97"/>
      <c r="B32" s="208"/>
      <c r="C32" s="98"/>
      <c r="D32" s="99"/>
      <c r="E32" s="99"/>
      <c r="F32" s="100"/>
      <c r="G32" s="96"/>
      <c r="H32" s="96"/>
      <c r="I32" s="271"/>
      <c r="J32" s="271"/>
      <c r="K32" s="273"/>
      <c r="L32" s="282"/>
    </row>
    <row r="33" spans="1:12" ht="11.25" customHeight="1">
      <c r="A33" s="97"/>
      <c r="B33" s="208"/>
      <c r="C33" s="98"/>
      <c r="D33" s="99"/>
      <c r="E33" s="99"/>
      <c r="F33" s="100"/>
      <c r="G33" s="96"/>
      <c r="H33" s="96"/>
      <c r="I33" s="271"/>
      <c r="J33" s="271"/>
      <c r="K33" s="273"/>
      <c r="L33" s="282"/>
    </row>
    <row r="34" spans="1:12" ht="11.25" customHeight="1">
      <c r="A34" s="97"/>
      <c r="B34" s="208"/>
      <c r="C34" s="98"/>
      <c r="D34" s="99"/>
      <c r="E34" s="99"/>
      <c r="F34" s="100"/>
      <c r="G34" s="96"/>
      <c r="H34" s="96"/>
      <c r="I34" s="271"/>
      <c r="J34" s="271"/>
      <c r="K34" s="273"/>
      <c r="L34" s="284"/>
    </row>
    <row r="35" spans="1:12" ht="11.25" customHeight="1">
      <c r="A35" s="97"/>
      <c r="B35" s="208"/>
      <c r="C35" s="98"/>
      <c r="D35" s="99"/>
      <c r="E35" s="99"/>
      <c r="F35" s="100"/>
      <c r="G35" s="96"/>
      <c r="H35" s="96"/>
      <c r="I35" s="271"/>
      <c r="J35" s="271"/>
      <c r="K35" s="273"/>
      <c r="L35" s="282"/>
    </row>
    <row r="36" spans="1:12" ht="11.25" customHeight="1">
      <c r="A36" s="97"/>
      <c r="B36" s="208"/>
      <c r="C36" s="98"/>
      <c r="D36" s="99"/>
      <c r="E36" s="99"/>
      <c r="F36" s="100"/>
      <c r="G36" s="96"/>
      <c r="H36" s="96"/>
      <c r="I36" s="271"/>
      <c r="J36" s="271"/>
      <c r="K36" s="273"/>
      <c r="L36" s="282"/>
    </row>
    <row r="37" spans="1:12" ht="11.25" customHeight="1">
      <c r="A37" s="97"/>
      <c r="B37" s="97"/>
      <c r="C37" s="97"/>
      <c r="D37" s="97"/>
      <c r="E37" s="97"/>
      <c r="F37" s="97"/>
      <c r="G37" s="97"/>
      <c r="H37" s="97"/>
      <c r="I37" s="271"/>
      <c r="J37" s="271"/>
      <c r="K37" s="273"/>
      <c r="L37" s="282"/>
    </row>
    <row r="38" spans="1:12" ht="11.25" customHeight="1">
      <c r="A38" s="97"/>
      <c r="B38" s="97"/>
      <c r="C38" s="97"/>
      <c r="D38" s="97"/>
      <c r="E38" s="97"/>
      <c r="F38" s="97"/>
      <c r="G38" s="97"/>
      <c r="H38" s="97"/>
      <c r="I38" s="271"/>
      <c r="J38" s="271"/>
      <c r="K38" s="273"/>
      <c r="L38" s="282"/>
    </row>
    <row r="39" spans="1:12" ht="11.25" customHeight="1">
      <c r="A39" s="97"/>
      <c r="B39" s="97"/>
      <c r="C39" s="97"/>
      <c r="D39" s="97"/>
      <c r="E39" s="97"/>
      <c r="F39" s="97"/>
      <c r="G39" s="97"/>
      <c r="H39" s="97"/>
      <c r="I39" s="271"/>
      <c r="J39" s="271"/>
      <c r="K39" s="273"/>
      <c r="L39" s="282"/>
    </row>
    <row r="40" spans="1:12" ht="11.25" customHeight="1">
      <c r="A40" s="97"/>
      <c r="B40" s="97"/>
      <c r="C40" s="97"/>
      <c r="D40" s="97"/>
      <c r="E40" s="97"/>
      <c r="F40" s="97"/>
      <c r="G40" s="97"/>
      <c r="H40" s="97"/>
      <c r="I40" s="271"/>
      <c r="J40" s="271"/>
      <c r="K40" s="273"/>
      <c r="L40" s="282"/>
    </row>
    <row r="41" spans="1:12" ht="11.25" customHeight="1">
      <c r="A41" s="97"/>
      <c r="B41" s="97"/>
      <c r="C41" s="97"/>
      <c r="D41" s="97"/>
      <c r="E41" s="97"/>
      <c r="F41" s="97"/>
      <c r="G41" s="97"/>
      <c r="H41" s="97"/>
      <c r="I41" s="271"/>
      <c r="J41" s="271"/>
      <c r="K41" s="275"/>
      <c r="L41" s="75"/>
    </row>
    <row r="42" spans="1:12" ht="11.25" customHeight="1">
      <c r="A42" s="97"/>
      <c r="B42" s="97"/>
      <c r="C42" s="97"/>
      <c r="D42" s="97"/>
      <c r="E42" s="97"/>
      <c r="F42" s="97"/>
      <c r="G42" s="97"/>
      <c r="H42" s="97"/>
      <c r="I42" s="271"/>
      <c r="J42" s="271"/>
      <c r="K42" s="275"/>
      <c r="L42" s="76"/>
    </row>
    <row r="43" spans="1:12" ht="11.25" customHeight="1">
      <c r="A43" s="97"/>
      <c r="B43" s="97"/>
      <c r="C43" s="97"/>
      <c r="D43" s="97"/>
      <c r="E43" s="97"/>
      <c r="F43" s="97"/>
      <c r="G43" s="97"/>
      <c r="H43" s="97"/>
      <c r="I43" s="271"/>
      <c r="J43" s="271"/>
      <c r="K43" s="275"/>
      <c r="L43" s="76"/>
    </row>
    <row r="44" spans="1:12" ht="11.25" customHeight="1">
      <c r="A44" s="97"/>
      <c r="B44" s="97"/>
      <c r="C44" s="97"/>
      <c r="D44" s="97"/>
      <c r="E44" s="97"/>
      <c r="F44" s="97"/>
      <c r="G44" s="97"/>
      <c r="H44" s="97"/>
      <c r="I44" s="271"/>
      <c r="J44" s="271"/>
      <c r="K44" s="273"/>
    </row>
    <row r="45" spans="1:12" ht="11.25" customHeight="1">
      <c r="A45" s="97"/>
      <c r="B45" s="97"/>
      <c r="C45" s="97"/>
      <c r="D45" s="97"/>
      <c r="E45" s="97"/>
      <c r="F45" s="97"/>
      <c r="G45" s="97"/>
      <c r="H45" s="97"/>
      <c r="I45" s="271"/>
      <c r="J45" s="271"/>
      <c r="K45" s="273"/>
    </row>
    <row r="46" spans="1:12" ht="12.75">
      <c r="A46" s="93"/>
      <c r="B46" s="97"/>
      <c r="C46" s="97"/>
      <c r="D46" s="97"/>
      <c r="E46" s="97"/>
      <c r="F46" s="97"/>
      <c r="G46" s="97"/>
      <c r="H46" s="97"/>
      <c r="I46" s="271"/>
      <c r="J46" s="271"/>
      <c r="K46" s="273"/>
    </row>
    <row r="47" spans="1:12" ht="12.75">
      <c r="A47" s="97"/>
      <c r="B47" s="97"/>
      <c r="C47" s="97"/>
      <c r="D47" s="97"/>
      <c r="E47" s="97"/>
      <c r="F47" s="97"/>
      <c r="G47" s="97"/>
      <c r="H47" s="97"/>
      <c r="I47" s="271"/>
      <c r="J47" s="271"/>
      <c r="K47" s="273"/>
    </row>
    <row r="48" spans="1:12" ht="12.75">
      <c r="A48" s="97"/>
      <c r="B48" s="97"/>
      <c r="C48" s="97"/>
      <c r="D48" s="97"/>
      <c r="E48" s="97"/>
      <c r="F48" s="97"/>
      <c r="G48" s="97"/>
      <c r="H48" s="97"/>
      <c r="I48" s="271"/>
      <c r="J48" s="271"/>
      <c r="K48" s="273"/>
    </row>
    <row r="49" spans="1:11" ht="12.75">
      <c r="A49" s="97"/>
      <c r="B49" s="97"/>
      <c r="C49" s="97"/>
      <c r="D49" s="97"/>
      <c r="E49" s="97"/>
      <c r="F49" s="97"/>
      <c r="G49" s="97"/>
      <c r="H49" s="97"/>
      <c r="I49" s="271"/>
      <c r="J49" s="271"/>
      <c r="K49" s="273"/>
    </row>
    <row r="50" spans="1:11" ht="12.75">
      <c r="A50" s="97"/>
      <c r="B50" s="97"/>
      <c r="C50" s="97"/>
      <c r="D50" s="97"/>
      <c r="E50" s="97"/>
      <c r="F50" s="97"/>
      <c r="G50" s="97"/>
      <c r="H50" s="97"/>
      <c r="I50" s="271"/>
      <c r="J50" s="271"/>
      <c r="K50" s="273"/>
    </row>
    <row r="51" spans="1:11" ht="12.75">
      <c r="A51" s="97"/>
      <c r="B51" s="97"/>
      <c r="C51" s="97"/>
      <c r="D51" s="97"/>
      <c r="E51" s="97"/>
      <c r="F51" s="97"/>
      <c r="G51" s="97"/>
      <c r="H51" s="97"/>
      <c r="I51" s="132"/>
      <c r="J51" s="132"/>
      <c r="K51" s="273"/>
    </row>
    <row r="52" spans="1:11" ht="12.75">
      <c r="A52" s="97"/>
      <c r="B52" s="97"/>
      <c r="C52" s="97"/>
      <c r="D52" s="97"/>
      <c r="E52" s="97"/>
      <c r="F52" s="97"/>
      <c r="G52" s="97"/>
      <c r="H52" s="97"/>
      <c r="I52" s="132"/>
      <c r="J52" s="132"/>
      <c r="K52" s="273"/>
    </row>
    <row r="53" spans="1:11" ht="12.75">
      <c r="A53" s="97"/>
      <c r="B53" s="97"/>
      <c r="C53" s="97"/>
      <c r="D53" s="97"/>
      <c r="E53" s="97"/>
      <c r="F53" s="97"/>
      <c r="G53" s="97"/>
      <c r="H53" s="97"/>
      <c r="I53" s="132"/>
      <c r="J53" s="132"/>
      <c r="K53" s="273"/>
    </row>
    <row r="54" spans="1:11" ht="12.75">
      <c r="B54" s="97"/>
      <c r="C54" s="97"/>
      <c r="D54" s="97"/>
      <c r="E54" s="97"/>
      <c r="F54" s="97"/>
      <c r="G54" s="97"/>
      <c r="H54" s="97"/>
      <c r="I54" s="132"/>
      <c r="J54" s="132"/>
      <c r="K54" s="273"/>
    </row>
    <row r="55" spans="1:11" ht="12.75">
      <c r="A55" s="418" t="str">
        <f>"Gráfico N° 23: Comparación de las horas de operación de los principales equipos de congestión en "&amp;'1. Resumen'!Q4</f>
        <v>Gráfico N° 23: Comparación de las horas de operación de los principales equipos de congestión en junio</v>
      </c>
      <c r="B55" s="97"/>
      <c r="C55" s="97"/>
      <c r="D55" s="97"/>
      <c r="E55" s="97"/>
      <c r="F55" s="97"/>
      <c r="G55" s="97"/>
      <c r="H55" s="97"/>
      <c r="I55" s="132"/>
      <c r="J55" s="132"/>
      <c r="K55" s="273"/>
    </row>
    <row r="56" spans="1:11" ht="12.75">
      <c r="A56" s="97"/>
      <c r="B56" s="97"/>
      <c r="C56" s="97"/>
      <c r="D56" s="97"/>
      <c r="E56" s="97"/>
      <c r="F56" s="97"/>
      <c r="G56" s="97"/>
      <c r="H56" s="97"/>
      <c r="I56" s="272"/>
      <c r="J56" s="272"/>
      <c r="K56" s="273"/>
    </row>
    <row r="57" spans="1:11" ht="12.75">
      <c r="A57" s="271"/>
      <c r="B57" s="272"/>
      <c r="C57" s="272"/>
      <c r="D57" s="272"/>
      <c r="E57" s="272"/>
      <c r="F57" s="272"/>
      <c r="G57" s="272"/>
      <c r="H57" s="272"/>
      <c r="I57" s="272"/>
      <c r="J57" s="272"/>
      <c r="K57" s="273"/>
    </row>
    <row r="58" spans="1:11" ht="12.75">
      <c r="A58" s="271"/>
      <c r="B58" s="285"/>
      <c r="C58" s="273"/>
      <c r="D58" s="273"/>
      <c r="E58" s="273"/>
      <c r="F58" s="273"/>
      <c r="G58" s="272"/>
      <c r="H58" s="272"/>
      <c r="I58" s="272"/>
      <c r="J58" s="272"/>
      <c r="K58" s="273"/>
    </row>
    <row r="59" spans="1:11" ht="12.75">
      <c r="A59" s="2"/>
      <c r="B59" s="131"/>
      <c r="C59" s="131"/>
      <c r="D59" s="131"/>
      <c r="E59" s="131"/>
      <c r="F59" s="131"/>
      <c r="G59" s="131"/>
      <c r="H59" s="272"/>
      <c r="I59" s="272"/>
      <c r="J59" s="272"/>
      <c r="K59" s="273"/>
    </row>
    <row r="60" spans="1:11" ht="12.75">
      <c r="A60" s="2"/>
      <c r="B60" s="131"/>
      <c r="C60" s="131"/>
      <c r="D60" s="131"/>
      <c r="E60" s="131"/>
      <c r="F60" s="131"/>
      <c r="G60" s="131"/>
      <c r="H60" s="272"/>
      <c r="I60" s="272"/>
      <c r="J60" s="272"/>
      <c r="K60" s="272"/>
    </row>
    <row r="61" spans="1:11" ht="12.75">
      <c r="A61" s="2"/>
      <c r="B61" s="131"/>
      <c r="C61" s="131"/>
      <c r="D61" s="131"/>
      <c r="E61" s="131"/>
      <c r="F61" s="131"/>
      <c r="G61" s="131"/>
      <c r="H61" s="272"/>
      <c r="I61" s="272"/>
      <c r="J61" s="272"/>
      <c r="K61" s="272"/>
    </row>
  </sheetData>
  <mergeCells count="4">
    <mergeCell ref="A4:H4"/>
    <mergeCell ref="A2:H2"/>
    <mergeCell ref="A9:A15"/>
    <mergeCell ref="A7:A8"/>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49"/>
  <sheetViews>
    <sheetView showGridLines="0" view="pageBreakPreview" zoomScale="145" zoomScaleNormal="160" zoomScaleSheetLayoutView="145" zoomScalePageLayoutView="160" workbookViewId="0">
      <selection activeCell="R31" sqref="R31"/>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57" t="s">
        <v>205</v>
      </c>
      <c r="B2" s="957"/>
      <c r="C2" s="957"/>
      <c r="D2" s="957"/>
      <c r="E2" s="957"/>
      <c r="F2" s="957"/>
      <c r="G2" s="957"/>
      <c r="H2" s="957"/>
      <c r="I2" s="957"/>
      <c r="J2" s="957"/>
      <c r="K2" s="206"/>
    </row>
    <row r="3" spans="1:13" ht="6.75" customHeight="1">
      <c r="A3" s="25"/>
      <c r="B3" s="297"/>
      <c r="C3" s="298"/>
      <c r="D3" s="24"/>
      <c r="E3" s="24"/>
      <c r="F3" s="299"/>
      <c r="G3" s="83"/>
      <c r="H3" s="83"/>
      <c r="I3" s="89"/>
      <c r="J3" s="206"/>
      <c r="K3" s="206"/>
      <c r="L3" s="269"/>
    </row>
    <row r="4" spans="1:13" ht="11.25" customHeight="1">
      <c r="A4" s="958" t="s">
        <v>206</v>
      </c>
      <c r="B4" s="958"/>
      <c r="C4" s="958"/>
      <c r="D4" s="958"/>
      <c r="E4" s="958"/>
      <c r="F4" s="958"/>
      <c r="G4" s="958"/>
      <c r="H4" s="958"/>
      <c r="I4" s="958"/>
      <c r="J4" s="958"/>
      <c r="K4" s="206"/>
      <c r="L4" s="269"/>
    </row>
    <row r="5" spans="1:13" ht="38.25" customHeight="1">
      <c r="A5" s="955" t="s">
        <v>207</v>
      </c>
      <c r="B5" s="713" t="s">
        <v>208</v>
      </c>
      <c r="C5" s="713" t="s">
        <v>209</v>
      </c>
      <c r="D5" s="713" t="s">
        <v>210</v>
      </c>
      <c r="E5" s="713" t="s">
        <v>211</v>
      </c>
      <c r="F5" s="713" t="s">
        <v>212</v>
      </c>
      <c r="G5" s="713" t="s">
        <v>213</v>
      </c>
      <c r="H5" s="713" t="s">
        <v>214</v>
      </c>
      <c r="I5" s="762" t="s">
        <v>215</v>
      </c>
      <c r="J5" s="713" t="s">
        <v>216</v>
      </c>
      <c r="K5" s="300"/>
    </row>
    <row r="6" spans="1:13" ht="11.25" customHeight="1">
      <c r="A6" s="956"/>
      <c r="B6" s="713" t="s">
        <v>217</v>
      </c>
      <c r="C6" s="713" t="s">
        <v>218</v>
      </c>
      <c r="D6" s="713" t="s">
        <v>219</v>
      </c>
      <c r="E6" s="713" t="s">
        <v>220</v>
      </c>
      <c r="F6" s="713" t="s">
        <v>221</v>
      </c>
      <c r="G6" s="713" t="s">
        <v>222</v>
      </c>
      <c r="H6" s="713" t="s">
        <v>223</v>
      </c>
      <c r="I6" s="763"/>
      <c r="J6" s="713" t="s">
        <v>224</v>
      </c>
      <c r="K6" s="26"/>
    </row>
    <row r="7" spans="1:13">
      <c r="A7" s="719" t="s">
        <v>176</v>
      </c>
      <c r="B7" s="720"/>
      <c r="C7" s="720">
        <v>1</v>
      </c>
      <c r="D7" s="720"/>
      <c r="E7" s="721"/>
      <c r="F7" s="720">
        <v>2</v>
      </c>
      <c r="G7" s="720"/>
      <c r="H7" s="720"/>
      <c r="I7" s="722">
        <f>+SUM(B7:H7)</f>
        <v>3</v>
      </c>
      <c r="J7" s="723">
        <v>4.91</v>
      </c>
      <c r="K7" s="31"/>
    </row>
    <row r="8" spans="1:13" ht="16.5">
      <c r="A8" s="761" t="s">
        <v>734</v>
      </c>
      <c r="B8" s="714"/>
      <c r="C8" s="715">
        <v>1</v>
      </c>
      <c r="D8" s="715"/>
      <c r="E8" s="716"/>
      <c r="F8" s="715"/>
      <c r="G8" s="715"/>
      <c r="H8" s="715"/>
      <c r="I8" s="717">
        <f>+SUM(B8:H8)</f>
        <v>1</v>
      </c>
      <c r="J8" s="718">
        <v>3.85</v>
      </c>
      <c r="K8" s="29"/>
    </row>
    <row r="9" spans="1:13">
      <c r="A9" s="719" t="s">
        <v>515</v>
      </c>
      <c r="B9" s="720">
        <v>10</v>
      </c>
      <c r="C9" s="720">
        <v>6</v>
      </c>
      <c r="D9" s="720"/>
      <c r="E9" s="721">
        <v>1</v>
      </c>
      <c r="F9" s="720">
        <v>4</v>
      </c>
      <c r="G9" s="720"/>
      <c r="H9" s="720"/>
      <c r="I9" s="722">
        <f>+SUM(B9:H9)</f>
        <v>21</v>
      </c>
      <c r="J9" s="723">
        <v>351.07000000000005</v>
      </c>
      <c r="K9" s="29"/>
    </row>
    <row r="10" spans="1:13">
      <c r="A10" s="761" t="s">
        <v>559</v>
      </c>
      <c r="B10" s="714"/>
      <c r="C10" s="715">
        <v>1</v>
      </c>
      <c r="D10" s="715">
        <v>1</v>
      </c>
      <c r="E10" s="716"/>
      <c r="F10" s="715"/>
      <c r="G10" s="715"/>
      <c r="H10" s="715">
        <v>3</v>
      </c>
      <c r="I10" s="717">
        <f>+SUM(B10:H10)</f>
        <v>5</v>
      </c>
      <c r="J10" s="718">
        <v>127.8</v>
      </c>
      <c r="K10" s="29"/>
    </row>
    <row r="11" spans="1:13">
      <c r="A11" s="719" t="s">
        <v>215</v>
      </c>
      <c r="B11" s="722">
        <f t="shared" ref="B11:J11" si="0">+SUM(B7:B10)</f>
        <v>10</v>
      </c>
      <c r="C11" s="722">
        <f t="shared" si="0"/>
        <v>9</v>
      </c>
      <c r="D11" s="722">
        <f t="shared" si="0"/>
        <v>1</v>
      </c>
      <c r="E11" s="857">
        <f t="shared" si="0"/>
        <v>1</v>
      </c>
      <c r="F11" s="722">
        <f t="shared" si="0"/>
        <v>6</v>
      </c>
      <c r="G11" s="722">
        <f t="shared" si="0"/>
        <v>0</v>
      </c>
      <c r="H11" s="722">
        <f t="shared" si="0"/>
        <v>3</v>
      </c>
      <c r="I11" s="722">
        <f t="shared" si="0"/>
        <v>30</v>
      </c>
      <c r="J11" s="811">
        <f t="shared" si="0"/>
        <v>487.63000000000005</v>
      </c>
      <c r="K11" s="29"/>
    </row>
    <row r="12" spans="1:13" ht="11.25" customHeight="1">
      <c r="A12" s="96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2018</v>
      </c>
      <c r="B12" s="960"/>
      <c r="C12" s="960"/>
      <c r="D12" s="960"/>
      <c r="E12" s="960"/>
      <c r="F12" s="960"/>
      <c r="G12" s="960"/>
      <c r="H12" s="960"/>
      <c r="I12" s="960"/>
      <c r="J12" s="960"/>
      <c r="K12" s="29"/>
    </row>
    <row r="13" spans="1:13" ht="11.25" customHeight="1">
      <c r="A13" s="3"/>
      <c r="B13" s="3"/>
      <c r="C13" s="3"/>
      <c r="D13" s="3"/>
      <c r="E13" s="3"/>
      <c r="F13" s="3"/>
      <c r="G13" s="3"/>
      <c r="H13" s="3"/>
      <c r="I13" s="3"/>
      <c r="J13" s="3"/>
      <c r="K13" s="29"/>
    </row>
    <row r="14" spans="1:13" s="783" customFormat="1" ht="11.25" customHeight="1">
      <c r="A14" s="959" t="s">
        <v>560</v>
      </c>
      <c r="B14" s="959"/>
      <c r="C14" s="959"/>
      <c r="D14" s="959"/>
      <c r="E14" s="959"/>
      <c r="F14" s="959"/>
      <c r="G14" s="959"/>
      <c r="H14" s="959"/>
      <c r="I14" s="959"/>
      <c r="J14" s="959"/>
      <c r="K14" s="781"/>
      <c r="L14" s="782"/>
      <c r="M14" s="782"/>
    </row>
    <row r="15" spans="1:13" ht="11.25" customHeight="1">
      <c r="A15" s="25"/>
      <c r="B15" s="303"/>
      <c r="C15" s="302"/>
      <c r="D15" s="302"/>
      <c r="E15" s="302"/>
      <c r="F15" s="302"/>
      <c r="G15" s="247"/>
      <c r="H15" s="247"/>
      <c r="I15" s="159"/>
      <c r="J15" s="252"/>
      <c r="K15" s="252"/>
      <c r="L15" s="29"/>
    </row>
    <row r="16" spans="1:13" ht="11.25" customHeight="1">
      <c r="A16" s="952" t="str">
        <f>"FALLAS  POR TIPO DE CAUSA  -  "&amp;UPPER('1. Resumen'!Q4)&amp;" "&amp;'1. Resumen'!Q5</f>
        <v>FALLAS  POR TIPO DE CAUSA  -  JUNIO 2018</v>
      </c>
      <c r="B16" s="952"/>
      <c r="C16" s="952"/>
      <c r="D16" s="952"/>
      <c r="E16" s="952" t="str">
        <f>"FALLAS  POR TIPO DE EQUIPO  -  "&amp;UPPER('1. Resumen'!Q4)&amp;" "&amp;'1. Resumen'!Q5</f>
        <v>FALLAS  POR TIPO DE EQUIPO  -  JUNIO 2018</v>
      </c>
      <c r="F16" s="952"/>
      <c r="G16" s="952"/>
      <c r="H16" s="952"/>
      <c r="I16" s="952"/>
      <c r="J16" s="952"/>
      <c r="K16" s="252"/>
      <c r="L16" s="29"/>
    </row>
    <row r="17" spans="1:12" ht="11.25" customHeight="1">
      <c r="A17" s="25"/>
      <c r="E17" s="302"/>
      <c r="F17" s="302"/>
      <c r="G17" s="247"/>
      <c r="H17" s="247"/>
      <c r="I17" s="159"/>
      <c r="J17" s="132"/>
      <c r="K17" s="132"/>
      <c r="L17" s="29"/>
    </row>
    <row r="18" spans="1:12" ht="11.25" customHeight="1">
      <c r="A18" s="25"/>
      <c r="B18" s="303"/>
      <c r="C18" s="302"/>
      <c r="D18" s="302"/>
      <c r="E18" s="302"/>
      <c r="F18" s="302"/>
      <c r="G18" s="247"/>
      <c r="H18" s="247"/>
      <c r="I18" s="159"/>
      <c r="J18" s="132"/>
      <c r="K18" s="132"/>
      <c r="L18" s="39"/>
    </row>
    <row r="19" spans="1:12" ht="11.25" customHeight="1">
      <c r="A19" s="25"/>
      <c r="B19" s="303"/>
      <c r="C19" s="302"/>
      <c r="D19" s="302"/>
      <c r="E19" s="302"/>
      <c r="F19" s="302"/>
      <c r="G19" s="247"/>
      <c r="H19" s="247"/>
      <c r="I19" s="159"/>
      <c r="J19" s="132"/>
      <c r="K19" s="132"/>
      <c r="L19" s="29"/>
    </row>
    <row r="20" spans="1:12" ht="11.25" customHeight="1">
      <c r="A20" s="25"/>
      <c r="B20" s="303"/>
      <c r="C20" s="302"/>
      <c r="D20" s="302"/>
      <c r="E20" s="302"/>
      <c r="F20" s="302"/>
      <c r="G20" s="247"/>
      <c r="H20" s="247"/>
      <c r="I20" s="159"/>
      <c r="J20" s="132"/>
      <c r="K20" s="132"/>
      <c r="L20" s="29"/>
    </row>
    <row r="21" spans="1:12" ht="11.25" customHeight="1">
      <c r="A21" s="25"/>
      <c r="B21" s="303"/>
      <c r="C21" s="302"/>
      <c r="D21" s="302"/>
      <c r="E21" s="302"/>
      <c r="F21" s="302"/>
      <c r="G21" s="247"/>
      <c r="H21" s="247"/>
      <c r="I21" s="159"/>
      <c r="J21" s="132"/>
      <c r="K21" s="132"/>
      <c r="L21" s="29"/>
    </row>
    <row r="22" spans="1:12" ht="11.25" customHeight="1">
      <c r="A22" s="25"/>
      <c r="B22" s="303"/>
      <c r="C22" s="302"/>
      <c r="D22" s="302"/>
      <c r="E22" s="302"/>
      <c r="F22" s="302"/>
      <c r="G22" s="247"/>
      <c r="H22" s="247"/>
      <c r="I22" s="159"/>
      <c r="J22" s="132"/>
      <c r="K22" s="132"/>
      <c r="L22" s="39"/>
    </row>
    <row r="23" spans="1:12" ht="11.25" customHeight="1">
      <c r="A23" s="25"/>
      <c r="B23" s="303"/>
      <c r="C23" s="302"/>
      <c r="D23" s="302"/>
      <c r="E23" s="302"/>
      <c r="F23" s="302"/>
      <c r="G23" s="247"/>
      <c r="H23" s="247"/>
      <c r="I23" s="159"/>
      <c r="J23" s="132"/>
      <c r="K23" s="132"/>
      <c r="L23" s="29"/>
    </row>
    <row r="24" spans="1:12" ht="11.25" customHeight="1">
      <c r="A24" s="25"/>
      <c r="B24" s="303"/>
      <c r="C24" s="302"/>
      <c r="D24" s="302"/>
      <c r="E24" s="302"/>
      <c r="F24" s="302"/>
      <c r="G24" s="247"/>
      <c r="H24" s="247"/>
      <c r="I24" s="159"/>
      <c r="J24" s="132"/>
      <c r="K24" s="132"/>
      <c r="L24" s="29"/>
    </row>
    <row r="25" spans="1:12" ht="11.25" customHeight="1">
      <c r="A25" s="25"/>
      <c r="B25" s="303"/>
      <c r="C25" s="302"/>
      <c r="D25" s="302"/>
      <c r="E25" s="302"/>
      <c r="F25" s="302"/>
      <c r="G25" s="247"/>
      <c r="H25" s="247"/>
      <c r="I25" s="159"/>
      <c r="J25" s="132"/>
      <c r="K25" s="132"/>
      <c r="L25" s="29"/>
    </row>
    <row r="26" spans="1:12" ht="11.25" customHeight="1">
      <c r="A26" s="25"/>
      <c r="B26" s="303"/>
      <c r="C26" s="302"/>
      <c r="D26" s="302"/>
      <c r="E26" s="302"/>
      <c r="F26" s="302"/>
      <c r="G26" s="247"/>
      <c r="H26" s="247"/>
      <c r="I26" s="159"/>
      <c r="J26" s="132"/>
      <c r="K26" s="132"/>
      <c r="L26" s="29"/>
    </row>
    <row r="27" spans="1:12" ht="11.25" customHeight="1">
      <c r="A27" s="25"/>
      <c r="B27" s="303"/>
      <c r="C27" s="302"/>
      <c r="D27" s="302"/>
      <c r="E27" s="302"/>
      <c r="F27" s="302"/>
      <c r="G27" s="247"/>
      <c r="H27" s="247"/>
      <c r="I27" s="159"/>
      <c r="J27" s="132"/>
      <c r="K27" s="132"/>
      <c r="L27" s="29"/>
    </row>
    <row r="28" spans="1:12" ht="11.25" customHeight="1">
      <c r="A28" s="25"/>
      <c r="B28" s="303"/>
      <c r="C28" s="302"/>
      <c r="D28" s="302"/>
      <c r="E28" s="302"/>
      <c r="F28" s="302"/>
      <c r="G28" s="247"/>
      <c r="H28" s="247"/>
      <c r="I28" s="159"/>
      <c r="J28" s="132"/>
      <c r="K28" s="132"/>
      <c r="L28" s="29"/>
    </row>
    <row r="29" spans="1:12" ht="11.25" customHeight="1">
      <c r="A29" s="25"/>
      <c r="B29" s="303"/>
      <c r="C29" s="302"/>
      <c r="D29" s="302"/>
      <c r="E29" s="302"/>
      <c r="F29" s="302"/>
      <c r="G29" s="247"/>
      <c r="H29" s="247"/>
      <c r="I29" s="159"/>
      <c r="J29" s="132"/>
      <c r="K29" s="132"/>
      <c r="L29" s="29"/>
    </row>
    <row r="30" spans="1:12" ht="11.25" customHeight="1">
      <c r="A30" s="25"/>
      <c r="B30" s="303"/>
      <c r="C30" s="302"/>
      <c r="D30" s="302"/>
      <c r="E30" s="302"/>
      <c r="F30" s="302"/>
      <c r="G30" s="247"/>
      <c r="H30" s="247"/>
      <c r="I30" s="159"/>
      <c r="J30" s="132"/>
      <c r="K30" s="132"/>
      <c r="L30" s="29"/>
    </row>
    <row r="31" spans="1:12" ht="11.25" customHeight="1">
      <c r="A31" s="25"/>
      <c r="B31" s="303"/>
      <c r="C31" s="302"/>
      <c r="D31" s="302"/>
      <c r="E31" s="302"/>
      <c r="F31" s="302"/>
      <c r="G31" s="247"/>
      <c r="H31" s="247"/>
      <c r="I31" s="159"/>
      <c r="J31" s="132"/>
      <c r="K31" s="132"/>
      <c r="L31" s="29"/>
    </row>
    <row r="32" spans="1:12" ht="11.25" customHeight="1">
      <c r="A32" s="25"/>
      <c r="B32" s="303"/>
      <c r="C32" s="302"/>
      <c r="D32" s="302"/>
      <c r="E32" s="302"/>
      <c r="F32" s="302"/>
      <c r="G32" s="247"/>
      <c r="H32" s="247"/>
      <c r="I32" s="159"/>
      <c r="J32" s="132"/>
      <c r="K32" s="132"/>
      <c r="L32" s="29"/>
    </row>
    <row r="33" spans="1:12" ht="11.25" customHeight="1">
      <c r="A33" s="25"/>
      <c r="B33" s="303"/>
      <c r="C33" s="302"/>
      <c r="D33" s="302"/>
      <c r="E33" s="302"/>
      <c r="F33" s="302"/>
      <c r="G33" s="247"/>
      <c r="H33" s="247"/>
      <c r="I33" s="159"/>
      <c r="J33" s="132"/>
      <c r="K33" s="132"/>
      <c r="L33" s="29"/>
    </row>
    <row r="34" spans="1:12" ht="23.25" customHeight="1">
      <c r="A34" s="951" t="s">
        <v>553</v>
      </c>
      <c r="B34" s="951"/>
      <c r="C34" s="951"/>
      <c r="D34" s="427"/>
      <c r="E34" s="954" t="s">
        <v>554</v>
      </c>
      <c r="F34" s="954"/>
      <c r="G34" s="954"/>
      <c r="H34" s="954"/>
      <c r="I34" s="954"/>
      <c r="J34" s="954"/>
      <c r="K34" s="304"/>
      <c r="L34" s="29"/>
    </row>
    <row r="35" spans="1:12" ht="11.25" customHeight="1">
      <c r="A35" s="25"/>
      <c r="B35" s="200"/>
      <c r="C35" s="200"/>
      <c r="D35" s="200"/>
      <c r="E35" s="200"/>
      <c r="F35" s="200"/>
      <c r="G35" s="252"/>
      <c r="H35" s="252"/>
      <c r="I35" s="252"/>
      <c r="J35" s="304"/>
      <c r="K35" s="304"/>
      <c r="L35" s="29"/>
    </row>
    <row r="36" spans="1:12" ht="6.75" customHeight="1">
      <c r="A36" s="25"/>
      <c r="B36" s="200"/>
      <c r="C36" s="200"/>
      <c r="D36" s="200"/>
      <c r="E36" s="200"/>
      <c r="F36" s="200"/>
      <c r="G36" s="252"/>
      <c r="H36" s="252"/>
      <c r="I36" s="252"/>
      <c r="J36" s="304"/>
      <c r="K36" s="304"/>
      <c r="L36" s="305"/>
    </row>
    <row r="37" spans="1:12" ht="11.25" customHeight="1">
      <c r="A37" s="953" t="str">
        <f>"ENERGIA INTERRUMPIDA APROXIMADA POR TIPO DE EQUIPO (MWh)  -  "&amp;UPPER('1. Resumen'!Q4)&amp;" "&amp;'1. Resumen'!Q5</f>
        <v>ENERGIA INTERRUMPIDA APROXIMADA POR TIPO DE EQUIPO (MWh)  -  JUNIO 2018</v>
      </c>
      <c r="B37" s="953"/>
      <c r="C37" s="953"/>
      <c r="D37" s="953"/>
      <c r="E37" s="953"/>
      <c r="F37" s="953"/>
      <c r="G37" s="953"/>
      <c r="H37" s="953"/>
      <c r="I37" s="953"/>
      <c r="J37" s="953"/>
      <c r="K37" s="304"/>
      <c r="L37" s="306"/>
    </row>
    <row r="38" spans="1:12" ht="11.25" customHeight="1">
      <c r="A38" s="25"/>
      <c r="B38" s="200"/>
      <c r="C38" s="200"/>
      <c r="D38" s="200"/>
      <c r="E38" s="200"/>
      <c r="F38" s="200"/>
      <c r="G38" s="252"/>
      <c r="H38" s="252"/>
      <c r="I38" s="252"/>
      <c r="J38" s="304"/>
      <c r="K38" s="304"/>
      <c r="L38" s="306"/>
    </row>
    <row r="39" spans="1:12" ht="11.25" customHeight="1">
      <c r="A39" s="25"/>
      <c r="B39" s="200"/>
      <c r="C39" s="252"/>
      <c r="D39" s="252"/>
      <c r="E39" s="252"/>
      <c r="F39" s="252"/>
      <c r="G39" s="252"/>
      <c r="H39" s="252"/>
      <c r="I39" s="252"/>
      <c r="J39" s="304"/>
      <c r="K39" s="304"/>
      <c r="L39" s="306"/>
    </row>
    <row r="40" spans="1:12" ht="11.25" customHeight="1">
      <c r="A40" s="25"/>
      <c r="B40" s="200"/>
      <c r="C40" s="252"/>
      <c r="D40" s="252"/>
      <c r="E40" s="252"/>
      <c r="F40" s="252"/>
      <c r="G40" s="252"/>
      <c r="H40" s="252"/>
    </row>
    <row r="41" spans="1:12" ht="12.75">
      <c r="A41" s="25"/>
      <c r="B41" s="200"/>
      <c r="J41" s="304"/>
      <c r="K41" s="304"/>
      <c r="L41" s="306"/>
    </row>
    <row r="42" spans="1:12" ht="12.75">
      <c r="A42" s="25"/>
      <c r="B42" s="200"/>
      <c r="C42" s="200"/>
      <c r="D42" s="200"/>
      <c r="E42" s="200"/>
      <c r="F42" s="200"/>
      <c r="G42" s="252"/>
      <c r="H42" s="252"/>
      <c r="I42" s="252"/>
      <c r="J42" s="304"/>
      <c r="K42" s="304"/>
      <c r="L42" s="306"/>
    </row>
    <row r="43" spans="1:12" ht="12.75">
      <c r="A43" s="25"/>
      <c r="B43" s="200"/>
      <c r="C43" s="200"/>
      <c r="D43" s="200"/>
      <c r="E43" s="200"/>
      <c r="F43" s="200"/>
      <c r="G43" s="252"/>
      <c r="H43" s="252"/>
      <c r="I43" s="252"/>
      <c r="J43" s="304"/>
      <c r="K43" s="304"/>
      <c r="L43" s="306"/>
    </row>
    <row r="44" spans="1:12" ht="12.75">
      <c r="A44" s="25"/>
      <c r="B44" s="200"/>
      <c r="C44" s="200"/>
      <c r="D44" s="200"/>
      <c r="E44" s="200"/>
      <c r="F44" s="200"/>
      <c r="G44" s="252"/>
      <c r="H44" s="252"/>
      <c r="I44" s="252"/>
      <c r="J44" s="304"/>
      <c r="K44" s="304"/>
      <c r="L44" s="306"/>
    </row>
    <row r="45" spans="1:12" ht="12.75">
      <c r="A45" s="25"/>
      <c r="B45" s="200"/>
      <c r="C45" s="200"/>
      <c r="D45" s="200"/>
      <c r="E45" s="200"/>
      <c r="F45" s="200"/>
      <c r="G45" s="252"/>
      <c r="H45" s="252"/>
      <c r="I45" s="252"/>
      <c r="J45" s="304"/>
      <c r="K45" s="304"/>
      <c r="L45" s="306"/>
    </row>
    <row r="46" spans="1:12" ht="12.75">
      <c r="A46" s="206"/>
      <c r="B46" s="252"/>
      <c r="C46" s="252"/>
      <c r="D46" s="252"/>
      <c r="E46" s="252"/>
      <c r="F46" s="252"/>
      <c r="G46" s="252"/>
      <c r="H46" s="252"/>
      <c r="I46" s="252"/>
      <c r="J46" s="304"/>
      <c r="K46" s="304"/>
      <c r="L46" s="306"/>
    </row>
    <row r="47" spans="1:12" ht="12.75">
      <c r="A47" s="206"/>
      <c r="B47" s="252"/>
      <c r="C47" s="252"/>
      <c r="D47" s="252"/>
      <c r="E47" s="252"/>
      <c r="F47" s="252"/>
      <c r="G47" s="252"/>
      <c r="H47" s="252"/>
      <c r="I47" s="252"/>
      <c r="J47" s="304"/>
      <c r="K47" s="304"/>
      <c r="L47" s="306"/>
    </row>
    <row r="48" spans="1:12" ht="12.75">
      <c r="A48" s="206"/>
      <c r="B48" s="252"/>
      <c r="C48" s="252"/>
      <c r="D48" s="252"/>
      <c r="E48" s="252"/>
      <c r="F48" s="252"/>
      <c r="G48" s="252"/>
      <c r="H48" s="252"/>
      <c r="I48" s="252"/>
      <c r="J48" s="304"/>
      <c r="K48" s="304"/>
      <c r="L48" s="306"/>
    </row>
    <row r="49" spans="1:12" ht="12.75">
      <c r="A49" s="206"/>
      <c r="B49" s="252"/>
      <c r="C49" s="252"/>
      <c r="D49" s="252"/>
      <c r="E49" s="252"/>
      <c r="F49" s="252"/>
      <c r="G49" s="252"/>
      <c r="H49" s="252"/>
      <c r="I49" s="252"/>
      <c r="J49" s="304"/>
      <c r="K49" s="304"/>
      <c r="L49" s="306"/>
    </row>
    <row r="50" spans="1:12" ht="12.75">
      <c r="A50" s="206"/>
      <c r="B50" s="252"/>
      <c r="C50" s="252"/>
      <c r="D50" s="252"/>
      <c r="E50" s="252"/>
      <c r="F50" s="252"/>
      <c r="G50" s="252"/>
      <c r="H50" s="252"/>
      <c r="I50" s="252"/>
      <c r="J50" s="304"/>
      <c r="K50" s="304"/>
      <c r="L50" s="306"/>
    </row>
    <row r="51" spans="1:12" ht="12.75">
      <c r="A51" s="206"/>
      <c r="B51" s="252"/>
      <c r="C51" s="252"/>
      <c r="D51" s="252"/>
      <c r="E51" s="252"/>
      <c r="F51" s="252"/>
      <c r="G51" s="252"/>
      <c r="H51" s="252"/>
      <c r="I51" s="252"/>
      <c r="J51" s="304"/>
      <c r="K51" s="304"/>
      <c r="L51" s="306"/>
    </row>
    <row r="52" spans="1:12">
      <c r="A52" s="428" t="str">
        <f>"Gráfico N°26: Comparación de la energía interrumpida aproximada por tipo de equipo en "&amp;'1. Resumen'!Q4&amp;" "&amp;'1. Resumen'!Q5</f>
        <v>Gráfico N°26: Comparación de la energía interrumpida aproximada por tipo de equipo en junio 2018</v>
      </c>
      <c r="B52" s="252"/>
      <c r="C52" s="252"/>
      <c r="D52" s="252"/>
      <c r="E52" s="252"/>
      <c r="F52" s="252"/>
      <c r="G52" s="252"/>
      <c r="H52" s="252"/>
      <c r="I52" s="252"/>
      <c r="J52" s="304"/>
      <c r="K52" s="304"/>
      <c r="L52" s="306"/>
    </row>
    <row r="53" spans="1:12">
      <c r="A53" s="3"/>
      <c r="B53" s="252"/>
      <c r="C53" s="252"/>
      <c r="D53" s="252"/>
      <c r="E53" s="252"/>
      <c r="F53" s="252"/>
      <c r="G53" s="252"/>
      <c r="H53" s="252"/>
      <c r="I53" s="252"/>
      <c r="J53" s="304"/>
      <c r="K53" s="304"/>
      <c r="L53" s="306"/>
    </row>
    <row r="54" spans="1:12" ht="24.75" customHeight="1">
      <c r="A54" s="949" t="s">
        <v>225</v>
      </c>
      <c r="B54" s="949"/>
      <c r="C54" s="949"/>
      <c r="D54" s="949"/>
      <c r="E54" s="949"/>
      <c r="F54" s="949"/>
      <c r="G54" s="949"/>
      <c r="H54" s="949"/>
      <c r="I54" s="949"/>
      <c r="J54" s="949"/>
      <c r="K54" s="304"/>
      <c r="L54" s="306"/>
    </row>
    <row r="55" spans="1:12" ht="11.25" customHeight="1">
      <c r="A55" s="950" t="s">
        <v>226</v>
      </c>
      <c r="B55" s="950"/>
      <c r="C55" s="950"/>
      <c r="D55" s="950"/>
      <c r="E55" s="950"/>
      <c r="F55" s="950"/>
      <c r="G55" s="950"/>
      <c r="H55" s="950"/>
      <c r="I55" s="950"/>
      <c r="J55" s="950"/>
      <c r="K55" s="304"/>
      <c r="L55" s="306"/>
    </row>
    <row r="56" spans="1:12" ht="12.75">
      <c r="A56" s="206"/>
      <c r="B56" s="252"/>
      <c r="C56" s="252"/>
      <c r="D56" s="252"/>
      <c r="E56" s="252"/>
      <c r="F56" s="252"/>
      <c r="G56" s="252"/>
      <c r="H56" s="252"/>
      <c r="I56" s="252"/>
      <c r="J56" s="304"/>
      <c r="K56" s="304"/>
      <c r="L56" s="306"/>
    </row>
    <row r="57" spans="1:12" ht="12.75">
      <c r="A57" s="206"/>
      <c r="B57" s="252"/>
      <c r="C57" s="252"/>
      <c r="D57" s="252"/>
      <c r="E57" s="252"/>
      <c r="F57" s="252"/>
      <c r="G57" s="252"/>
      <c r="H57" s="252"/>
      <c r="I57" s="252"/>
      <c r="J57" s="304"/>
      <c r="K57" s="304"/>
      <c r="L57" s="306"/>
    </row>
    <row r="58" spans="1:12" ht="12.75">
      <c r="A58" s="206"/>
      <c r="B58" s="252"/>
      <c r="C58" s="252"/>
      <c r="D58" s="252"/>
      <c r="E58" s="252"/>
      <c r="F58" s="252"/>
      <c r="G58" s="252"/>
      <c r="H58" s="252"/>
      <c r="I58" s="252"/>
      <c r="J58" s="304"/>
      <c r="K58" s="304"/>
      <c r="L58" s="306"/>
    </row>
    <row r="59" spans="1:12" ht="12.75">
      <c r="A59" s="206"/>
      <c r="B59" s="252"/>
      <c r="C59" s="252"/>
      <c r="D59" s="252"/>
      <c r="E59" s="252"/>
      <c r="F59" s="252"/>
      <c r="G59" s="252"/>
      <c r="H59" s="252"/>
      <c r="I59" s="252"/>
      <c r="J59" s="304"/>
      <c r="K59" s="304"/>
      <c r="L59" s="306"/>
    </row>
    <row r="60" spans="1:12" ht="12.75">
      <c r="A60" s="206"/>
      <c r="B60" s="252"/>
      <c r="C60" s="252"/>
      <c r="D60" s="252"/>
      <c r="E60" s="252"/>
      <c r="F60" s="252"/>
      <c r="G60" s="252"/>
      <c r="H60" s="252"/>
      <c r="I60" s="252"/>
      <c r="J60" s="304"/>
      <c r="K60" s="304"/>
      <c r="L60" s="306"/>
    </row>
    <row r="61" spans="1:12" ht="12.75">
      <c r="A61" s="206"/>
      <c r="B61" s="252"/>
      <c r="C61" s="252"/>
      <c r="D61" s="252"/>
      <c r="E61" s="252"/>
      <c r="F61" s="252"/>
      <c r="G61" s="252"/>
      <c r="H61" s="252"/>
      <c r="I61" s="252"/>
      <c r="J61" s="304"/>
      <c r="K61" s="304"/>
      <c r="L61" s="306"/>
    </row>
    <row r="62" spans="1:12" ht="12.75">
      <c r="A62" s="206"/>
      <c r="B62" s="252"/>
      <c r="C62" s="252"/>
      <c r="D62" s="252"/>
      <c r="E62" s="252"/>
      <c r="F62" s="252"/>
      <c r="G62" s="252"/>
      <c r="H62" s="252"/>
      <c r="I62" s="252"/>
      <c r="J62" s="304"/>
      <c r="K62" s="304"/>
      <c r="L62" s="306"/>
    </row>
    <row r="63" spans="1:12" ht="12.75">
      <c r="A63" s="206"/>
      <c r="B63" s="252"/>
      <c r="C63" s="252"/>
      <c r="D63" s="252"/>
      <c r="E63" s="252"/>
      <c r="F63" s="252"/>
      <c r="G63" s="252"/>
      <c r="H63" s="252"/>
      <c r="I63" s="252"/>
      <c r="J63" s="304"/>
      <c r="K63" s="304"/>
      <c r="L63" s="306"/>
    </row>
    <row r="64" spans="1:12" ht="12.75">
      <c r="A64" s="206"/>
      <c r="B64" s="252"/>
      <c r="C64" s="252"/>
      <c r="D64" s="252"/>
      <c r="E64" s="252"/>
      <c r="F64" s="252"/>
      <c r="G64" s="252"/>
      <c r="H64" s="252"/>
      <c r="I64" s="252"/>
      <c r="J64" s="304"/>
      <c r="K64" s="304"/>
      <c r="L64" s="306"/>
    </row>
    <row r="65" spans="1:12" ht="12.75">
      <c r="A65" s="206"/>
      <c r="B65" s="252"/>
      <c r="C65" s="252"/>
      <c r="D65" s="252"/>
      <c r="E65" s="252"/>
      <c r="F65" s="252"/>
      <c r="G65" s="252"/>
      <c r="H65" s="252"/>
      <c r="I65" s="252"/>
      <c r="J65" s="304"/>
      <c r="K65" s="304"/>
      <c r="L65" s="306"/>
    </row>
    <row r="66" spans="1:12" ht="12.75">
      <c r="A66" s="206"/>
      <c r="B66" s="252"/>
      <c r="C66" s="3"/>
      <c r="D66" s="3"/>
      <c r="E66" s="3"/>
      <c r="F66" s="3"/>
      <c r="G66" s="3"/>
      <c r="H66" s="3"/>
      <c r="I66" s="3"/>
      <c r="J66" s="304"/>
      <c r="K66" s="304"/>
      <c r="L66" s="306"/>
    </row>
    <row r="67" spans="1:12" ht="12.75">
      <c r="A67" s="206"/>
      <c r="B67" s="252"/>
      <c r="C67" s="3"/>
      <c r="D67" s="3"/>
      <c r="E67" s="3"/>
      <c r="F67" s="3"/>
      <c r="G67" s="3"/>
      <c r="H67" s="3"/>
      <c r="I67" s="3"/>
      <c r="J67" s="304"/>
      <c r="K67" s="304"/>
      <c r="L67" s="306"/>
    </row>
    <row r="68" spans="1:12" ht="12.75">
      <c r="A68" s="206"/>
      <c r="B68" s="252"/>
      <c r="C68" s="3"/>
      <c r="D68" s="3"/>
      <c r="E68" s="3"/>
      <c r="F68" s="3"/>
      <c r="G68" s="3"/>
      <c r="H68" s="3"/>
      <c r="I68" s="3"/>
      <c r="J68" s="304"/>
      <c r="K68" s="304"/>
      <c r="L68" s="306"/>
    </row>
    <row r="69" spans="1:12" ht="12.75">
      <c r="A69" s="206"/>
      <c r="B69" s="252"/>
      <c r="C69" s="3"/>
      <c r="D69" s="3"/>
      <c r="E69" s="3"/>
      <c r="F69" s="3"/>
      <c r="G69" s="3"/>
      <c r="H69" s="3"/>
      <c r="I69" s="3"/>
      <c r="J69" s="304"/>
      <c r="K69" s="304"/>
      <c r="L69" s="306"/>
    </row>
    <row r="70" spans="1:12">
      <c r="B70" s="306"/>
      <c r="C70" s="306"/>
      <c r="D70" s="306"/>
      <c r="E70" s="306"/>
      <c r="F70" s="306"/>
      <c r="G70" s="306"/>
      <c r="H70" s="306"/>
      <c r="I70" s="306"/>
      <c r="J70" s="306"/>
      <c r="K70" s="306"/>
      <c r="L70" s="306"/>
    </row>
    <row r="71" spans="1:12">
      <c r="B71" s="306"/>
      <c r="C71" s="306"/>
      <c r="D71" s="306"/>
      <c r="E71" s="306"/>
      <c r="F71" s="306"/>
      <c r="G71" s="306"/>
      <c r="H71" s="306"/>
      <c r="I71" s="306"/>
      <c r="J71" s="306"/>
      <c r="K71" s="306"/>
      <c r="L71" s="306"/>
    </row>
    <row r="72" spans="1:12">
      <c r="B72" s="306"/>
      <c r="C72" s="306"/>
      <c r="D72" s="306"/>
      <c r="E72" s="306"/>
      <c r="F72" s="306"/>
      <c r="G72" s="306"/>
      <c r="H72" s="306"/>
      <c r="I72" s="306"/>
      <c r="J72" s="306"/>
      <c r="K72" s="306"/>
      <c r="L72" s="306"/>
    </row>
    <row r="73" spans="1:12">
      <c r="B73" s="306"/>
      <c r="C73" s="306"/>
      <c r="D73" s="306"/>
      <c r="E73" s="306"/>
      <c r="F73" s="306"/>
      <c r="G73" s="306"/>
      <c r="H73" s="306"/>
      <c r="I73" s="306"/>
      <c r="J73" s="306"/>
      <c r="K73" s="306"/>
      <c r="L73" s="306"/>
    </row>
    <row r="74" spans="1:12">
      <c r="B74" s="306"/>
      <c r="C74" s="306"/>
      <c r="D74" s="306"/>
      <c r="E74" s="306"/>
      <c r="F74" s="306"/>
      <c r="G74" s="306"/>
      <c r="H74" s="306"/>
      <c r="I74" s="306"/>
      <c r="J74" s="306"/>
      <c r="K74" s="306"/>
      <c r="L74" s="306"/>
    </row>
    <row r="75" spans="1:12">
      <c r="B75" s="306"/>
      <c r="C75" s="306"/>
      <c r="D75" s="306"/>
      <c r="E75" s="306"/>
      <c r="F75" s="306"/>
      <c r="G75" s="306"/>
      <c r="H75" s="306"/>
      <c r="I75" s="306"/>
      <c r="J75" s="306"/>
      <c r="K75" s="306"/>
      <c r="L75" s="306"/>
    </row>
    <row r="76" spans="1:12">
      <c r="B76" s="306"/>
      <c r="C76" s="306"/>
      <c r="D76" s="306"/>
      <c r="E76" s="306"/>
      <c r="F76" s="306"/>
      <c r="G76" s="306"/>
      <c r="H76" s="306"/>
      <c r="I76" s="306"/>
      <c r="J76" s="306"/>
      <c r="K76" s="306"/>
      <c r="L76" s="306"/>
    </row>
    <row r="77" spans="1:12">
      <c r="B77" s="306"/>
      <c r="C77" s="306"/>
      <c r="D77" s="306"/>
      <c r="E77" s="306"/>
      <c r="F77" s="306"/>
      <c r="G77" s="306"/>
      <c r="H77" s="306"/>
      <c r="I77" s="306"/>
      <c r="J77" s="306"/>
      <c r="K77" s="306"/>
      <c r="L77" s="306"/>
    </row>
    <row r="78" spans="1:12">
      <c r="B78" s="306"/>
      <c r="C78" s="306"/>
      <c r="D78" s="306"/>
      <c r="E78" s="306"/>
      <c r="F78" s="306"/>
      <c r="G78" s="306"/>
      <c r="H78" s="306"/>
      <c r="I78" s="306"/>
      <c r="J78" s="306"/>
      <c r="K78" s="306"/>
      <c r="L78" s="306"/>
    </row>
    <row r="79" spans="1:12">
      <c r="B79" s="306"/>
      <c r="C79" s="306"/>
      <c r="D79" s="306"/>
      <c r="E79" s="306"/>
      <c r="F79" s="306"/>
      <c r="G79" s="306"/>
      <c r="H79" s="306"/>
      <c r="I79" s="306"/>
      <c r="J79" s="306"/>
      <c r="K79" s="306"/>
      <c r="L79" s="306"/>
    </row>
    <row r="80" spans="1:12">
      <c r="B80" s="306"/>
      <c r="C80" s="306"/>
      <c r="D80" s="306"/>
      <c r="E80" s="306"/>
      <c r="F80" s="306"/>
      <c r="G80" s="306"/>
      <c r="H80" s="306"/>
      <c r="I80" s="306"/>
      <c r="J80" s="306"/>
      <c r="K80" s="306"/>
      <c r="L80" s="306"/>
    </row>
    <row r="81" spans="2:12">
      <c r="B81" s="306"/>
      <c r="C81" s="306"/>
      <c r="D81" s="306"/>
      <c r="E81" s="306"/>
      <c r="F81" s="306"/>
      <c r="G81" s="306"/>
      <c r="H81" s="306"/>
      <c r="I81" s="306"/>
      <c r="J81" s="306"/>
      <c r="K81" s="306"/>
      <c r="L81" s="306"/>
    </row>
    <row r="82" spans="2:12">
      <c r="B82" s="306"/>
      <c r="C82" s="306"/>
      <c r="D82" s="306"/>
      <c r="E82" s="306"/>
      <c r="F82" s="306"/>
      <c r="G82" s="306"/>
      <c r="H82" s="306"/>
      <c r="I82" s="306"/>
      <c r="J82" s="306"/>
      <c r="K82" s="306"/>
      <c r="L82" s="306"/>
    </row>
    <row r="83" spans="2:12">
      <c r="B83" s="306"/>
      <c r="C83" s="306"/>
      <c r="D83" s="306"/>
      <c r="E83" s="306"/>
      <c r="F83" s="306"/>
      <c r="G83" s="306"/>
      <c r="H83" s="306"/>
      <c r="I83" s="306"/>
      <c r="J83" s="306"/>
      <c r="K83" s="306"/>
      <c r="L83" s="306"/>
    </row>
    <row r="84" spans="2:12">
      <c r="B84" s="306"/>
      <c r="C84" s="306"/>
      <c r="D84" s="306"/>
      <c r="E84" s="306"/>
      <c r="F84" s="306"/>
      <c r="G84" s="306"/>
      <c r="H84" s="306"/>
      <c r="I84" s="306"/>
      <c r="J84" s="306"/>
      <c r="K84" s="306"/>
      <c r="L84" s="306"/>
    </row>
    <row r="85" spans="2:12">
      <c r="B85" s="306"/>
      <c r="C85" s="306"/>
      <c r="D85" s="306"/>
      <c r="E85" s="306"/>
      <c r="F85" s="306"/>
      <c r="G85" s="306"/>
      <c r="H85" s="306"/>
      <c r="I85" s="306"/>
      <c r="J85" s="306"/>
      <c r="K85" s="306"/>
      <c r="L85" s="306"/>
    </row>
    <row r="86" spans="2:12">
      <c r="B86" s="306"/>
      <c r="C86" s="306"/>
      <c r="D86" s="306"/>
      <c r="E86" s="306"/>
      <c r="F86" s="306"/>
      <c r="G86" s="306"/>
      <c r="H86" s="306"/>
      <c r="I86" s="306"/>
      <c r="J86" s="306"/>
      <c r="K86" s="306"/>
      <c r="L86" s="306"/>
    </row>
    <row r="87" spans="2:12">
      <c r="B87" s="306"/>
      <c r="C87" s="306"/>
      <c r="D87" s="306"/>
      <c r="E87" s="306"/>
      <c r="F87" s="306"/>
      <c r="G87" s="306"/>
      <c r="H87" s="306"/>
      <c r="I87" s="306"/>
      <c r="J87" s="306"/>
      <c r="K87" s="306"/>
      <c r="L87" s="306"/>
    </row>
    <row r="88" spans="2:12">
      <c r="B88" s="306"/>
      <c r="C88" s="306"/>
      <c r="D88" s="306"/>
      <c r="E88" s="306"/>
      <c r="F88" s="306"/>
      <c r="G88" s="306"/>
      <c r="H88" s="306"/>
      <c r="I88" s="306"/>
      <c r="J88" s="306"/>
      <c r="K88" s="306"/>
      <c r="L88" s="306"/>
    </row>
    <row r="89" spans="2:12">
      <c r="B89" s="306"/>
      <c r="C89" s="306"/>
      <c r="D89" s="306"/>
      <c r="E89" s="306"/>
      <c r="F89" s="306"/>
      <c r="G89" s="306"/>
      <c r="H89" s="306"/>
      <c r="I89" s="306"/>
      <c r="J89" s="306"/>
      <c r="K89" s="306"/>
      <c r="L89" s="306"/>
    </row>
    <row r="90" spans="2:12">
      <c r="B90" s="306"/>
      <c r="C90" s="306"/>
      <c r="D90" s="306"/>
      <c r="E90" s="306"/>
      <c r="F90" s="306"/>
      <c r="G90" s="306"/>
      <c r="H90" s="306"/>
      <c r="I90" s="306"/>
      <c r="J90" s="306"/>
      <c r="K90" s="306"/>
      <c r="L90" s="306"/>
    </row>
    <row r="91" spans="2:12">
      <c r="B91" s="306"/>
      <c r="C91" s="306"/>
      <c r="D91" s="306"/>
      <c r="E91" s="306"/>
      <c r="F91" s="306"/>
      <c r="G91" s="306"/>
      <c r="H91" s="306"/>
      <c r="I91" s="306"/>
      <c r="J91" s="306"/>
      <c r="K91" s="306"/>
      <c r="L91" s="306"/>
    </row>
    <row r="92" spans="2:12">
      <c r="B92" s="306"/>
      <c r="C92" s="306"/>
      <c r="D92" s="306"/>
      <c r="E92" s="306"/>
      <c r="F92" s="306"/>
      <c r="G92" s="306"/>
      <c r="H92" s="306"/>
      <c r="I92" s="306"/>
      <c r="J92" s="306"/>
      <c r="K92" s="306"/>
      <c r="L92" s="306"/>
    </row>
    <row r="93" spans="2:12">
      <c r="B93" s="306"/>
      <c r="C93" s="306"/>
      <c r="D93" s="306"/>
      <c r="E93" s="306"/>
      <c r="F93" s="306"/>
      <c r="G93" s="306"/>
      <c r="H93" s="306"/>
      <c r="I93" s="306"/>
      <c r="J93" s="306"/>
      <c r="K93" s="306"/>
      <c r="L93" s="306"/>
    </row>
    <row r="94" spans="2:12">
      <c r="B94" s="306"/>
      <c r="C94" s="306"/>
      <c r="D94" s="306"/>
      <c r="E94" s="306"/>
      <c r="F94" s="306"/>
      <c r="G94" s="306"/>
      <c r="H94" s="306"/>
      <c r="I94" s="306"/>
      <c r="J94" s="306"/>
      <c r="K94" s="306"/>
      <c r="L94" s="306"/>
    </row>
    <row r="95" spans="2:12">
      <c r="B95" s="306"/>
      <c r="C95" s="306"/>
      <c r="D95" s="306"/>
      <c r="E95" s="306"/>
      <c r="F95" s="306"/>
      <c r="G95" s="306"/>
      <c r="H95" s="306"/>
      <c r="I95" s="306"/>
      <c r="J95" s="306"/>
      <c r="K95" s="306"/>
      <c r="L95" s="306"/>
    </row>
    <row r="96" spans="2:12">
      <c r="B96" s="306"/>
      <c r="C96" s="306"/>
      <c r="D96" s="306"/>
      <c r="E96" s="306"/>
      <c r="F96" s="306"/>
      <c r="G96" s="306"/>
      <c r="H96" s="306"/>
      <c r="I96" s="306"/>
      <c r="J96" s="306"/>
      <c r="K96" s="306"/>
      <c r="L96" s="306"/>
    </row>
    <row r="97" spans="2:12">
      <c r="B97" s="306"/>
      <c r="C97" s="306"/>
      <c r="D97" s="306"/>
      <c r="E97" s="306"/>
      <c r="F97" s="306"/>
      <c r="G97" s="306"/>
      <c r="H97" s="306"/>
      <c r="I97" s="306"/>
      <c r="J97" s="306"/>
      <c r="K97" s="306"/>
      <c r="L97" s="306"/>
    </row>
    <row r="98" spans="2:12">
      <c r="B98" s="306"/>
      <c r="C98" s="306"/>
      <c r="D98" s="306"/>
      <c r="E98" s="306"/>
      <c r="F98" s="306"/>
      <c r="G98" s="306"/>
      <c r="H98" s="306"/>
      <c r="I98" s="306"/>
      <c r="J98" s="306"/>
      <c r="K98" s="306"/>
      <c r="L98" s="306"/>
    </row>
    <row r="99" spans="2:12">
      <c r="B99" s="306"/>
      <c r="C99" s="306"/>
      <c r="D99" s="306"/>
      <c r="E99" s="306"/>
      <c r="F99" s="306"/>
      <c r="G99" s="306"/>
      <c r="H99" s="306"/>
      <c r="I99" s="306"/>
      <c r="J99" s="306"/>
      <c r="K99" s="306"/>
      <c r="L99" s="306"/>
    </row>
    <row r="100" spans="2:12">
      <c r="B100" s="306"/>
      <c r="C100" s="306"/>
      <c r="D100" s="306"/>
      <c r="E100" s="306"/>
      <c r="F100" s="306"/>
      <c r="G100" s="306"/>
      <c r="H100" s="306"/>
      <c r="I100" s="306"/>
      <c r="J100" s="306"/>
      <c r="K100" s="306"/>
      <c r="L100" s="306"/>
    </row>
    <row r="101" spans="2:12">
      <c r="B101" s="306"/>
      <c r="C101" s="306"/>
      <c r="D101" s="306"/>
      <c r="E101" s="306"/>
      <c r="F101" s="306"/>
      <c r="G101" s="306"/>
      <c r="H101" s="306"/>
      <c r="I101" s="306"/>
      <c r="J101" s="306"/>
      <c r="K101" s="306"/>
      <c r="L101" s="306"/>
    </row>
    <row r="102" spans="2:12">
      <c r="B102" s="306"/>
      <c r="C102" s="306"/>
      <c r="D102" s="306"/>
      <c r="E102" s="306"/>
      <c r="F102" s="306"/>
      <c r="G102" s="306"/>
      <c r="H102" s="306"/>
      <c r="I102" s="306"/>
      <c r="J102" s="306"/>
      <c r="K102" s="306"/>
      <c r="L102" s="306"/>
    </row>
    <row r="103" spans="2:12">
      <c r="B103" s="306"/>
      <c r="C103" s="306"/>
      <c r="D103" s="306"/>
      <c r="E103" s="306"/>
      <c r="F103" s="306"/>
      <c r="G103" s="306"/>
      <c r="H103" s="306"/>
      <c r="I103" s="306"/>
      <c r="J103" s="306"/>
      <c r="K103" s="306"/>
      <c r="L103" s="306"/>
    </row>
    <row r="104" spans="2:12">
      <c r="B104" s="306"/>
      <c r="C104" s="306"/>
      <c r="D104" s="306"/>
      <c r="E104" s="306"/>
      <c r="F104" s="306"/>
      <c r="G104" s="306"/>
      <c r="H104" s="306"/>
      <c r="I104" s="306"/>
      <c r="J104" s="306"/>
      <c r="K104" s="306"/>
      <c r="L104" s="306"/>
    </row>
    <row r="105" spans="2:12">
      <c r="B105" s="306"/>
      <c r="C105" s="306"/>
      <c r="D105" s="306"/>
      <c r="E105" s="306"/>
      <c r="F105" s="306"/>
      <c r="G105" s="306"/>
      <c r="H105" s="306"/>
      <c r="I105" s="306"/>
      <c r="J105" s="306"/>
      <c r="K105" s="306"/>
      <c r="L105" s="306"/>
    </row>
    <row r="106" spans="2:12">
      <c r="B106" s="306"/>
      <c r="C106" s="306"/>
      <c r="D106" s="306"/>
      <c r="E106" s="306"/>
      <c r="F106" s="306"/>
      <c r="G106" s="306"/>
      <c r="H106" s="306"/>
      <c r="I106" s="306"/>
      <c r="J106" s="306"/>
      <c r="K106" s="306"/>
      <c r="L106" s="306"/>
    </row>
    <row r="107" spans="2:12">
      <c r="B107" s="306"/>
      <c r="C107" s="306"/>
      <c r="D107" s="306"/>
      <c r="E107" s="306"/>
      <c r="F107" s="306"/>
      <c r="G107" s="306"/>
      <c r="H107" s="306"/>
      <c r="I107" s="306"/>
      <c r="J107" s="306"/>
      <c r="K107" s="306"/>
      <c r="L107" s="306"/>
    </row>
    <row r="108" spans="2:12">
      <c r="B108" s="306"/>
      <c r="C108" s="306"/>
      <c r="D108" s="306"/>
      <c r="E108" s="306"/>
      <c r="F108" s="306"/>
      <c r="G108" s="306"/>
      <c r="H108" s="306"/>
      <c r="I108" s="306"/>
      <c r="J108" s="306"/>
      <c r="K108" s="306"/>
      <c r="L108" s="306"/>
    </row>
    <row r="109" spans="2:12">
      <c r="B109" s="306"/>
      <c r="C109" s="306"/>
      <c r="D109" s="306"/>
      <c r="E109" s="306"/>
      <c r="F109" s="306"/>
      <c r="G109" s="306"/>
      <c r="H109" s="306"/>
      <c r="I109" s="306"/>
      <c r="J109" s="306"/>
      <c r="K109" s="306"/>
      <c r="L109" s="306"/>
    </row>
    <row r="110" spans="2:12">
      <c r="B110" s="306"/>
      <c r="C110" s="306"/>
      <c r="D110" s="306"/>
      <c r="E110" s="306"/>
      <c r="F110" s="306"/>
      <c r="G110" s="306"/>
      <c r="H110" s="306"/>
      <c r="I110" s="306"/>
      <c r="J110" s="306"/>
      <c r="K110" s="306"/>
      <c r="L110" s="306"/>
    </row>
    <row r="111" spans="2:12">
      <c r="B111" s="306"/>
      <c r="C111" s="306"/>
      <c r="D111" s="306"/>
      <c r="E111" s="306"/>
      <c r="F111" s="306"/>
      <c r="G111" s="306"/>
      <c r="H111" s="306"/>
      <c r="I111" s="306"/>
      <c r="J111" s="306"/>
      <c r="K111" s="306"/>
      <c r="L111" s="306"/>
    </row>
    <row r="112" spans="2:12">
      <c r="B112" s="306"/>
      <c r="C112" s="306"/>
      <c r="D112" s="306"/>
      <c r="E112" s="306"/>
      <c r="F112" s="306"/>
      <c r="G112" s="306"/>
      <c r="H112" s="306"/>
      <c r="I112" s="306"/>
      <c r="J112" s="306"/>
      <c r="K112" s="306"/>
      <c r="L112" s="306"/>
    </row>
    <row r="113" spans="2:12">
      <c r="B113" s="306"/>
      <c r="C113" s="306"/>
      <c r="D113" s="306"/>
      <c r="E113" s="306"/>
      <c r="F113" s="306"/>
      <c r="G113" s="306"/>
      <c r="H113" s="306"/>
      <c r="I113" s="306"/>
      <c r="J113" s="306"/>
      <c r="K113" s="306"/>
      <c r="L113" s="306"/>
    </row>
    <row r="114" spans="2:12">
      <c r="B114" s="306"/>
      <c r="C114" s="306"/>
      <c r="D114" s="306"/>
      <c r="E114" s="306"/>
      <c r="F114" s="306"/>
      <c r="G114" s="306"/>
      <c r="H114" s="306"/>
      <c r="I114" s="306"/>
      <c r="J114" s="306"/>
      <c r="K114" s="306"/>
      <c r="L114" s="306"/>
    </row>
    <row r="115" spans="2:12">
      <c r="B115" s="306"/>
      <c r="C115" s="306"/>
      <c r="D115" s="306"/>
      <c r="E115" s="306"/>
      <c r="F115" s="306"/>
      <c r="G115" s="306"/>
      <c r="H115" s="306"/>
      <c r="I115" s="306"/>
      <c r="J115" s="306"/>
      <c r="K115" s="306"/>
      <c r="L115" s="306"/>
    </row>
    <row r="116" spans="2:12">
      <c r="B116" s="306"/>
      <c r="C116" s="306"/>
      <c r="D116" s="306"/>
      <c r="E116" s="306"/>
      <c r="F116" s="306"/>
      <c r="G116" s="306"/>
      <c r="H116" s="306"/>
      <c r="I116" s="306"/>
      <c r="J116" s="306"/>
      <c r="K116" s="306"/>
      <c r="L116" s="306"/>
    </row>
    <row r="117" spans="2:12">
      <c r="B117" s="306"/>
      <c r="C117" s="306"/>
      <c r="D117" s="306"/>
      <c r="E117" s="306"/>
      <c r="F117" s="306"/>
      <c r="G117" s="306"/>
      <c r="H117" s="306"/>
      <c r="I117" s="306"/>
      <c r="J117" s="306"/>
      <c r="K117" s="306"/>
      <c r="L117" s="306"/>
    </row>
    <row r="118" spans="2:12">
      <c r="B118" s="306"/>
      <c r="C118" s="306"/>
      <c r="D118" s="306"/>
      <c r="E118" s="306"/>
      <c r="F118" s="306"/>
      <c r="G118" s="306"/>
      <c r="H118" s="306"/>
      <c r="I118" s="306"/>
      <c r="J118" s="306"/>
      <c r="K118" s="306"/>
      <c r="L118" s="306"/>
    </row>
    <row r="119" spans="2:12">
      <c r="B119" s="306"/>
      <c r="C119" s="306"/>
      <c r="D119" s="306"/>
      <c r="E119" s="306"/>
      <c r="F119" s="306"/>
      <c r="G119" s="306"/>
      <c r="H119" s="306"/>
      <c r="I119" s="306"/>
      <c r="J119" s="306"/>
      <c r="K119" s="306"/>
      <c r="L119" s="306"/>
    </row>
    <row r="120" spans="2:12">
      <c r="B120" s="306"/>
      <c r="C120" s="306"/>
      <c r="D120" s="306"/>
      <c r="E120" s="306"/>
      <c r="F120" s="306"/>
      <c r="G120" s="306"/>
      <c r="H120" s="306"/>
      <c r="I120" s="306"/>
      <c r="J120" s="306"/>
      <c r="K120" s="306"/>
      <c r="L120" s="306"/>
    </row>
    <row r="121" spans="2:12">
      <c r="B121" s="306"/>
      <c r="C121" s="306"/>
      <c r="D121" s="306"/>
      <c r="E121" s="306"/>
      <c r="F121" s="306"/>
      <c r="G121" s="306"/>
      <c r="H121" s="306"/>
      <c r="I121" s="306"/>
      <c r="J121" s="306"/>
      <c r="K121" s="306"/>
      <c r="L121" s="306"/>
    </row>
    <row r="122" spans="2:12">
      <c r="B122" s="306"/>
      <c r="C122" s="306"/>
      <c r="D122" s="306"/>
      <c r="E122" s="306"/>
      <c r="F122" s="306"/>
      <c r="G122" s="306"/>
      <c r="H122" s="306"/>
      <c r="I122" s="306"/>
      <c r="J122" s="306"/>
      <c r="K122" s="306"/>
      <c r="L122" s="306"/>
    </row>
    <row r="123" spans="2:12">
      <c r="B123" s="306"/>
      <c r="C123" s="306"/>
      <c r="D123" s="306"/>
      <c r="E123" s="306"/>
      <c r="F123" s="306"/>
      <c r="G123" s="306"/>
      <c r="H123" s="306"/>
      <c r="I123" s="306"/>
      <c r="J123" s="306"/>
      <c r="K123" s="306"/>
      <c r="L123" s="306"/>
    </row>
    <row r="124" spans="2:12">
      <c r="B124" s="306"/>
      <c r="C124" s="306"/>
      <c r="D124" s="306"/>
      <c r="E124" s="306"/>
      <c r="F124" s="306"/>
      <c r="G124" s="306"/>
      <c r="H124" s="306"/>
      <c r="I124" s="306"/>
      <c r="J124" s="306"/>
      <c r="K124" s="306"/>
      <c r="L124" s="306"/>
    </row>
    <row r="125" spans="2:12">
      <c r="B125" s="306"/>
      <c r="C125" s="306"/>
      <c r="D125" s="306"/>
      <c r="E125" s="306"/>
      <c r="F125" s="306"/>
      <c r="G125" s="306"/>
      <c r="H125" s="306"/>
      <c r="I125" s="306"/>
      <c r="J125" s="306"/>
      <c r="K125" s="306"/>
      <c r="L125" s="306"/>
    </row>
    <row r="126" spans="2:12">
      <c r="B126" s="306"/>
      <c r="C126" s="306"/>
      <c r="D126" s="306"/>
      <c r="E126" s="306"/>
      <c r="F126" s="306"/>
      <c r="G126" s="306"/>
      <c r="H126" s="306"/>
      <c r="I126" s="306"/>
      <c r="J126" s="306"/>
      <c r="K126" s="306"/>
      <c r="L126" s="306"/>
    </row>
    <row r="127" spans="2:12">
      <c r="B127" s="306"/>
      <c r="C127" s="306"/>
      <c r="D127" s="306"/>
      <c r="E127" s="306"/>
      <c r="F127" s="306"/>
      <c r="G127" s="306"/>
      <c r="H127" s="306"/>
      <c r="I127" s="306"/>
      <c r="J127" s="306"/>
      <c r="K127" s="306"/>
      <c r="L127" s="306"/>
    </row>
    <row r="128" spans="2:12">
      <c r="B128" s="306"/>
      <c r="C128" s="306"/>
      <c r="D128" s="306"/>
      <c r="E128" s="306"/>
      <c r="F128" s="306"/>
      <c r="G128" s="306"/>
      <c r="H128" s="306"/>
      <c r="I128" s="306"/>
      <c r="J128" s="306"/>
      <c r="K128" s="306"/>
      <c r="L128" s="306"/>
    </row>
    <row r="129" spans="2:12">
      <c r="B129" s="306"/>
      <c r="C129" s="306"/>
      <c r="D129" s="306"/>
      <c r="E129" s="306"/>
      <c r="F129" s="306"/>
      <c r="G129" s="306"/>
      <c r="H129" s="306"/>
      <c r="I129" s="306"/>
      <c r="J129" s="306"/>
      <c r="K129" s="306"/>
      <c r="L129" s="306"/>
    </row>
    <row r="130" spans="2:12">
      <c r="B130" s="306"/>
      <c r="C130" s="306"/>
      <c r="D130" s="306"/>
      <c r="E130" s="306"/>
      <c r="F130" s="306"/>
      <c r="G130" s="306"/>
      <c r="H130" s="306"/>
      <c r="I130" s="306"/>
      <c r="J130" s="306"/>
      <c r="K130" s="306"/>
      <c r="L130" s="306"/>
    </row>
    <row r="131" spans="2:12">
      <c r="B131" s="306"/>
      <c r="C131" s="306"/>
      <c r="D131" s="306"/>
      <c r="E131" s="306"/>
      <c r="F131" s="306"/>
      <c r="G131" s="306"/>
      <c r="H131" s="306"/>
      <c r="I131" s="306"/>
      <c r="J131" s="306"/>
      <c r="K131" s="306"/>
      <c r="L131" s="306"/>
    </row>
    <row r="132" spans="2:12">
      <c r="B132" s="306"/>
      <c r="C132" s="306"/>
      <c r="D132" s="306"/>
      <c r="E132" s="306"/>
      <c r="F132" s="306"/>
      <c r="G132" s="306"/>
      <c r="H132" s="306"/>
      <c r="I132" s="306"/>
      <c r="J132" s="306"/>
      <c r="K132" s="306"/>
      <c r="L132" s="306"/>
    </row>
    <row r="133" spans="2:12">
      <c r="B133" s="306"/>
      <c r="C133" s="306"/>
      <c r="D133" s="306"/>
      <c r="E133" s="306"/>
      <c r="F133" s="306"/>
      <c r="G133" s="306"/>
      <c r="H133" s="306"/>
      <c r="I133" s="306"/>
      <c r="J133" s="306"/>
      <c r="K133" s="306"/>
      <c r="L133" s="306"/>
    </row>
    <row r="134" spans="2:12">
      <c r="B134" s="306"/>
      <c r="C134" s="306"/>
      <c r="D134" s="306"/>
      <c r="E134" s="306"/>
      <c r="F134" s="306"/>
      <c r="G134" s="306"/>
      <c r="H134" s="306"/>
      <c r="I134" s="306"/>
      <c r="J134" s="306"/>
      <c r="K134" s="306"/>
      <c r="L134" s="306"/>
    </row>
    <row r="135" spans="2:12">
      <c r="B135" s="306"/>
      <c r="C135" s="306"/>
      <c r="D135" s="306"/>
      <c r="E135" s="306"/>
      <c r="F135" s="306"/>
      <c r="G135" s="306"/>
      <c r="H135" s="306"/>
      <c r="I135" s="306"/>
      <c r="J135" s="306"/>
      <c r="K135" s="306"/>
      <c r="L135" s="306"/>
    </row>
    <row r="136" spans="2:12">
      <c r="B136" s="306"/>
      <c r="C136" s="306"/>
      <c r="D136" s="306"/>
      <c r="E136" s="306"/>
      <c r="F136" s="306"/>
      <c r="G136" s="306"/>
      <c r="H136" s="306"/>
      <c r="I136" s="306"/>
      <c r="J136" s="306"/>
      <c r="K136" s="306"/>
      <c r="L136" s="306"/>
    </row>
    <row r="137" spans="2:12">
      <c r="B137" s="306"/>
      <c r="C137" s="306"/>
      <c r="D137" s="306"/>
      <c r="E137" s="306"/>
      <c r="F137" s="306"/>
      <c r="G137" s="306"/>
      <c r="H137" s="306"/>
      <c r="I137" s="306"/>
      <c r="J137" s="306"/>
      <c r="K137" s="306"/>
      <c r="L137" s="306"/>
    </row>
    <row r="138" spans="2:12">
      <c r="B138" s="306"/>
      <c r="C138" s="306"/>
      <c r="D138" s="306"/>
      <c r="E138" s="306"/>
      <c r="F138" s="306"/>
      <c r="G138" s="306"/>
      <c r="H138" s="306"/>
      <c r="I138" s="306"/>
      <c r="J138" s="306"/>
      <c r="K138" s="306"/>
      <c r="L138" s="306"/>
    </row>
    <row r="139" spans="2:12">
      <c r="B139" s="306"/>
      <c r="C139" s="306"/>
      <c r="D139" s="306"/>
      <c r="E139" s="306"/>
      <c r="F139" s="306"/>
      <c r="G139" s="306"/>
      <c r="H139" s="306"/>
      <c r="I139" s="306"/>
      <c r="J139" s="306"/>
      <c r="K139" s="306"/>
      <c r="L139" s="306"/>
    </row>
    <row r="140" spans="2:12">
      <c r="B140" s="306"/>
      <c r="C140" s="306"/>
      <c r="D140" s="306"/>
      <c r="E140" s="306"/>
      <c r="F140" s="306"/>
      <c r="G140" s="306"/>
      <c r="H140" s="306"/>
      <c r="I140" s="306"/>
      <c r="J140" s="306"/>
      <c r="K140" s="306"/>
      <c r="L140" s="306"/>
    </row>
    <row r="141" spans="2:12">
      <c r="B141" s="306"/>
      <c r="C141" s="306"/>
      <c r="D141" s="306"/>
      <c r="E141" s="306"/>
      <c r="F141" s="306"/>
      <c r="G141" s="306"/>
      <c r="H141" s="306"/>
      <c r="I141" s="306"/>
      <c r="J141" s="306"/>
      <c r="K141" s="306"/>
      <c r="L141" s="306"/>
    </row>
    <row r="142" spans="2:12">
      <c r="B142" s="306"/>
      <c r="C142" s="306"/>
      <c r="D142" s="306"/>
      <c r="E142" s="306"/>
      <c r="F142" s="306"/>
      <c r="G142" s="306"/>
      <c r="H142" s="306"/>
      <c r="I142" s="306"/>
      <c r="J142" s="306"/>
      <c r="K142" s="306"/>
      <c r="L142" s="306"/>
    </row>
    <row r="143" spans="2:12">
      <c r="B143" s="306"/>
      <c r="C143" s="306"/>
      <c r="D143" s="306"/>
      <c r="E143" s="306"/>
      <c r="F143" s="306"/>
      <c r="G143" s="306"/>
      <c r="H143" s="306"/>
      <c r="I143" s="306"/>
      <c r="J143" s="306"/>
      <c r="K143" s="306"/>
      <c r="L143" s="306"/>
    </row>
    <row r="144" spans="2:12">
      <c r="B144" s="306"/>
      <c r="C144" s="306"/>
      <c r="D144" s="306"/>
      <c r="E144" s="306"/>
      <c r="F144" s="306"/>
      <c r="G144" s="306"/>
      <c r="H144" s="306"/>
      <c r="I144" s="306"/>
      <c r="J144" s="306"/>
      <c r="K144" s="306"/>
      <c r="L144" s="306"/>
    </row>
    <row r="145" spans="2:12">
      <c r="B145" s="306"/>
      <c r="C145" s="306"/>
      <c r="D145" s="306"/>
      <c r="E145" s="306"/>
      <c r="F145" s="306"/>
      <c r="G145" s="306"/>
      <c r="H145" s="306"/>
      <c r="I145" s="306"/>
      <c r="J145" s="306"/>
      <c r="K145" s="306"/>
      <c r="L145" s="306"/>
    </row>
    <row r="146" spans="2:12">
      <c r="B146" s="306"/>
      <c r="C146" s="306"/>
      <c r="D146" s="306"/>
      <c r="E146" s="306"/>
      <c r="F146" s="306"/>
      <c r="G146" s="306"/>
      <c r="H146" s="306"/>
      <c r="I146" s="306"/>
      <c r="J146" s="306"/>
      <c r="K146" s="306"/>
      <c r="L146" s="306"/>
    </row>
    <row r="147" spans="2:12">
      <c r="B147" s="306"/>
      <c r="C147" s="306"/>
      <c r="D147" s="306"/>
      <c r="E147" s="306"/>
      <c r="F147" s="306"/>
      <c r="G147" s="306"/>
      <c r="H147" s="306"/>
      <c r="I147" s="306"/>
      <c r="J147" s="306"/>
      <c r="K147" s="306"/>
      <c r="L147" s="306"/>
    </row>
    <row r="148" spans="2:12">
      <c r="B148" s="306"/>
      <c r="C148" s="306"/>
      <c r="D148" s="306"/>
      <c r="E148" s="306"/>
      <c r="F148" s="306"/>
      <c r="G148" s="306"/>
      <c r="H148" s="306"/>
      <c r="I148" s="306"/>
      <c r="J148" s="306"/>
      <c r="K148" s="306"/>
      <c r="L148" s="306"/>
    </row>
    <row r="149" spans="2:12">
      <c r="B149" s="306"/>
      <c r="C149" s="306"/>
      <c r="D149" s="306"/>
      <c r="E149" s="306"/>
      <c r="F149" s="306"/>
      <c r="G149" s="306"/>
      <c r="H149" s="306"/>
      <c r="I149" s="306"/>
      <c r="J149" s="306"/>
      <c r="K149" s="306"/>
      <c r="L149" s="306"/>
    </row>
    <row r="150" spans="2:12">
      <c r="B150" s="306"/>
      <c r="C150" s="306"/>
      <c r="D150" s="306"/>
      <c r="E150" s="306"/>
      <c r="F150" s="306"/>
      <c r="G150" s="306"/>
      <c r="H150" s="306"/>
      <c r="I150" s="306"/>
      <c r="J150" s="306"/>
      <c r="K150" s="306"/>
      <c r="L150" s="306"/>
    </row>
    <row r="151" spans="2:12">
      <c r="B151" s="306"/>
      <c r="C151" s="306"/>
      <c r="D151" s="306"/>
      <c r="E151" s="306"/>
      <c r="F151" s="306"/>
      <c r="G151" s="306"/>
      <c r="H151" s="306"/>
      <c r="I151" s="306"/>
      <c r="J151" s="306"/>
      <c r="K151" s="306"/>
      <c r="L151" s="306"/>
    </row>
    <row r="152" spans="2:12">
      <c r="B152" s="306"/>
      <c r="C152" s="306"/>
      <c r="D152" s="306"/>
      <c r="E152" s="306"/>
      <c r="F152" s="306"/>
      <c r="G152" s="306"/>
      <c r="H152" s="306"/>
      <c r="I152" s="306"/>
      <c r="J152" s="306"/>
      <c r="K152" s="306"/>
      <c r="L152" s="306"/>
    </row>
    <row r="153" spans="2:12">
      <c r="B153" s="306"/>
      <c r="C153" s="306"/>
      <c r="D153" s="306"/>
      <c r="E153" s="306"/>
      <c r="F153" s="306"/>
      <c r="G153" s="306"/>
      <c r="H153" s="306"/>
      <c r="I153" s="306"/>
      <c r="J153" s="306"/>
      <c r="K153" s="306"/>
      <c r="L153" s="306"/>
    </row>
    <row r="154" spans="2:12">
      <c r="B154" s="306"/>
      <c r="C154" s="306"/>
      <c r="D154" s="306"/>
      <c r="E154" s="306"/>
      <c r="F154" s="306"/>
      <c r="G154" s="306"/>
      <c r="H154" s="306"/>
      <c r="I154" s="306"/>
      <c r="J154" s="306"/>
      <c r="K154" s="306"/>
      <c r="L154" s="306"/>
    </row>
    <row r="155" spans="2:12">
      <c r="B155" s="306"/>
      <c r="C155" s="306"/>
      <c r="D155" s="306"/>
      <c r="E155" s="306"/>
      <c r="F155" s="306"/>
      <c r="G155" s="306"/>
      <c r="H155" s="306"/>
      <c r="I155" s="306"/>
      <c r="J155" s="306"/>
      <c r="K155" s="306"/>
      <c r="L155" s="306"/>
    </row>
    <row r="156" spans="2:12">
      <c r="B156" s="306"/>
      <c r="C156" s="306"/>
      <c r="D156" s="306"/>
      <c r="E156" s="306"/>
      <c r="F156" s="306"/>
      <c r="G156" s="306"/>
      <c r="H156" s="306"/>
      <c r="I156" s="306"/>
      <c r="J156" s="306"/>
      <c r="K156" s="306"/>
      <c r="L156" s="306"/>
    </row>
    <row r="157" spans="2:12">
      <c r="B157" s="306"/>
      <c r="C157" s="306"/>
      <c r="D157" s="306"/>
      <c r="E157" s="306"/>
      <c r="F157" s="306"/>
      <c r="G157" s="306"/>
      <c r="H157" s="306"/>
      <c r="I157" s="306"/>
      <c r="J157" s="306"/>
      <c r="K157" s="306"/>
      <c r="L157" s="306"/>
    </row>
    <row r="158" spans="2:12">
      <c r="B158" s="306"/>
      <c r="C158" s="306"/>
      <c r="D158" s="306"/>
      <c r="E158" s="306"/>
      <c r="F158" s="306"/>
      <c r="G158" s="306"/>
      <c r="H158" s="306"/>
      <c r="I158" s="306"/>
      <c r="J158" s="306"/>
      <c r="K158" s="306"/>
      <c r="L158" s="306"/>
    </row>
    <row r="159" spans="2:12">
      <c r="B159" s="306"/>
      <c r="C159" s="306"/>
      <c r="D159" s="306"/>
      <c r="E159" s="306"/>
      <c r="F159" s="306"/>
      <c r="G159" s="306"/>
      <c r="H159" s="306"/>
      <c r="I159" s="306"/>
      <c r="J159" s="306"/>
      <c r="K159" s="306"/>
      <c r="L159" s="306"/>
    </row>
    <row r="160" spans="2:12">
      <c r="B160" s="306"/>
      <c r="C160" s="306"/>
      <c r="D160" s="306"/>
      <c r="E160" s="306"/>
      <c r="F160" s="306"/>
      <c r="G160" s="306"/>
      <c r="H160" s="306"/>
      <c r="I160" s="306"/>
      <c r="J160" s="306"/>
      <c r="K160" s="306"/>
      <c r="L160" s="306"/>
    </row>
    <row r="161" spans="2:12">
      <c r="B161" s="306"/>
      <c r="C161" s="306"/>
      <c r="D161" s="306"/>
      <c r="E161" s="306"/>
      <c r="F161" s="306"/>
      <c r="G161" s="306"/>
      <c r="H161" s="306"/>
      <c r="I161" s="306"/>
      <c r="J161" s="306"/>
      <c r="K161" s="306"/>
      <c r="L161" s="306"/>
    </row>
    <row r="162" spans="2:12">
      <c r="B162" s="306"/>
      <c r="C162" s="306"/>
      <c r="D162" s="306"/>
      <c r="E162" s="306"/>
      <c r="F162" s="306"/>
      <c r="G162" s="306"/>
      <c r="H162" s="306"/>
      <c r="I162" s="306"/>
      <c r="J162" s="306"/>
      <c r="K162" s="306"/>
      <c r="L162" s="306"/>
    </row>
    <row r="163" spans="2:12">
      <c r="B163" s="306"/>
      <c r="C163" s="306"/>
      <c r="D163" s="306"/>
      <c r="E163" s="306"/>
      <c r="F163" s="306"/>
      <c r="G163" s="306"/>
      <c r="H163" s="306"/>
      <c r="I163" s="306"/>
      <c r="J163" s="306"/>
      <c r="K163" s="306"/>
      <c r="L163" s="306"/>
    </row>
    <row r="164" spans="2:12">
      <c r="B164" s="306"/>
      <c r="C164" s="306"/>
      <c r="D164" s="306"/>
      <c r="E164" s="306"/>
      <c r="F164" s="306"/>
      <c r="G164" s="306"/>
      <c r="H164" s="306"/>
      <c r="I164" s="306"/>
      <c r="J164" s="306"/>
      <c r="K164" s="306"/>
      <c r="L164" s="306"/>
    </row>
    <row r="165" spans="2:12">
      <c r="B165" s="306"/>
      <c r="C165" s="306"/>
      <c r="D165" s="306"/>
      <c r="E165" s="306"/>
      <c r="F165" s="306"/>
      <c r="G165" s="306"/>
      <c r="H165" s="306"/>
      <c r="I165" s="306"/>
      <c r="J165" s="306"/>
      <c r="K165" s="306"/>
      <c r="L165" s="306"/>
    </row>
    <row r="166" spans="2:12">
      <c r="B166" s="306"/>
      <c r="C166" s="306"/>
      <c r="D166" s="306"/>
      <c r="E166" s="306"/>
      <c r="F166" s="306"/>
      <c r="G166" s="306"/>
      <c r="H166" s="306"/>
      <c r="I166" s="306"/>
      <c r="J166" s="306"/>
      <c r="K166" s="306"/>
      <c r="L166" s="306"/>
    </row>
    <row r="167" spans="2:12">
      <c r="B167" s="306"/>
      <c r="C167" s="306"/>
      <c r="D167" s="306"/>
      <c r="E167" s="306"/>
      <c r="F167" s="306"/>
      <c r="G167" s="306"/>
      <c r="H167" s="306"/>
      <c r="I167" s="306"/>
      <c r="J167" s="306"/>
      <c r="K167" s="306"/>
      <c r="L167" s="306"/>
    </row>
    <row r="168" spans="2:12">
      <c r="B168" s="306"/>
      <c r="C168" s="306"/>
      <c r="D168" s="306"/>
      <c r="E168" s="306"/>
      <c r="F168" s="306"/>
      <c r="G168" s="306"/>
      <c r="H168" s="306"/>
      <c r="I168" s="306"/>
      <c r="J168" s="306"/>
      <c r="K168" s="306"/>
      <c r="L168" s="306"/>
    </row>
    <row r="169" spans="2:12">
      <c r="B169" s="306"/>
      <c r="C169" s="306"/>
      <c r="D169" s="306"/>
      <c r="E169" s="306"/>
      <c r="F169" s="306"/>
      <c r="G169" s="306"/>
      <c r="H169" s="306"/>
      <c r="I169" s="306"/>
      <c r="J169" s="306"/>
      <c r="K169" s="306"/>
      <c r="L169" s="306"/>
    </row>
    <row r="170" spans="2:12">
      <c r="B170" s="306"/>
      <c r="C170" s="306"/>
      <c r="D170" s="306"/>
      <c r="E170" s="306"/>
      <c r="F170" s="306"/>
      <c r="G170" s="306"/>
      <c r="H170" s="306"/>
      <c r="I170" s="306"/>
      <c r="J170" s="306"/>
      <c r="K170" s="306"/>
      <c r="L170" s="306"/>
    </row>
    <row r="171" spans="2:12">
      <c r="B171" s="306"/>
      <c r="C171" s="306"/>
      <c r="D171" s="306"/>
      <c r="E171" s="306"/>
      <c r="F171" s="306"/>
      <c r="G171" s="306"/>
      <c r="H171" s="306"/>
      <c r="I171" s="306"/>
      <c r="J171" s="306"/>
      <c r="K171" s="306"/>
      <c r="L171" s="306"/>
    </row>
    <row r="172" spans="2:12">
      <c r="B172" s="306"/>
      <c r="C172" s="306"/>
      <c r="D172" s="306"/>
      <c r="E172" s="306"/>
      <c r="F172" s="306"/>
      <c r="G172" s="306"/>
      <c r="H172" s="306"/>
      <c r="I172" s="306"/>
      <c r="J172" s="306"/>
      <c r="K172" s="306"/>
      <c r="L172" s="306"/>
    </row>
    <row r="173" spans="2:12">
      <c r="B173" s="306"/>
      <c r="C173" s="306"/>
      <c r="D173" s="306"/>
      <c r="E173" s="306"/>
      <c r="F173" s="306"/>
      <c r="G173" s="306"/>
      <c r="H173" s="306"/>
      <c r="I173" s="306"/>
      <c r="J173" s="306"/>
      <c r="K173" s="306"/>
      <c r="L173" s="306"/>
    </row>
    <row r="174" spans="2:12">
      <c r="B174" s="306"/>
      <c r="C174" s="306"/>
      <c r="D174" s="306"/>
      <c r="E174" s="306"/>
      <c r="F174" s="306"/>
      <c r="G174" s="306"/>
      <c r="H174" s="306"/>
      <c r="I174" s="306"/>
      <c r="J174" s="306"/>
      <c r="K174" s="306"/>
      <c r="L174" s="306"/>
    </row>
    <row r="175" spans="2:12">
      <c r="B175" s="306"/>
      <c r="C175" s="306"/>
      <c r="D175" s="306"/>
      <c r="E175" s="306"/>
      <c r="F175" s="306"/>
      <c r="G175" s="306"/>
      <c r="H175" s="306"/>
      <c r="I175" s="306"/>
      <c r="J175" s="306"/>
      <c r="K175" s="306"/>
      <c r="L175" s="306"/>
    </row>
    <row r="176" spans="2:12">
      <c r="B176" s="306"/>
      <c r="C176" s="306"/>
      <c r="D176" s="306"/>
      <c r="E176" s="306"/>
      <c r="F176" s="306"/>
      <c r="G176" s="306"/>
      <c r="H176" s="306"/>
      <c r="I176" s="306"/>
      <c r="J176" s="306"/>
      <c r="K176" s="306"/>
      <c r="L176" s="306"/>
    </row>
    <row r="177" spans="2:12">
      <c r="B177" s="306"/>
      <c r="C177" s="306"/>
      <c r="D177" s="306"/>
      <c r="E177" s="306"/>
      <c r="F177" s="306"/>
      <c r="G177" s="306"/>
      <c r="H177" s="306"/>
      <c r="I177" s="306"/>
      <c r="J177" s="306"/>
      <c r="K177" s="306"/>
      <c r="L177" s="306"/>
    </row>
    <row r="178" spans="2:12">
      <c r="B178" s="306"/>
      <c r="C178" s="306"/>
      <c r="D178" s="306"/>
      <c r="E178" s="306"/>
      <c r="F178" s="306"/>
      <c r="G178" s="306"/>
      <c r="H178" s="306"/>
      <c r="I178" s="306"/>
      <c r="J178" s="306"/>
      <c r="K178" s="306"/>
      <c r="L178" s="306"/>
    </row>
    <row r="179" spans="2:12">
      <c r="B179" s="306"/>
      <c r="C179" s="306"/>
      <c r="D179" s="306"/>
      <c r="E179" s="306"/>
      <c r="F179" s="306"/>
      <c r="G179" s="306"/>
      <c r="H179" s="306"/>
      <c r="I179" s="306"/>
      <c r="J179" s="306"/>
      <c r="K179" s="306"/>
      <c r="L179" s="306"/>
    </row>
    <row r="180" spans="2:12">
      <c r="B180" s="306"/>
      <c r="C180" s="306"/>
      <c r="D180" s="306"/>
      <c r="E180" s="306"/>
      <c r="F180" s="306"/>
      <c r="G180" s="306"/>
      <c r="H180" s="306"/>
      <c r="I180" s="306"/>
      <c r="J180" s="306"/>
      <c r="K180" s="306"/>
      <c r="L180" s="306"/>
    </row>
    <row r="181" spans="2:12">
      <c r="B181" s="306"/>
      <c r="C181" s="306"/>
      <c r="D181" s="306"/>
      <c r="E181" s="306"/>
      <c r="F181" s="306"/>
      <c r="G181" s="306"/>
      <c r="H181" s="306"/>
      <c r="I181" s="306"/>
      <c r="J181" s="306"/>
      <c r="K181" s="306"/>
      <c r="L181" s="306"/>
    </row>
    <row r="182" spans="2:12">
      <c r="B182" s="306"/>
      <c r="C182" s="306"/>
      <c r="D182" s="306"/>
      <c r="E182" s="306"/>
      <c r="F182" s="306"/>
      <c r="G182" s="306"/>
      <c r="H182" s="306"/>
      <c r="I182" s="306"/>
      <c r="J182" s="306"/>
      <c r="K182" s="306"/>
      <c r="L182" s="306"/>
    </row>
    <row r="183" spans="2:12">
      <c r="B183" s="306"/>
      <c r="C183" s="306"/>
      <c r="D183" s="306"/>
      <c r="E183" s="306"/>
      <c r="F183" s="306"/>
      <c r="G183" s="306"/>
      <c r="H183" s="306"/>
      <c r="I183" s="306"/>
      <c r="J183" s="306"/>
      <c r="K183" s="306"/>
      <c r="L183" s="306"/>
    </row>
    <row r="184" spans="2:12">
      <c r="B184" s="306"/>
      <c r="C184" s="306"/>
      <c r="D184" s="306"/>
      <c r="E184" s="306"/>
      <c r="F184" s="306"/>
      <c r="G184" s="306"/>
      <c r="H184" s="306"/>
      <c r="I184" s="306"/>
      <c r="J184" s="306"/>
      <c r="K184" s="306"/>
      <c r="L184" s="306"/>
    </row>
    <row r="185" spans="2:12">
      <c r="B185" s="306"/>
      <c r="C185" s="306"/>
      <c r="D185" s="306"/>
      <c r="E185" s="306"/>
      <c r="F185" s="306"/>
      <c r="G185" s="306"/>
      <c r="H185" s="306"/>
      <c r="I185" s="306"/>
      <c r="J185" s="306"/>
      <c r="K185" s="306"/>
      <c r="L185" s="306"/>
    </row>
    <row r="186" spans="2:12">
      <c r="B186" s="306"/>
      <c r="C186" s="306"/>
      <c r="D186" s="306"/>
      <c r="E186" s="306"/>
      <c r="F186" s="306"/>
      <c r="G186" s="306"/>
      <c r="H186" s="306"/>
      <c r="I186" s="306"/>
      <c r="J186" s="306"/>
      <c r="K186" s="306"/>
      <c r="L186" s="306"/>
    </row>
    <row r="187" spans="2:12">
      <c r="B187" s="306"/>
      <c r="C187" s="306"/>
      <c r="D187" s="306"/>
      <c r="E187" s="306"/>
      <c r="F187" s="306"/>
      <c r="G187" s="306"/>
      <c r="H187" s="306"/>
      <c r="I187" s="306"/>
      <c r="J187" s="306"/>
      <c r="K187" s="306"/>
      <c r="L187" s="306"/>
    </row>
    <row r="188" spans="2:12">
      <c r="B188" s="306"/>
      <c r="C188" s="306"/>
      <c r="D188" s="306"/>
      <c r="E188" s="306"/>
      <c r="F188" s="306"/>
      <c r="G188" s="306"/>
      <c r="H188" s="306"/>
      <c r="I188" s="306"/>
      <c r="J188" s="306"/>
      <c r="K188" s="306"/>
      <c r="L188" s="306"/>
    </row>
    <row r="189" spans="2:12">
      <c r="B189" s="306"/>
      <c r="C189" s="306"/>
      <c r="D189" s="306"/>
      <c r="E189" s="306"/>
      <c r="F189" s="306"/>
      <c r="G189" s="306"/>
      <c r="H189" s="306"/>
      <c r="I189" s="306"/>
      <c r="J189" s="306"/>
      <c r="K189" s="306"/>
      <c r="L189" s="306"/>
    </row>
    <row r="190" spans="2:12">
      <c r="B190" s="306"/>
      <c r="C190" s="306"/>
      <c r="D190" s="306"/>
      <c r="E190" s="306"/>
      <c r="F190" s="306"/>
      <c r="G190" s="306"/>
      <c r="H190" s="306"/>
      <c r="I190" s="306"/>
      <c r="J190" s="306"/>
      <c r="K190" s="306"/>
      <c r="L190" s="306"/>
    </row>
    <row r="191" spans="2:12">
      <c r="B191" s="306"/>
      <c r="C191" s="306"/>
      <c r="D191" s="306"/>
      <c r="E191" s="306"/>
      <c r="F191" s="306"/>
      <c r="G191" s="306"/>
      <c r="H191" s="306"/>
      <c r="I191" s="306"/>
      <c r="J191" s="306"/>
      <c r="K191" s="306"/>
      <c r="L191" s="306"/>
    </row>
    <row r="192" spans="2:12">
      <c r="B192" s="306"/>
      <c r="C192" s="306"/>
      <c r="D192" s="306"/>
      <c r="E192" s="306"/>
      <c r="F192" s="306"/>
      <c r="G192" s="306"/>
      <c r="H192" s="306"/>
      <c r="I192" s="306"/>
      <c r="J192" s="306"/>
      <c r="K192" s="306"/>
      <c r="L192" s="306"/>
    </row>
    <row r="193" spans="2:12">
      <c r="B193" s="306"/>
      <c r="C193" s="306"/>
      <c r="D193" s="306"/>
      <c r="E193" s="306"/>
      <c r="F193" s="306"/>
      <c r="G193" s="306"/>
      <c r="H193" s="306"/>
      <c r="I193" s="306"/>
      <c r="J193" s="306"/>
      <c r="K193" s="306"/>
      <c r="L193" s="306"/>
    </row>
    <row r="194" spans="2:12">
      <c r="B194" s="306"/>
      <c r="C194" s="306"/>
      <c r="D194" s="306"/>
      <c r="E194" s="306"/>
      <c r="F194" s="306"/>
      <c r="G194" s="306"/>
      <c r="H194" s="306"/>
      <c r="I194" s="306"/>
      <c r="J194" s="306"/>
      <c r="K194" s="306"/>
      <c r="L194" s="306"/>
    </row>
    <row r="195" spans="2:12">
      <c r="B195" s="306"/>
      <c r="C195" s="306"/>
      <c r="D195" s="306"/>
      <c r="E195" s="306"/>
      <c r="F195" s="306"/>
      <c r="G195" s="306"/>
      <c r="H195" s="306"/>
      <c r="I195" s="306"/>
      <c r="J195" s="306"/>
      <c r="K195" s="306"/>
      <c r="L195" s="306"/>
    </row>
    <row r="196" spans="2:12">
      <c r="B196" s="306"/>
      <c r="C196" s="306"/>
      <c r="D196" s="306"/>
      <c r="E196" s="306"/>
      <c r="F196" s="306"/>
      <c r="G196" s="306"/>
      <c r="H196" s="306"/>
      <c r="I196" s="306"/>
      <c r="J196" s="306"/>
      <c r="K196" s="306"/>
      <c r="L196" s="306"/>
    </row>
    <row r="197" spans="2:12">
      <c r="B197" s="306"/>
      <c r="C197" s="306"/>
      <c r="D197" s="306"/>
      <c r="E197" s="306"/>
      <c r="F197" s="306"/>
      <c r="G197" s="306"/>
      <c r="H197" s="306"/>
      <c r="I197" s="306"/>
      <c r="J197" s="306"/>
      <c r="K197" s="306"/>
      <c r="L197" s="306"/>
    </row>
    <row r="198" spans="2:12">
      <c r="B198" s="306"/>
      <c r="C198" s="306"/>
      <c r="D198" s="306"/>
      <c r="E198" s="306"/>
      <c r="F198" s="306"/>
      <c r="G198" s="306"/>
      <c r="H198" s="306"/>
      <c r="I198" s="306"/>
      <c r="J198" s="306"/>
      <c r="K198" s="306"/>
      <c r="L198" s="306"/>
    </row>
    <row r="199" spans="2:12">
      <c r="B199" s="306"/>
      <c r="C199" s="306"/>
      <c r="D199" s="306"/>
      <c r="E199" s="306"/>
      <c r="F199" s="306"/>
      <c r="G199" s="306"/>
      <c r="H199" s="306"/>
      <c r="I199" s="306"/>
      <c r="J199" s="306"/>
      <c r="K199" s="306"/>
      <c r="L199" s="306"/>
    </row>
    <row r="200" spans="2:12">
      <c r="B200" s="306"/>
      <c r="C200" s="306"/>
      <c r="D200" s="306"/>
      <c r="E200" s="306"/>
      <c r="F200" s="306"/>
      <c r="G200" s="306"/>
      <c r="H200" s="306"/>
      <c r="I200" s="306"/>
      <c r="J200" s="306"/>
      <c r="K200" s="306"/>
      <c r="L200" s="306"/>
    </row>
    <row r="201" spans="2:12">
      <c r="B201" s="306"/>
      <c r="C201" s="306"/>
      <c r="D201" s="306"/>
      <c r="E201" s="306"/>
      <c r="F201" s="306"/>
      <c r="G201" s="306"/>
      <c r="H201" s="306"/>
      <c r="I201" s="306"/>
      <c r="J201" s="306"/>
      <c r="K201" s="306"/>
      <c r="L201" s="306"/>
    </row>
    <row r="202" spans="2:12">
      <c r="B202" s="306"/>
      <c r="C202" s="306"/>
      <c r="D202" s="306"/>
      <c r="E202" s="306"/>
      <c r="F202" s="306"/>
      <c r="G202" s="306"/>
      <c r="H202" s="306"/>
      <c r="I202" s="306"/>
      <c r="J202" s="306"/>
      <c r="K202" s="306"/>
      <c r="L202" s="306"/>
    </row>
    <row r="203" spans="2:12">
      <c r="B203" s="306"/>
      <c r="C203" s="306"/>
      <c r="D203" s="306"/>
      <c r="E203" s="306"/>
      <c r="F203" s="306"/>
      <c r="G203" s="306"/>
      <c r="H203" s="306"/>
      <c r="I203" s="306"/>
      <c r="J203" s="306"/>
      <c r="K203" s="306"/>
      <c r="L203" s="306"/>
    </row>
    <row r="204" spans="2:12">
      <c r="B204" s="306"/>
      <c r="C204" s="306"/>
      <c r="D204" s="306"/>
      <c r="E204" s="306"/>
      <c r="F204" s="306"/>
      <c r="G204" s="306"/>
      <c r="H204" s="306"/>
      <c r="I204" s="306"/>
      <c r="J204" s="306"/>
      <c r="K204" s="306"/>
      <c r="L204" s="306"/>
    </row>
    <row r="205" spans="2:12">
      <c r="B205" s="306"/>
      <c r="C205" s="306"/>
      <c r="D205" s="306"/>
      <c r="E205" s="306"/>
      <c r="F205" s="306"/>
      <c r="G205" s="306"/>
      <c r="H205" s="306"/>
      <c r="I205" s="306"/>
      <c r="J205" s="306"/>
      <c r="K205" s="306"/>
      <c r="L205" s="306"/>
    </row>
    <row r="206" spans="2:12">
      <c r="B206" s="306"/>
      <c r="C206" s="306"/>
      <c r="D206" s="306"/>
      <c r="E206" s="306"/>
      <c r="F206" s="306"/>
      <c r="G206" s="306"/>
      <c r="H206" s="306"/>
      <c r="I206" s="306"/>
      <c r="J206" s="306"/>
      <c r="K206" s="306"/>
      <c r="L206" s="306"/>
    </row>
    <row r="207" spans="2:12">
      <c r="B207" s="306"/>
      <c r="C207" s="306"/>
      <c r="D207" s="306"/>
      <c r="E207" s="306"/>
      <c r="F207" s="306"/>
      <c r="G207" s="306"/>
      <c r="H207" s="306"/>
      <c r="I207" s="306"/>
      <c r="J207" s="306"/>
      <c r="K207" s="306"/>
      <c r="L207" s="306"/>
    </row>
    <row r="208" spans="2:12">
      <c r="B208" s="306"/>
      <c r="C208" s="306"/>
      <c r="D208" s="306"/>
      <c r="E208" s="306"/>
      <c r="F208" s="306"/>
      <c r="G208" s="306"/>
      <c r="H208" s="306"/>
      <c r="I208" s="306"/>
      <c r="J208" s="306"/>
      <c r="K208" s="306"/>
      <c r="L208" s="306"/>
    </row>
    <row r="209" spans="2:12">
      <c r="B209" s="306"/>
      <c r="C209" s="306"/>
      <c r="D209" s="306"/>
      <c r="E209" s="306"/>
      <c r="F209" s="306"/>
      <c r="G209" s="306"/>
      <c r="H209" s="306"/>
      <c r="I209" s="306"/>
      <c r="J209" s="306"/>
      <c r="K209" s="306"/>
      <c r="L209" s="306"/>
    </row>
    <row r="210" spans="2:12">
      <c r="B210" s="306"/>
      <c r="C210" s="306"/>
      <c r="D210" s="306"/>
      <c r="E210" s="306"/>
      <c r="F210" s="306"/>
      <c r="G210" s="306"/>
      <c r="H210" s="306"/>
      <c r="I210" s="306"/>
      <c r="J210" s="306"/>
      <c r="K210" s="306"/>
      <c r="L210" s="306"/>
    </row>
    <row r="211" spans="2:12">
      <c r="B211" s="306"/>
      <c r="C211" s="306"/>
      <c r="D211" s="306"/>
      <c r="E211" s="306"/>
      <c r="F211" s="306"/>
      <c r="G211" s="306"/>
      <c r="H211" s="306"/>
      <c r="I211" s="306"/>
      <c r="J211" s="306"/>
      <c r="K211" s="306"/>
      <c r="L211" s="306"/>
    </row>
    <row r="212" spans="2:12">
      <c r="B212" s="306"/>
      <c r="C212" s="306"/>
      <c r="D212" s="306"/>
      <c r="E212" s="306"/>
      <c r="F212" s="306"/>
      <c r="G212" s="306"/>
      <c r="H212" s="306"/>
      <c r="I212" s="306"/>
      <c r="J212" s="306"/>
      <c r="K212" s="306"/>
      <c r="L212" s="306"/>
    </row>
    <row r="213" spans="2:12">
      <c r="B213" s="306"/>
      <c r="C213" s="306"/>
      <c r="D213" s="306"/>
      <c r="E213" s="306"/>
      <c r="F213" s="306"/>
      <c r="G213" s="306"/>
      <c r="H213" s="306"/>
      <c r="I213" s="306"/>
      <c r="J213" s="306"/>
      <c r="K213" s="306"/>
      <c r="L213" s="306"/>
    </row>
    <row r="214" spans="2:12">
      <c r="B214" s="306"/>
      <c r="C214" s="306"/>
      <c r="D214" s="306"/>
      <c r="E214" s="306"/>
      <c r="F214" s="306"/>
      <c r="G214" s="306"/>
      <c r="H214" s="306"/>
      <c r="I214" s="306"/>
      <c r="J214" s="306"/>
      <c r="K214" s="306"/>
      <c r="L214" s="306"/>
    </row>
    <row r="215" spans="2:12">
      <c r="B215" s="306"/>
      <c r="C215" s="306"/>
      <c r="D215" s="306"/>
      <c r="E215" s="306"/>
      <c r="F215" s="306"/>
      <c r="G215" s="306"/>
      <c r="H215" s="306"/>
      <c r="I215" s="306"/>
      <c r="J215" s="306"/>
      <c r="K215" s="306"/>
      <c r="L215" s="306"/>
    </row>
    <row r="216" spans="2:12">
      <c r="B216" s="306"/>
      <c r="C216" s="306"/>
      <c r="D216" s="306"/>
      <c r="E216" s="306"/>
      <c r="F216" s="306"/>
      <c r="G216" s="306"/>
      <c r="H216" s="306"/>
      <c r="I216" s="306"/>
      <c r="J216" s="306"/>
      <c r="K216" s="306"/>
      <c r="L216" s="306"/>
    </row>
    <row r="217" spans="2:12">
      <c r="B217" s="306"/>
      <c r="C217" s="306"/>
      <c r="D217" s="306"/>
      <c r="E217" s="306"/>
      <c r="F217" s="306"/>
      <c r="G217" s="306"/>
      <c r="H217" s="306"/>
      <c r="I217" s="306"/>
      <c r="J217" s="306"/>
      <c r="K217" s="306"/>
      <c r="L217" s="306"/>
    </row>
    <row r="218" spans="2:12">
      <c r="B218" s="306"/>
      <c r="C218" s="306"/>
      <c r="D218" s="306"/>
      <c r="E218" s="306"/>
      <c r="F218" s="306"/>
      <c r="G218" s="306"/>
      <c r="H218" s="306"/>
      <c r="I218" s="306"/>
      <c r="J218" s="306"/>
      <c r="K218" s="306"/>
      <c r="L218" s="306"/>
    </row>
    <row r="219" spans="2:12">
      <c r="B219" s="306"/>
      <c r="C219" s="306"/>
      <c r="D219" s="306"/>
      <c r="E219" s="306"/>
      <c r="F219" s="306"/>
      <c r="G219" s="306"/>
      <c r="H219" s="306"/>
      <c r="I219" s="306"/>
      <c r="J219" s="306"/>
      <c r="K219" s="306"/>
      <c r="L219" s="306"/>
    </row>
    <row r="220" spans="2:12">
      <c r="B220" s="306"/>
      <c r="C220" s="306"/>
      <c r="D220" s="306"/>
      <c r="E220" s="306"/>
      <c r="F220" s="306"/>
      <c r="G220" s="306"/>
      <c r="H220" s="306"/>
      <c r="I220" s="306"/>
      <c r="J220" s="306"/>
      <c r="K220" s="306"/>
      <c r="L220" s="306"/>
    </row>
    <row r="221" spans="2:12">
      <c r="B221" s="306"/>
      <c r="C221" s="306"/>
      <c r="D221" s="306"/>
      <c r="E221" s="306"/>
      <c r="F221" s="306"/>
      <c r="G221" s="306"/>
      <c r="H221" s="306"/>
      <c r="I221" s="306"/>
      <c r="J221" s="306"/>
      <c r="K221" s="306"/>
      <c r="L221" s="306"/>
    </row>
    <row r="222" spans="2:12">
      <c r="B222" s="306"/>
      <c r="C222" s="306"/>
      <c r="D222" s="306"/>
      <c r="E222" s="306"/>
      <c r="F222" s="306"/>
      <c r="G222" s="306"/>
      <c r="H222" s="306"/>
      <c r="I222" s="306"/>
      <c r="J222" s="306"/>
      <c r="K222" s="306"/>
      <c r="L222" s="306"/>
    </row>
    <row r="223" spans="2:12">
      <c r="B223" s="306"/>
      <c r="C223" s="306"/>
      <c r="D223" s="306"/>
      <c r="E223" s="306"/>
      <c r="F223" s="306"/>
      <c r="G223" s="306"/>
      <c r="H223" s="306"/>
      <c r="I223" s="306"/>
      <c r="J223" s="306"/>
      <c r="K223" s="306"/>
      <c r="L223" s="306"/>
    </row>
    <row r="224" spans="2:12">
      <c r="B224" s="306"/>
      <c r="C224" s="306"/>
      <c r="D224" s="306"/>
      <c r="E224" s="306"/>
      <c r="F224" s="306"/>
      <c r="G224" s="306"/>
      <c r="H224" s="306"/>
      <c r="I224" s="306"/>
      <c r="J224" s="306"/>
      <c r="K224" s="306"/>
      <c r="L224" s="306"/>
    </row>
    <row r="225" spans="2:12">
      <c r="B225" s="306"/>
      <c r="C225" s="306"/>
      <c r="D225" s="306"/>
      <c r="E225" s="306"/>
      <c r="F225" s="306"/>
      <c r="G225" s="306"/>
      <c r="H225" s="306"/>
      <c r="I225" s="306"/>
      <c r="J225" s="306"/>
      <c r="K225" s="306"/>
      <c r="L225" s="306"/>
    </row>
    <row r="226" spans="2:12">
      <c r="B226" s="306"/>
      <c r="C226" s="306"/>
      <c r="D226" s="306"/>
      <c r="E226" s="306"/>
      <c r="F226" s="306"/>
      <c r="G226" s="306"/>
      <c r="H226" s="306"/>
      <c r="I226" s="306"/>
      <c r="J226" s="306"/>
      <c r="K226" s="306"/>
      <c r="L226" s="306"/>
    </row>
    <row r="227" spans="2:12">
      <c r="B227" s="306"/>
      <c r="C227" s="306"/>
      <c r="D227" s="306"/>
      <c r="E227" s="306"/>
      <c r="F227" s="306"/>
      <c r="G227" s="306"/>
      <c r="H227" s="306"/>
      <c r="I227" s="306"/>
      <c r="J227" s="306"/>
      <c r="K227" s="306"/>
      <c r="L227" s="306"/>
    </row>
    <row r="228" spans="2:12">
      <c r="B228" s="306"/>
      <c r="C228" s="306"/>
      <c r="D228" s="306"/>
      <c r="E228" s="306"/>
      <c r="F228" s="306"/>
      <c r="G228" s="306"/>
      <c r="H228" s="306"/>
      <c r="I228" s="306"/>
      <c r="J228" s="306"/>
      <c r="K228" s="306"/>
      <c r="L228" s="306"/>
    </row>
    <row r="229" spans="2:12">
      <c r="B229" s="306"/>
      <c r="C229" s="306"/>
      <c r="D229" s="306"/>
      <c r="E229" s="306"/>
      <c r="F229" s="306"/>
      <c r="G229" s="306"/>
      <c r="H229" s="306"/>
      <c r="I229" s="306"/>
      <c r="J229" s="306"/>
      <c r="K229" s="306"/>
      <c r="L229" s="306"/>
    </row>
    <row r="230" spans="2:12">
      <c r="B230" s="306"/>
      <c r="C230" s="306"/>
      <c r="D230" s="306"/>
      <c r="E230" s="306"/>
      <c r="F230" s="306"/>
      <c r="G230" s="306"/>
      <c r="H230" s="306"/>
      <c r="I230" s="306"/>
      <c r="J230" s="306"/>
      <c r="K230" s="306"/>
      <c r="L230" s="306"/>
    </row>
    <row r="231" spans="2:12">
      <c r="B231" s="306"/>
      <c r="C231" s="306"/>
      <c r="D231" s="306"/>
      <c r="E231" s="306"/>
      <c r="F231" s="306"/>
      <c r="G231" s="306"/>
      <c r="H231" s="306"/>
      <c r="I231" s="306"/>
      <c r="J231" s="306"/>
      <c r="K231" s="306"/>
      <c r="L231" s="306"/>
    </row>
    <row r="232" spans="2:12">
      <c r="B232" s="306"/>
      <c r="C232" s="306"/>
      <c r="D232" s="306"/>
      <c r="E232" s="306"/>
      <c r="F232" s="306"/>
      <c r="G232" s="306"/>
      <c r="H232" s="306"/>
      <c r="I232" s="306"/>
      <c r="J232" s="306"/>
      <c r="K232" s="306"/>
      <c r="L232" s="306"/>
    </row>
    <row r="233" spans="2:12">
      <c r="B233" s="306"/>
      <c r="C233" s="306"/>
      <c r="D233" s="306"/>
      <c r="E233" s="306"/>
      <c r="F233" s="306"/>
      <c r="G233" s="306"/>
      <c r="H233" s="306"/>
      <c r="I233" s="306"/>
      <c r="J233" s="306"/>
      <c r="K233" s="306"/>
      <c r="L233" s="306"/>
    </row>
    <row r="234" spans="2:12">
      <c r="B234" s="306"/>
      <c r="C234" s="306"/>
      <c r="D234" s="306"/>
      <c r="E234" s="306"/>
      <c r="F234" s="306"/>
      <c r="G234" s="306"/>
      <c r="H234" s="306"/>
      <c r="I234" s="306"/>
      <c r="J234" s="306"/>
      <c r="K234" s="306"/>
      <c r="L234" s="306"/>
    </row>
    <row r="235" spans="2:12">
      <c r="B235" s="306"/>
      <c r="C235" s="306"/>
      <c r="D235" s="306"/>
      <c r="E235" s="306"/>
      <c r="F235" s="306"/>
      <c r="G235" s="306"/>
      <c r="H235" s="306"/>
      <c r="I235" s="306"/>
      <c r="J235" s="306"/>
      <c r="K235" s="306"/>
      <c r="L235" s="306"/>
    </row>
    <row r="236" spans="2:12">
      <c r="B236" s="306"/>
      <c r="C236" s="306"/>
      <c r="D236" s="306"/>
      <c r="E236" s="306"/>
      <c r="F236" s="306"/>
      <c r="G236" s="306"/>
      <c r="H236" s="306"/>
      <c r="I236" s="306"/>
      <c r="J236" s="306"/>
      <c r="K236" s="306"/>
      <c r="L236" s="306"/>
    </row>
    <row r="237" spans="2:12">
      <c r="B237" s="306"/>
      <c r="C237" s="306"/>
      <c r="D237" s="306"/>
      <c r="E237" s="306"/>
      <c r="F237" s="306"/>
      <c r="G237" s="306"/>
      <c r="H237" s="306"/>
      <c r="I237" s="306"/>
      <c r="J237" s="306"/>
      <c r="K237" s="306"/>
      <c r="L237" s="306"/>
    </row>
    <row r="238" spans="2:12">
      <c r="B238" s="306"/>
      <c r="C238" s="306"/>
      <c r="D238" s="306"/>
      <c r="E238" s="306"/>
      <c r="F238" s="306"/>
      <c r="G238" s="306"/>
      <c r="H238" s="306"/>
      <c r="I238" s="306"/>
      <c r="J238" s="306"/>
      <c r="K238" s="306"/>
      <c r="L238" s="306"/>
    </row>
    <row r="239" spans="2:12">
      <c r="B239" s="306"/>
      <c r="C239" s="306"/>
      <c r="D239" s="306"/>
      <c r="E239" s="306"/>
      <c r="F239" s="306"/>
      <c r="G239" s="306"/>
      <c r="H239" s="306"/>
      <c r="I239" s="306"/>
      <c r="J239" s="306"/>
      <c r="K239" s="306"/>
      <c r="L239" s="306"/>
    </row>
    <row r="240" spans="2:12">
      <c r="B240" s="306"/>
      <c r="C240" s="306"/>
      <c r="D240" s="306"/>
      <c r="E240" s="306"/>
      <c r="F240" s="306"/>
      <c r="G240" s="306"/>
      <c r="H240" s="306"/>
      <c r="I240" s="306"/>
      <c r="J240" s="306"/>
      <c r="K240" s="306"/>
      <c r="L240" s="306"/>
    </row>
    <row r="241" spans="2:12">
      <c r="B241" s="306"/>
      <c r="C241" s="306"/>
      <c r="D241" s="306"/>
      <c r="E241" s="306"/>
      <c r="F241" s="306"/>
      <c r="G241" s="306"/>
      <c r="H241" s="306"/>
      <c r="I241" s="306"/>
      <c r="J241" s="306"/>
      <c r="K241" s="306"/>
      <c r="L241" s="306"/>
    </row>
    <row r="242" spans="2:12">
      <c r="B242" s="306"/>
      <c r="C242" s="306"/>
      <c r="D242" s="306"/>
      <c r="E242" s="306"/>
      <c r="F242" s="306"/>
      <c r="G242" s="306"/>
      <c r="H242" s="306"/>
      <c r="I242" s="306"/>
      <c r="J242" s="306"/>
      <c r="K242" s="306"/>
      <c r="L242" s="306"/>
    </row>
    <row r="243" spans="2:12">
      <c r="B243" s="306"/>
      <c r="C243" s="306"/>
      <c r="D243" s="306"/>
      <c r="E243" s="306"/>
      <c r="F243" s="306"/>
      <c r="G243" s="306"/>
      <c r="H243" s="306"/>
      <c r="I243" s="306"/>
      <c r="J243" s="306"/>
      <c r="K243" s="306"/>
      <c r="L243" s="306"/>
    </row>
    <row r="244" spans="2:12">
      <c r="B244" s="306"/>
      <c r="C244" s="306"/>
      <c r="D244" s="306"/>
      <c r="E244" s="306"/>
      <c r="F244" s="306"/>
      <c r="G244" s="306"/>
      <c r="H244" s="306"/>
      <c r="I244" s="306"/>
      <c r="J244" s="306"/>
      <c r="K244" s="306"/>
      <c r="L244" s="306"/>
    </row>
    <row r="245" spans="2:12">
      <c r="B245" s="306"/>
      <c r="C245" s="306"/>
      <c r="D245" s="306"/>
      <c r="E245" s="306"/>
      <c r="F245" s="306"/>
      <c r="G245" s="306"/>
      <c r="H245" s="306"/>
      <c r="I245" s="306"/>
      <c r="J245" s="306"/>
      <c r="K245" s="306"/>
      <c r="L245" s="306"/>
    </row>
    <row r="246" spans="2:12">
      <c r="B246" s="306"/>
      <c r="C246" s="306"/>
      <c r="D246" s="306"/>
      <c r="E246" s="306"/>
      <c r="F246" s="306"/>
      <c r="G246" s="306"/>
      <c r="H246" s="306"/>
      <c r="I246" s="306"/>
      <c r="J246" s="306"/>
      <c r="K246" s="306"/>
      <c r="L246" s="306"/>
    </row>
    <row r="247" spans="2:12">
      <c r="B247" s="306"/>
      <c r="C247" s="306"/>
      <c r="D247" s="306"/>
      <c r="E247" s="306"/>
      <c r="F247" s="306"/>
      <c r="G247" s="306"/>
      <c r="H247" s="306"/>
      <c r="I247" s="306"/>
      <c r="J247" s="306"/>
      <c r="K247" s="306"/>
      <c r="L247" s="306"/>
    </row>
    <row r="248" spans="2:12">
      <c r="B248" s="306"/>
      <c r="C248" s="306"/>
      <c r="D248" s="306"/>
      <c r="E248" s="306"/>
      <c r="F248" s="306"/>
      <c r="G248" s="306"/>
      <c r="H248" s="306"/>
      <c r="I248" s="306"/>
      <c r="J248" s="306"/>
      <c r="K248" s="306"/>
      <c r="L248" s="306"/>
    </row>
    <row r="249" spans="2:12">
      <c r="B249" s="306"/>
      <c r="C249" s="306"/>
      <c r="D249" s="306"/>
      <c r="E249" s="306"/>
      <c r="F249" s="306"/>
      <c r="G249" s="306"/>
      <c r="H249" s="306"/>
      <c r="I249" s="306"/>
      <c r="J249" s="306"/>
      <c r="K249" s="306"/>
      <c r="L249" s="306"/>
    </row>
  </sheetData>
  <mergeCells count="12">
    <mergeCell ref="A5:A6"/>
    <mergeCell ref="A2:J2"/>
    <mergeCell ref="A4:J4"/>
    <mergeCell ref="A14:J14"/>
    <mergeCell ref="A12:J12"/>
    <mergeCell ref="A54:J54"/>
    <mergeCell ref="A55:J55"/>
    <mergeCell ref="A34:C34"/>
    <mergeCell ref="A16:D16"/>
    <mergeCell ref="E16:J16"/>
    <mergeCell ref="A37:J37"/>
    <mergeCell ref="E34:J34"/>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R31" sqref="R31"/>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61" t="s">
        <v>0</v>
      </c>
      <c r="B3" s="861"/>
      <c r="C3" s="861"/>
      <c r="D3" s="861"/>
      <c r="E3" s="861"/>
      <c r="F3" s="861"/>
      <c r="G3" s="861"/>
      <c r="H3" s="861"/>
      <c r="I3" s="861"/>
      <c r="J3" s="861"/>
      <c r="K3" s="861"/>
      <c r="L3" s="861"/>
    </row>
    <row r="4" spans="1:16">
      <c r="A4" s="861"/>
      <c r="B4" s="861"/>
      <c r="C4" s="861"/>
      <c r="D4" s="861"/>
      <c r="E4" s="861"/>
      <c r="F4" s="861"/>
      <c r="G4" s="861"/>
      <c r="H4" s="861"/>
      <c r="I4" s="861"/>
      <c r="J4" s="861"/>
      <c r="K4" s="861"/>
      <c r="L4" s="861"/>
    </row>
    <row r="5" spans="1:16" ht="12">
      <c r="A5" s="46"/>
      <c r="B5" s="307"/>
      <c r="C5" s="4"/>
      <c r="D5" s="4"/>
      <c r="E5" s="47"/>
      <c r="F5" s="4"/>
      <c r="G5" s="4"/>
      <c r="H5" s="4"/>
      <c r="I5" s="4"/>
      <c r="J5" s="4"/>
      <c r="K5" s="4"/>
      <c r="L5" s="10" t="s">
        <v>1</v>
      </c>
    </row>
    <row r="6" spans="1:16" ht="12">
      <c r="A6" s="46"/>
      <c r="B6" s="307"/>
      <c r="C6" s="4"/>
      <c r="D6" s="4"/>
      <c r="E6" s="47"/>
      <c r="F6" s="4"/>
      <c r="G6" s="4"/>
      <c r="H6" s="4"/>
      <c r="I6" s="4"/>
      <c r="J6" s="4"/>
      <c r="K6" s="4"/>
      <c r="L6" s="7"/>
    </row>
    <row r="7" spans="1:16" ht="19.5" customHeight="1">
      <c r="A7" s="27" t="s">
        <v>517</v>
      </c>
      <c r="B7" s="308"/>
      <c r="C7" s="32"/>
      <c r="D7" s="32"/>
      <c r="E7" s="32"/>
      <c r="F7" s="32"/>
      <c r="G7" s="32"/>
      <c r="H7" s="32"/>
      <c r="I7" s="32"/>
      <c r="J7" s="32"/>
      <c r="K7" s="32"/>
      <c r="L7" s="32"/>
    </row>
    <row r="8" spans="1:16" ht="17.25" customHeight="1">
      <c r="A8" s="309"/>
      <c r="B8" s="32" t="s">
        <v>629</v>
      </c>
      <c r="C8" s="30"/>
      <c r="D8" s="30"/>
      <c r="E8" s="30"/>
      <c r="F8" s="30"/>
      <c r="G8" s="30"/>
      <c r="H8" s="30"/>
      <c r="I8" s="30"/>
      <c r="J8" s="28"/>
      <c r="K8" s="28"/>
      <c r="L8" s="31">
        <v>1</v>
      </c>
    </row>
    <row r="9" spans="1:16" ht="9.75" customHeight="1">
      <c r="A9" s="309"/>
      <c r="B9" s="32"/>
      <c r="C9" s="30"/>
      <c r="D9" s="30"/>
      <c r="E9" s="30"/>
      <c r="F9" s="30"/>
      <c r="G9" s="30"/>
      <c r="H9" s="30"/>
      <c r="I9" s="30"/>
      <c r="J9" s="30"/>
      <c r="K9" s="30"/>
      <c r="L9" s="31"/>
    </row>
    <row r="10" spans="1:16" ht="19.5" customHeight="1">
      <c r="A10" s="27" t="s">
        <v>480</v>
      </c>
      <c r="B10" s="310"/>
      <c r="C10" s="32"/>
      <c r="D10" s="32"/>
      <c r="E10" s="32"/>
      <c r="F10" s="32"/>
      <c r="G10" s="32"/>
      <c r="H10" s="32"/>
      <c r="I10" s="32"/>
      <c r="J10" s="32"/>
      <c r="K10" s="32"/>
      <c r="L10" s="34"/>
    </row>
    <row r="11" spans="1:16" ht="19.5" customHeight="1">
      <c r="A11" s="35"/>
      <c r="B11" s="32" t="s">
        <v>252</v>
      </c>
      <c r="C11" s="32"/>
      <c r="D11" s="32"/>
      <c r="E11" s="32"/>
      <c r="F11" s="28"/>
      <c r="G11" s="28"/>
      <c r="H11" s="28"/>
      <c r="I11" s="28"/>
      <c r="J11" s="28"/>
      <c r="K11" s="28"/>
      <c r="L11" s="29" t="s">
        <v>2</v>
      </c>
    </row>
    <row r="12" spans="1:16" ht="19.5" customHeight="1">
      <c r="A12" s="35"/>
      <c r="B12" s="37" t="s">
        <v>492</v>
      </c>
      <c r="C12" s="32"/>
      <c r="D12" s="32"/>
      <c r="E12" s="28"/>
      <c r="F12" s="28"/>
      <c r="G12" s="28"/>
      <c r="H12" s="28"/>
      <c r="I12" s="28"/>
      <c r="J12" s="28"/>
      <c r="K12" s="28"/>
      <c r="L12" s="29" t="s">
        <v>2</v>
      </c>
    </row>
    <row r="13" spans="1:16" ht="10.5" customHeight="1">
      <c r="A13" s="309"/>
      <c r="B13" s="30"/>
      <c r="C13" s="30"/>
      <c r="D13" s="30"/>
      <c r="E13" s="30"/>
      <c r="F13" s="30"/>
      <c r="G13" s="30"/>
      <c r="H13" s="30"/>
      <c r="I13" s="30"/>
      <c r="J13" s="30"/>
      <c r="K13" s="30"/>
      <c r="L13" s="31"/>
    </row>
    <row r="14" spans="1:16" ht="19.5" customHeight="1">
      <c r="A14" s="27" t="s">
        <v>507</v>
      </c>
      <c r="B14" s="37"/>
      <c r="C14" s="32"/>
      <c r="D14" s="32"/>
      <c r="E14" s="32"/>
      <c r="F14" s="32"/>
      <c r="G14" s="32"/>
      <c r="H14" s="32"/>
      <c r="I14" s="32"/>
      <c r="J14" s="32"/>
      <c r="K14" s="32"/>
      <c r="L14" s="34"/>
    </row>
    <row r="15" spans="1:16" ht="19.5" customHeight="1">
      <c r="A15" s="35"/>
      <c r="B15" s="32" t="s">
        <v>481</v>
      </c>
      <c r="C15" s="32"/>
      <c r="D15" s="32"/>
      <c r="E15" s="32"/>
      <c r="F15" s="28"/>
      <c r="G15" s="28"/>
      <c r="H15" s="28"/>
      <c r="I15" s="28"/>
      <c r="J15" s="28"/>
      <c r="K15" s="28"/>
      <c r="L15" s="29" t="s">
        <v>3</v>
      </c>
    </row>
    <row r="16" spans="1:16" ht="19.5" customHeight="1">
      <c r="A16" s="35"/>
      <c r="B16" s="37" t="s">
        <v>490</v>
      </c>
      <c r="C16" s="32"/>
      <c r="D16" s="32"/>
      <c r="E16" s="32"/>
      <c r="F16" s="32"/>
      <c r="G16" s="28"/>
      <c r="H16" s="28"/>
      <c r="I16" s="28"/>
      <c r="J16" s="28"/>
      <c r="K16" s="28"/>
      <c r="L16" s="29" t="s">
        <v>4</v>
      </c>
    </row>
    <row r="17" spans="1:12" ht="19.5" customHeight="1">
      <c r="A17" s="35"/>
      <c r="B17" s="37" t="s">
        <v>482</v>
      </c>
      <c r="C17" s="32"/>
      <c r="D17" s="32"/>
      <c r="E17" s="32"/>
      <c r="F17" s="32"/>
      <c r="G17" s="28"/>
      <c r="H17" s="28"/>
      <c r="I17" s="28"/>
      <c r="J17" s="28"/>
      <c r="K17" s="28"/>
      <c r="L17" s="29" t="s">
        <v>5</v>
      </c>
    </row>
    <row r="18" spans="1:12" ht="19.5" customHeight="1">
      <c r="A18" s="35"/>
      <c r="B18" s="37" t="s">
        <v>483</v>
      </c>
      <c r="C18" s="32"/>
      <c r="D18" s="32"/>
      <c r="E18" s="32"/>
      <c r="F18" s="28"/>
      <c r="G18" s="28"/>
      <c r="H18" s="28"/>
      <c r="I18" s="28"/>
      <c r="J18" s="28"/>
      <c r="K18" s="28"/>
      <c r="L18" s="29" t="s">
        <v>6</v>
      </c>
    </row>
    <row r="19" spans="1:12" ht="19.5" customHeight="1">
      <c r="A19" s="35"/>
      <c r="B19" s="311" t="s">
        <v>484</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506</v>
      </c>
      <c r="B21" s="309"/>
      <c r="C21" s="37"/>
      <c r="D21" s="32"/>
      <c r="E21" s="32"/>
      <c r="F21" s="32"/>
      <c r="G21" s="32"/>
      <c r="H21" s="32"/>
      <c r="I21" s="32"/>
      <c r="J21" s="32"/>
      <c r="K21" s="32"/>
      <c r="L21" s="39"/>
    </row>
    <row r="22" spans="1:12" ht="19.5" customHeight="1">
      <c r="A22" s="309"/>
      <c r="B22" s="32" t="s">
        <v>508</v>
      </c>
      <c r="C22" s="32"/>
      <c r="D22" s="32"/>
      <c r="E22" s="32"/>
      <c r="F22" s="32"/>
      <c r="G22" s="28"/>
      <c r="H22" s="28"/>
      <c r="I22" s="28"/>
      <c r="J22" s="28"/>
      <c r="K22" s="28"/>
      <c r="L22" s="29" t="s">
        <v>9</v>
      </c>
    </row>
    <row r="23" spans="1:12" ht="19.5" customHeight="1">
      <c r="A23" s="40"/>
      <c r="B23" s="32" t="s">
        <v>509</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290</v>
      </c>
      <c r="B25" s="309"/>
      <c r="C25" s="37"/>
      <c r="D25" s="32"/>
      <c r="E25" s="32"/>
      <c r="F25" s="32"/>
      <c r="G25" s="32"/>
      <c r="H25" s="32"/>
      <c r="I25" s="32"/>
      <c r="J25" s="32"/>
      <c r="K25" s="32"/>
      <c r="L25" s="39"/>
    </row>
    <row r="26" spans="1:12" ht="19.5" customHeight="1">
      <c r="A26" s="309"/>
      <c r="B26" s="32" t="s">
        <v>511</v>
      </c>
      <c r="C26" s="32"/>
      <c r="D26" s="32"/>
      <c r="E26" s="32"/>
      <c r="F26" s="28"/>
      <c r="G26" s="28"/>
      <c r="H26" s="28"/>
      <c r="I26" s="28"/>
      <c r="J26" s="28"/>
      <c r="K26" s="42"/>
      <c r="L26" s="29" t="s">
        <v>11</v>
      </c>
    </row>
    <row r="27" spans="1:12" ht="19.5" customHeight="1">
      <c r="A27" s="309"/>
      <c r="B27" s="32" t="s">
        <v>485</v>
      </c>
      <c r="C27" s="32"/>
      <c r="D27" s="32"/>
      <c r="E27" s="32"/>
      <c r="F27" s="32"/>
      <c r="G27" s="28"/>
      <c r="H27" s="28"/>
      <c r="I27" s="28"/>
      <c r="J27" s="28"/>
      <c r="K27" s="42"/>
      <c r="L27" s="29" t="s">
        <v>11</v>
      </c>
    </row>
    <row r="28" spans="1:12" ht="19.5" customHeight="1">
      <c r="A28" s="40"/>
      <c r="B28" s="32" t="s">
        <v>510</v>
      </c>
      <c r="C28" s="32"/>
      <c r="D28" s="32"/>
      <c r="E28" s="32"/>
      <c r="F28" s="28"/>
      <c r="G28" s="28"/>
      <c r="H28" s="42"/>
      <c r="I28" s="42"/>
      <c r="J28" s="42"/>
      <c r="K28" s="42"/>
      <c r="L28" s="29" t="s">
        <v>12</v>
      </c>
    </row>
    <row r="29" spans="1:12" ht="19.5" customHeight="1">
      <c r="A29" s="40"/>
      <c r="B29" s="32" t="s">
        <v>491</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498</v>
      </c>
      <c r="B31" s="32"/>
      <c r="C31" s="32"/>
      <c r="D31" s="32"/>
      <c r="E31" s="32"/>
      <c r="F31" s="32"/>
      <c r="G31" s="32"/>
      <c r="H31" s="32"/>
      <c r="I31" s="32"/>
      <c r="J31" s="32"/>
      <c r="K31" s="32"/>
      <c r="L31" s="29"/>
    </row>
    <row r="32" spans="1:12" ht="19.5" customHeight="1">
      <c r="A32" s="40"/>
      <c r="B32" s="32" t="s">
        <v>512</v>
      </c>
      <c r="C32" s="32"/>
      <c r="D32" s="32"/>
      <c r="E32" s="32"/>
      <c r="F32" s="32"/>
      <c r="G32" s="28"/>
      <c r="H32" s="28"/>
      <c r="I32" s="28"/>
      <c r="J32" s="28"/>
      <c r="K32" s="28"/>
      <c r="L32" s="29" t="s">
        <v>13</v>
      </c>
    </row>
    <row r="33" spans="1:12" ht="19.5" customHeight="1">
      <c r="A33" s="40"/>
      <c r="B33" s="32" t="s">
        <v>486</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487</v>
      </c>
      <c r="B35" s="33"/>
      <c r="C35" s="41"/>
      <c r="D35" s="33"/>
      <c r="E35" s="33"/>
      <c r="F35" s="33"/>
      <c r="G35" s="33"/>
      <c r="H35" s="33"/>
      <c r="I35" s="33"/>
      <c r="J35" s="33"/>
      <c r="K35" s="33"/>
      <c r="L35" s="29"/>
    </row>
    <row r="36" spans="1:12" ht="19.5" customHeight="1">
      <c r="A36" s="35"/>
      <c r="B36" s="32" t="s">
        <v>513</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488</v>
      </c>
      <c r="B38" s="44"/>
      <c r="C38" s="32"/>
      <c r="D38" s="32"/>
      <c r="E38" s="32"/>
      <c r="F38" s="32"/>
      <c r="G38" s="32"/>
      <c r="H38" s="32"/>
      <c r="I38" s="32"/>
      <c r="J38" s="32"/>
      <c r="K38" s="32"/>
      <c r="L38" s="48"/>
    </row>
    <row r="39" spans="1:12" ht="19.5" customHeight="1">
      <c r="A39" s="35"/>
      <c r="B39" s="32" t="s">
        <v>489</v>
      </c>
      <c r="C39" s="32"/>
      <c r="D39" s="32"/>
      <c r="E39" s="32"/>
      <c r="F39" s="32"/>
      <c r="G39" s="32"/>
      <c r="H39" s="28"/>
      <c r="I39" s="28"/>
      <c r="J39" s="28"/>
      <c r="K39" s="28"/>
      <c r="L39" s="29" t="s">
        <v>16</v>
      </c>
    </row>
    <row r="40" spans="1:12" ht="10.5" customHeight="1">
      <c r="A40" s="309"/>
      <c r="B40" s="32"/>
      <c r="C40" s="32"/>
      <c r="D40" s="32"/>
      <c r="E40" s="32"/>
      <c r="F40" s="32"/>
      <c r="G40" s="32"/>
      <c r="H40" s="32"/>
      <c r="I40" s="32"/>
      <c r="J40" s="32"/>
      <c r="K40" s="32"/>
      <c r="L40" s="29"/>
    </row>
    <row r="41" spans="1:12" ht="19.5" customHeight="1">
      <c r="A41" s="27" t="s">
        <v>227</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514</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61"/>
  <sheetViews>
    <sheetView showGridLines="0" view="pageBreakPreview" zoomScale="145" zoomScaleNormal="100" zoomScaleSheetLayoutView="145" zoomScalePageLayoutView="145" workbookViewId="0">
      <selection activeCell="R31" sqref="R31"/>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445" t="s">
        <v>317</v>
      </c>
      <c r="B1" s="430"/>
      <c r="C1" s="430"/>
      <c r="D1" s="430"/>
      <c r="E1" s="430"/>
      <c r="F1" s="430"/>
      <c r="G1" s="430"/>
    </row>
    <row r="2" spans="1:12" ht="14.25" customHeight="1">
      <c r="A2" s="961" t="s">
        <v>287</v>
      </c>
      <c r="B2" s="964" t="s">
        <v>57</v>
      </c>
      <c r="C2" s="967" t="str">
        <f>"ENERGÍA PRODUCIDA "&amp;UPPER('1. Resumen'!Q4)&amp;" "&amp;'1. Resumen'!Q5</f>
        <v>ENERGÍA PRODUCIDA JUNIO 2018</v>
      </c>
      <c r="D2" s="967"/>
      <c r="E2" s="967"/>
      <c r="F2" s="967"/>
      <c r="G2" s="446" t="s">
        <v>318</v>
      </c>
      <c r="H2" s="279"/>
      <c r="I2" s="279"/>
      <c r="J2" s="279"/>
      <c r="K2" s="279"/>
    </row>
    <row r="3" spans="1:12" ht="11.25" customHeight="1">
      <c r="A3" s="962"/>
      <c r="B3" s="965"/>
      <c r="C3" s="968" t="s">
        <v>319</v>
      </c>
      <c r="D3" s="968"/>
      <c r="E3" s="968"/>
      <c r="F3" s="969" t="str">
        <f>"TOTAL 
"&amp;UPPER('1. Resumen'!Q4)</f>
        <v>TOTAL 
JUNIO</v>
      </c>
      <c r="G3" s="447" t="s">
        <v>320</v>
      </c>
      <c r="H3" s="268"/>
      <c r="I3" s="268"/>
      <c r="J3" s="268"/>
      <c r="K3" s="268"/>
      <c r="L3" s="269"/>
    </row>
    <row r="4" spans="1:12" ht="12.75" customHeight="1">
      <c r="A4" s="962"/>
      <c r="B4" s="965"/>
      <c r="C4" s="431" t="s">
        <v>241</v>
      </c>
      <c r="D4" s="431" t="s">
        <v>242</v>
      </c>
      <c r="E4" s="431" t="s">
        <v>321</v>
      </c>
      <c r="F4" s="970"/>
      <c r="G4" s="447">
        <v>2018</v>
      </c>
      <c r="H4" s="271"/>
      <c r="I4" s="270"/>
      <c r="J4" s="270"/>
      <c r="K4" s="270"/>
      <c r="L4" s="269"/>
    </row>
    <row r="5" spans="1:12" ht="11.25" customHeight="1">
      <c r="A5" s="963"/>
      <c r="B5" s="966"/>
      <c r="C5" s="448" t="s">
        <v>322</v>
      </c>
      <c r="D5" s="448" t="s">
        <v>322</v>
      </c>
      <c r="E5" s="448" t="s">
        <v>322</v>
      </c>
      <c r="F5" s="448" t="s">
        <v>322</v>
      </c>
      <c r="G5" s="449" t="s">
        <v>224</v>
      </c>
      <c r="H5" s="271"/>
      <c r="I5" s="271"/>
      <c r="J5" s="271"/>
      <c r="K5" s="271"/>
      <c r="L5" s="12"/>
    </row>
    <row r="6" spans="1:12" ht="11.25" customHeight="1">
      <c r="A6" s="440" t="s">
        <v>128</v>
      </c>
      <c r="B6" s="432" t="s">
        <v>92</v>
      </c>
      <c r="C6" s="647"/>
      <c r="D6" s="647"/>
      <c r="E6" s="647">
        <v>0</v>
      </c>
      <c r="F6" s="433">
        <v>0</v>
      </c>
      <c r="G6" s="434">
        <v>0</v>
      </c>
      <c r="H6" s="271"/>
      <c r="I6" s="271"/>
      <c r="J6" s="271"/>
      <c r="K6" s="271"/>
      <c r="L6" s="7"/>
    </row>
    <row r="7" spans="1:12" ht="11.25" customHeight="1">
      <c r="A7" s="441" t="s">
        <v>323</v>
      </c>
      <c r="B7" s="442"/>
      <c r="C7" s="648"/>
      <c r="D7" s="648"/>
      <c r="E7" s="648">
        <v>0</v>
      </c>
      <c r="F7" s="443">
        <v>0</v>
      </c>
      <c r="G7" s="444">
        <v>0</v>
      </c>
      <c r="H7" s="271"/>
      <c r="I7" s="271"/>
      <c r="J7" s="271"/>
      <c r="K7" s="271"/>
      <c r="L7" s="20"/>
    </row>
    <row r="8" spans="1:12" ht="11.25" customHeight="1">
      <c r="A8" s="435" t="s">
        <v>127</v>
      </c>
      <c r="B8" s="436" t="s">
        <v>67</v>
      </c>
      <c r="C8" s="649"/>
      <c r="D8" s="649"/>
      <c r="E8" s="649">
        <v>8026.5881675000001</v>
      </c>
      <c r="F8" s="437">
        <v>8026.5881675000001</v>
      </c>
      <c r="G8" s="438">
        <v>64224.088557500007</v>
      </c>
      <c r="H8" s="271"/>
      <c r="I8" s="271"/>
      <c r="J8" s="271"/>
      <c r="K8" s="271"/>
      <c r="L8" s="16"/>
    </row>
    <row r="9" spans="1:12" ht="11.25" customHeight="1">
      <c r="A9" s="441" t="s">
        <v>324</v>
      </c>
      <c r="B9" s="442"/>
      <c r="C9" s="648"/>
      <c r="D9" s="648"/>
      <c r="E9" s="648">
        <v>8026.5881675000001</v>
      </c>
      <c r="F9" s="443">
        <v>8026.5881675000001</v>
      </c>
      <c r="G9" s="444">
        <v>64224.088557500007</v>
      </c>
      <c r="H9" s="271"/>
      <c r="I9" s="271"/>
      <c r="J9" s="271"/>
      <c r="K9" s="272"/>
      <c r="L9" s="29"/>
    </row>
    <row r="10" spans="1:12" ht="11.25" customHeight="1">
      <c r="A10" s="435" t="s">
        <v>112</v>
      </c>
      <c r="B10" s="436" t="s">
        <v>89</v>
      </c>
      <c r="C10" s="649"/>
      <c r="D10" s="649"/>
      <c r="E10" s="649">
        <v>7049.7050225000003</v>
      </c>
      <c r="F10" s="437">
        <v>7049.7050225000003</v>
      </c>
      <c r="G10" s="438">
        <v>42383.671962499997</v>
      </c>
      <c r="H10" s="271"/>
      <c r="I10" s="271"/>
      <c r="J10" s="271"/>
      <c r="K10" s="272"/>
      <c r="L10" s="29"/>
    </row>
    <row r="11" spans="1:12" ht="11.25" customHeight="1">
      <c r="A11" s="441" t="s">
        <v>325</v>
      </c>
      <c r="B11" s="442"/>
      <c r="C11" s="648"/>
      <c r="D11" s="648"/>
      <c r="E11" s="648">
        <v>7049.7050225000003</v>
      </c>
      <c r="F11" s="443">
        <v>7049.7050225000003</v>
      </c>
      <c r="G11" s="444">
        <v>42383.671962499997</v>
      </c>
      <c r="H11" s="271"/>
      <c r="I11" s="271"/>
      <c r="J11" s="271"/>
      <c r="K11" s="272"/>
      <c r="L11" s="29"/>
    </row>
    <row r="12" spans="1:12" ht="11.25" customHeight="1">
      <c r="A12" s="435" t="s">
        <v>100</v>
      </c>
      <c r="B12" s="436" t="s">
        <v>326</v>
      </c>
      <c r="C12" s="649">
        <v>68740.639257500006</v>
      </c>
      <c r="D12" s="649"/>
      <c r="E12" s="649"/>
      <c r="F12" s="437">
        <v>68740.639257500006</v>
      </c>
      <c r="G12" s="438">
        <v>776955.54325500003</v>
      </c>
      <c r="H12" s="271"/>
      <c r="I12" s="271"/>
      <c r="J12" s="271"/>
      <c r="K12" s="272"/>
      <c r="L12" s="29"/>
    </row>
    <row r="13" spans="1:12" ht="11.25" customHeight="1">
      <c r="A13" s="441" t="s">
        <v>327</v>
      </c>
      <c r="B13" s="442"/>
      <c r="C13" s="648">
        <v>68740.639257500006</v>
      </c>
      <c r="D13" s="648"/>
      <c r="E13" s="648"/>
      <c r="F13" s="443">
        <v>68740.639257500006</v>
      </c>
      <c r="G13" s="444">
        <v>776955.54325500003</v>
      </c>
      <c r="H13" s="271"/>
      <c r="I13" s="271"/>
      <c r="J13" s="271"/>
      <c r="K13" s="272"/>
      <c r="L13" s="31"/>
    </row>
    <row r="14" spans="1:12" ht="11.25" customHeight="1">
      <c r="A14" s="439" t="s">
        <v>270</v>
      </c>
      <c r="B14" s="436" t="s">
        <v>328</v>
      </c>
      <c r="C14" s="649"/>
      <c r="D14" s="649">
        <v>0</v>
      </c>
      <c r="E14" s="649"/>
      <c r="F14" s="437">
        <v>0</v>
      </c>
      <c r="G14" s="438">
        <v>424.5852625</v>
      </c>
      <c r="H14" s="271"/>
      <c r="I14" s="271"/>
      <c r="J14" s="271"/>
      <c r="K14" s="272"/>
      <c r="L14" s="29"/>
    </row>
    <row r="15" spans="1:12" ht="11.25" customHeight="1">
      <c r="A15" s="441" t="s">
        <v>329</v>
      </c>
      <c r="B15" s="442"/>
      <c r="C15" s="648"/>
      <c r="D15" s="648">
        <v>0</v>
      </c>
      <c r="E15" s="648"/>
      <c r="F15" s="443">
        <v>0</v>
      </c>
      <c r="G15" s="444">
        <v>424.5852625</v>
      </c>
      <c r="H15" s="271"/>
      <c r="I15" s="271"/>
      <c r="J15" s="271"/>
      <c r="K15" s="272"/>
      <c r="L15" s="29"/>
    </row>
    <row r="16" spans="1:12" ht="11.25" customHeight="1">
      <c r="A16" s="439" t="s">
        <v>99</v>
      </c>
      <c r="B16" s="436" t="s">
        <v>330</v>
      </c>
      <c r="C16" s="649">
        <v>67679.088997500003</v>
      </c>
      <c r="D16" s="649"/>
      <c r="E16" s="649"/>
      <c r="F16" s="437">
        <v>67679.088997500003</v>
      </c>
      <c r="G16" s="438">
        <v>549344.06854250003</v>
      </c>
      <c r="H16" s="271"/>
      <c r="I16" s="271"/>
      <c r="J16" s="271"/>
      <c r="K16" s="272"/>
      <c r="L16" s="29"/>
    </row>
    <row r="17" spans="1:12" ht="11.25" customHeight="1">
      <c r="A17" s="439"/>
      <c r="B17" s="436" t="s">
        <v>331</v>
      </c>
      <c r="C17" s="649">
        <v>20939.2372025</v>
      </c>
      <c r="D17" s="649"/>
      <c r="E17" s="649"/>
      <c r="F17" s="437">
        <v>20939.2372025</v>
      </c>
      <c r="G17" s="438">
        <v>159360.97657999999</v>
      </c>
      <c r="H17" s="271"/>
      <c r="I17" s="271"/>
      <c r="J17" s="271"/>
      <c r="K17" s="272"/>
      <c r="L17" s="39"/>
    </row>
    <row r="18" spans="1:12" ht="11.25" customHeight="1">
      <c r="A18" s="441" t="s">
        <v>332</v>
      </c>
      <c r="B18" s="442"/>
      <c r="C18" s="648">
        <v>88618.32620000001</v>
      </c>
      <c r="D18" s="648"/>
      <c r="E18" s="648"/>
      <c r="F18" s="443">
        <v>88618.32620000001</v>
      </c>
      <c r="G18" s="444">
        <v>708705.04512250004</v>
      </c>
      <c r="H18" s="271"/>
      <c r="I18" s="271"/>
      <c r="J18" s="271"/>
      <c r="K18" s="272"/>
      <c r="L18" s="29"/>
    </row>
    <row r="19" spans="1:12" ht="11.25" customHeight="1">
      <c r="A19" s="439" t="s">
        <v>97</v>
      </c>
      <c r="B19" s="436" t="s">
        <v>333</v>
      </c>
      <c r="C19" s="649">
        <v>1206.6492475</v>
      </c>
      <c r="D19" s="649"/>
      <c r="E19" s="649"/>
      <c r="F19" s="437">
        <v>1206.6492475</v>
      </c>
      <c r="G19" s="438">
        <v>6693.1364825000001</v>
      </c>
      <c r="H19" s="271"/>
      <c r="I19" s="271"/>
      <c r="J19" s="271"/>
      <c r="K19" s="271"/>
      <c r="L19" s="22"/>
    </row>
    <row r="20" spans="1:12" ht="11.25" customHeight="1">
      <c r="A20" s="439"/>
      <c r="B20" s="436" t="s">
        <v>334</v>
      </c>
      <c r="C20" s="649">
        <v>407.55330750000007</v>
      </c>
      <c r="D20" s="649"/>
      <c r="E20" s="649"/>
      <c r="F20" s="437">
        <v>407.55330750000007</v>
      </c>
      <c r="G20" s="438">
        <v>2446.6957600000005</v>
      </c>
      <c r="H20" s="271"/>
      <c r="I20" s="271"/>
      <c r="J20" s="271"/>
      <c r="K20" s="271"/>
      <c r="L20" s="20"/>
    </row>
    <row r="21" spans="1:12" ht="11.25" customHeight="1">
      <c r="A21" s="439"/>
      <c r="B21" s="436" t="s">
        <v>640</v>
      </c>
      <c r="C21" s="649">
        <v>3252.8409000000001</v>
      </c>
      <c r="D21" s="649"/>
      <c r="E21" s="649"/>
      <c r="F21" s="437">
        <v>3252.8409000000001</v>
      </c>
      <c r="G21" s="438">
        <v>19440.872485</v>
      </c>
      <c r="H21" s="271"/>
      <c r="I21" s="271"/>
      <c r="J21" s="271"/>
      <c r="K21" s="271"/>
      <c r="L21" s="20"/>
    </row>
    <row r="22" spans="1:12" ht="11.25" customHeight="1">
      <c r="A22" s="439"/>
      <c r="B22" s="436" t="s">
        <v>336</v>
      </c>
      <c r="C22" s="649">
        <v>7221.26235</v>
      </c>
      <c r="D22" s="649"/>
      <c r="E22" s="649"/>
      <c r="F22" s="437">
        <v>7221.26235</v>
      </c>
      <c r="G22" s="438">
        <v>54982.718200000003</v>
      </c>
      <c r="H22" s="271"/>
      <c r="I22" s="271"/>
      <c r="J22" s="271"/>
      <c r="K22" s="272"/>
      <c r="L22" s="29"/>
    </row>
    <row r="23" spans="1:12" ht="11.25" customHeight="1">
      <c r="A23" s="439"/>
      <c r="B23" s="436" t="s">
        <v>337</v>
      </c>
      <c r="C23" s="649">
        <v>49949.567690000003</v>
      </c>
      <c r="D23" s="649"/>
      <c r="E23" s="649"/>
      <c r="F23" s="437">
        <v>49949.567690000003</v>
      </c>
      <c r="G23" s="438">
        <v>389161.24397750001</v>
      </c>
      <c r="H23" s="271"/>
      <c r="I23" s="271"/>
      <c r="J23" s="271"/>
      <c r="K23" s="272"/>
      <c r="L23" s="29"/>
    </row>
    <row r="24" spans="1:12" ht="11.25" customHeight="1">
      <c r="A24" s="439"/>
      <c r="B24" s="436" t="s">
        <v>338</v>
      </c>
      <c r="C24" s="649">
        <v>4997.1142175000004</v>
      </c>
      <c r="D24" s="649"/>
      <c r="E24" s="649"/>
      <c r="F24" s="437">
        <v>4997.1142175000004</v>
      </c>
      <c r="G24" s="438">
        <v>33281.127707499996</v>
      </c>
      <c r="H24" s="271"/>
      <c r="I24" s="271"/>
      <c r="J24" s="271"/>
      <c r="K24" s="272"/>
      <c r="L24" s="29"/>
    </row>
    <row r="25" spans="1:12" ht="11.25" customHeight="1">
      <c r="A25" s="439"/>
      <c r="B25" s="436" t="s">
        <v>339</v>
      </c>
      <c r="C25" s="649"/>
      <c r="D25" s="649">
        <v>0</v>
      </c>
      <c r="E25" s="649"/>
      <c r="F25" s="437">
        <v>0</v>
      </c>
      <c r="G25" s="438">
        <v>584.87037750000002</v>
      </c>
      <c r="H25" s="271"/>
      <c r="I25" s="271"/>
      <c r="J25" s="271"/>
      <c r="K25" s="273"/>
      <c r="L25" s="29"/>
    </row>
    <row r="26" spans="1:12" ht="11.25" customHeight="1">
      <c r="A26" s="439"/>
      <c r="B26" s="436" t="s">
        <v>340</v>
      </c>
      <c r="C26" s="649"/>
      <c r="D26" s="649">
        <v>0</v>
      </c>
      <c r="E26" s="649"/>
      <c r="F26" s="437">
        <v>0</v>
      </c>
      <c r="G26" s="438">
        <v>251.40683750000002</v>
      </c>
      <c r="H26" s="271"/>
      <c r="I26" s="271"/>
      <c r="J26" s="271"/>
      <c r="K26" s="273"/>
      <c r="L26" s="29"/>
    </row>
    <row r="27" spans="1:12" ht="11.25" customHeight="1">
      <c r="A27" s="439"/>
      <c r="B27" s="436" t="s">
        <v>341</v>
      </c>
      <c r="C27" s="649"/>
      <c r="D27" s="649">
        <v>3945.6362125000001</v>
      </c>
      <c r="E27" s="649"/>
      <c r="F27" s="437">
        <v>3945.6362125000001</v>
      </c>
      <c r="G27" s="438">
        <v>58846.534089999994</v>
      </c>
      <c r="H27" s="271"/>
      <c r="I27" s="271"/>
      <c r="J27" s="271"/>
      <c r="K27" s="273"/>
      <c r="L27" s="29"/>
    </row>
    <row r="28" spans="1:12" ht="11.25" customHeight="1">
      <c r="A28" s="441" t="s">
        <v>342</v>
      </c>
      <c r="B28" s="442"/>
      <c r="C28" s="648">
        <v>67034.987712500006</v>
      </c>
      <c r="D28" s="648">
        <v>3945.6362125000001</v>
      </c>
      <c r="E28" s="648"/>
      <c r="F28" s="443">
        <v>70980.623925000007</v>
      </c>
      <c r="G28" s="444">
        <v>565688.60591749998</v>
      </c>
      <c r="H28" s="271"/>
      <c r="I28" s="271"/>
      <c r="J28" s="271"/>
      <c r="K28" s="273"/>
      <c r="L28" s="29"/>
    </row>
    <row r="29" spans="1:12" ht="11.25" customHeight="1">
      <c r="A29" s="439" t="s">
        <v>120</v>
      </c>
      <c r="B29" s="436" t="s">
        <v>74</v>
      </c>
      <c r="C29" s="649"/>
      <c r="D29" s="649"/>
      <c r="E29" s="649">
        <v>2946.9849999999997</v>
      </c>
      <c r="F29" s="437">
        <v>2946.9849999999997</v>
      </c>
      <c r="G29" s="438">
        <v>18949.875749999999</v>
      </c>
      <c r="H29" s="271"/>
      <c r="I29" s="271"/>
      <c r="J29" s="271"/>
      <c r="K29" s="273"/>
      <c r="L29" s="29"/>
    </row>
    <row r="30" spans="1:12" ht="11.25" customHeight="1">
      <c r="A30" s="441" t="s">
        <v>343</v>
      </c>
      <c r="B30" s="442"/>
      <c r="C30" s="648"/>
      <c r="D30" s="648"/>
      <c r="E30" s="648">
        <v>2946.9849999999997</v>
      </c>
      <c r="F30" s="443">
        <v>2946.9849999999997</v>
      </c>
      <c r="G30" s="444">
        <v>18949.875749999999</v>
      </c>
      <c r="H30" s="271"/>
      <c r="I30" s="271"/>
      <c r="J30" s="271"/>
      <c r="K30" s="273"/>
      <c r="L30" s="29"/>
    </row>
    <row r="31" spans="1:12" ht="11.25" customHeight="1">
      <c r="A31" s="439" t="s">
        <v>98</v>
      </c>
      <c r="B31" s="436" t="s">
        <v>344</v>
      </c>
      <c r="C31" s="649">
        <v>106343.85157500001</v>
      </c>
      <c r="D31" s="649"/>
      <c r="E31" s="649"/>
      <c r="F31" s="437">
        <v>106343.85157500001</v>
      </c>
      <c r="G31" s="438">
        <v>693728.74526250002</v>
      </c>
      <c r="H31" s="271"/>
      <c r="I31" s="271"/>
      <c r="J31" s="271"/>
      <c r="K31" s="273"/>
      <c r="L31" s="29"/>
    </row>
    <row r="32" spans="1:12" ht="11.25" customHeight="1">
      <c r="A32" s="441" t="s">
        <v>345</v>
      </c>
      <c r="B32" s="442"/>
      <c r="C32" s="648">
        <v>106343.85157500001</v>
      </c>
      <c r="D32" s="648"/>
      <c r="E32" s="648"/>
      <c r="F32" s="443">
        <v>106343.85157500001</v>
      </c>
      <c r="G32" s="444">
        <v>693728.74526250002</v>
      </c>
      <c r="H32" s="271"/>
      <c r="I32" s="271"/>
      <c r="J32" s="271"/>
      <c r="K32" s="273"/>
      <c r="L32" s="274"/>
    </row>
    <row r="33" spans="1:12" ht="11.25" customHeight="1">
      <c r="A33" s="439" t="s">
        <v>107</v>
      </c>
      <c r="B33" s="436" t="s">
        <v>346</v>
      </c>
      <c r="C33" s="649">
        <v>5385.5324999999993</v>
      </c>
      <c r="D33" s="649"/>
      <c r="E33" s="649"/>
      <c r="F33" s="437">
        <v>5385.5324999999993</v>
      </c>
      <c r="G33" s="438">
        <v>33004.417499999996</v>
      </c>
      <c r="H33" s="271"/>
      <c r="I33" s="271"/>
      <c r="J33" s="271"/>
      <c r="K33" s="273"/>
      <c r="L33" s="29"/>
    </row>
    <row r="34" spans="1:12" ht="11.25" customHeight="1">
      <c r="A34" s="439"/>
      <c r="B34" s="436" t="s">
        <v>347</v>
      </c>
      <c r="C34" s="649">
        <v>3790.5509999999999</v>
      </c>
      <c r="D34" s="649"/>
      <c r="E34" s="649"/>
      <c r="F34" s="437">
        <v>3790.5509999999999</v>
      </c>
      <c r="G34" s="438">
        <v>22364.4188125</v>
      </c>
      <c r="H34" s="271"/>
      <c r="I34" s="271"/>
      <c r="J34" s="271"/>
      <c r="K34" s="273"/>
      <c r="L34" s="29"/>
    </row>
    <row r="35" spans="1:12" ht="11.25" customHeight="1">
      <c r="A35" s="439"/>
      <c r="B35" s="436" t="s">
        <v>348</v>
      </c>
      <c r="C35" s="649"/>
      <c r="D35" s="649">
        <v>14186.849165</v>
      </c>
      <c r="E35" s="649"/>
      <c r="F35" s="437">
        <v>14186.849165</v>
      </c>
      <c r="G35" s="438">
        <v>65748.067842499993</v>
      </c>
      <c r="H35" s="271"/>
      <c r="I35" s="271"/>
      <c r="J35" s="271"/>
      <c r="K35" s="273"/>
      <c r="L35" s="29"/>
    </row>
    <row r="36" spans="1:12" ht="11.25" customHeight="1">
      <c r="A36" s="441" t="s">
        <v>349</v>
      </c>
      <c r="B36" s="442"/>
      <c r="C36" s="648">
        <v>9176.0834999999988</v>
      </c>
      <c r="D36" s="648">
        <v>14186.849165</v>
      </c>
      <c r="E36" s="648"/>
      <c r="F36" s="443">
        <v>23362.932665</v>
      </c>
      <c r="G36" s="444">
        <v>121116.904155</v>
      </c>
      <c r="H36" s="271"/>
      <c r="I36" s="271"/>
      <c r="J36" s="271"/>
      <c r="K36" s="273"/>
      <c r="L36" s="29"/>
    </row>
    <row r="37" spans="1:12" ht="11.25" customHeight="1">
      <c r="A37" s="439" t="s">
        <v>125</v>
      </c>
      <c r="B37" s="436" t="s">
        <v>79</v>
      </c>
      <c r="C37" s="649"/>
      <c r="D37" s="649"/>
      <c r="E37" s="649">
        <v>220.80923250000001</v>
      </c>
      <c r="F37" s="437">
        <v>220.80923250000001</v>
      </c>
      <c r="G37" s="438">
        <v>1441.0709874999998</v>
      </c>
      <c r="H37" s="271"/>
      <c r="I37" s="271"/>
      <c r="J37" s="271"/>
      <c r="K37" s="273"/>
      <c r="L37" s="29"/>
    </row>
    <row r="38" spans="1:12" ht="11.25" customHeight="1">
      <c r="A38" s="441" t="s">
        <v>350</v>
      </c>
      <c r="B38" s="442"/>
      <c r="C38" s="648"/>
      <c r="D38" s="648"/>
      <c r="E38" s="648">
        <v>220.80923250000001</v>
      </c>
      <c r="F38" s="443">
        <v>220.80923250000001</v>
      </c>
      <c r="G38" s="444">
        <v>1441.0709874999998</v>
      </c>
      <c r="H38" s="271"/>
      <c r="I38" s="271"/>
      <c r="J38" s="271"/>
      <c r="K38" s="273"/>
      <c r="L38" s="29"/>
    </row>
    <row r="39" spans="1:12" ht="11.25" customHeight="1">
      <c r="A39" s="439" t="s">
        <v>121</v>
      </c>
      <c r="B39" s="436" t="s">
        <v>77</v>
      </c>
      <c r="C39" s="649"/>
      <c r="D39" s="649"/>
      <c r="E39" s="649">
        <v>1836.1374774999999</v>
      </c>
      <c r="F39" s="437">
        <v>1836.1374774999999</v>
      </c>
      <c r="G39" s="438">
        <v>13995.573574999999</v>
      </c>
      <c r="H39" s="271"/>
      <c r="I39" s="271"/>
      <c r="J39" s="271"/>
      <c r="K39" s="275"/>
      <c r="L39" s="58"/>
    </row>
    <row r="40" spans="1:12" ht="11.25" customHeight="1">
      <c r="A40" s="441" t="s">
        <v>351</v>
      </c>
      <c r="B40" s="442"/>
      <c r="C40" s="648"/>
      <c r="D40" s="648"/>
      <c r="E40" s="648">
        <v>1836.1374774999999</v>
      </c>
      <c r="F40" s="443">
        <v>1836.1374774999999</v>
      </c>
      <c r="G40" s="444">
        <v>13995.573574999999</v>
      </c>
      <c r="H40" s="271"/>
      <c r="I40" s="271"/>
      <c r="J40" s="271"/>
      <c r="K40" s="275"/>
      <c r="L40" s="59"/>
    </row>
    <row r="41" spans="1:12" ht="11.25" customHeight="1">
      <c r="A41" s="439" t="s">
        <v>95</v>
      </c>
      <c r="B41" s="436" t="s">
        <v>352</v>
      </c>
      <c r="C41" s="649">
        <v>452989.30560000002</v>
      </c>
      <c r="D41" s="649"/>
      <c r="E41" s="649"/>
      <c r="F41" s="437">
        <v>452989.30560000002</v>
      </c>
      <c r="G41" s="438">
        <v>2570905.0998</v>
      </c>
      <c r="H41" s="271"/>
      <c r="I41" s="271"/>
      <c r="J41" s="271"/>
      <c r="K41" s="275"/>
      <c r="L41" s="59"/>
    </row>
    <row r="42" spans="1:12" ht="11.25" customHeight="1">
      <c r="A42" s="439"/>
      <c r="B42" s="436" t="s">
        <v>353</v>
      </c>
      <c r="C42" s="649">
        <v>145138.9608</v>
      </c>
      <c r="D42" s="649"/>
      <c r="E42" s="649"/>
      <c r="F42" s="437">
        <v>145138.9608</v>
      </c>
      <c r="G42" s="438">
        <v>801555.15936000005</v>
      </c>
      <c r="H42" s="271"/>
      <c r="I42" s="271"/>
      <c r="J42" s="271"/>
      <c r="K42" s="273"/>
    </row>
    <row r="43" spans="1:12" ht="11.25" customHeight="1">
      <c r="A43" s="439"/>
      <c r="B43" s="436" t="s">
        <v>354</v>
      </c>
      <c r="C43" s="649"/>
      <c r="D43" s="649">
        <v>0</v>
      </c>
      <c r="E43" s="649"/>
      <c r="F43" s="437">
        <v>0</v>
      </c>
      <c r="G43" s="438">
        <v>1423.0004125</v>
      </c>
      <c r="H43" s="271"/>
      <c r="I43" s="271"/>
      <c r="J43" s="271"/>
      <c r="K43" s="273"/>
    </row>
    <row r="44" spans="1:12" ht="12.75">
      <c r="A44" s="441" t="s">
        <v>355</v>
      </c>
      <c r="B44" s="442"/>
      <c r="C44" s="648">
        <v>598128.26640000008</v>
      </c>
      <c r="D44" s="648">
        <v>0</v>
      </c>
      <c r="E44" s="648"/>
      <c r="F44" s="443">
        <v>598128.26640000008</v>
      </c>
      <c r="G44" s="444">
        <v>3373883.2595724999</v>
      </c>
      <c r="H44" s="271"/>
      <c r="I44" s="271"/>
      <c r="J44" s="271"/>
      <c r="K44" s="273"/>
    </row>
    <row r="45" spans="1:12" ht="12.75">
      <c r="A45" s="439" t="s">
        <v>271</v>
      </c>
      <c r="B45" s="436" t="s">
        <v>356</v>
      </c>
      <c r="C45" s="649">
        <v>131375.6162925</v>
      </c>
      <c r="D45" s="649"/>
      <c r="E45" s="649"/>
      <c r="F45" s="437">
        <v>131375.6162925</v>
      </c>
      <c r="G45" s="438">
        <v>1513114.2339300001</v>
      </c>
      <c r="H45" s="271"/>
      <c r="I45" s="271"/>
      <c r="J45" s="271"/>
      <c r="K45" s="273"/>
    </row>
    <row r="46" spans="1:12" ht="12.75">
      <c r="A46" s="439"/>
      <c r="B46" s="436" t="s">
        <v>357</v>
      </c>
      <c r="C46" s="649">
        <v>4762.4712950000003</v>
      </c>
      <c r="D46" s="649"/>
      <c r="E46" s="649"/>
      <c r="F46" s="437">
        <v>4762.4712950000003</v>
      </c>
      <c r="G46" s="438">
        <v>21511.492094999998</v>
      </c>
      <c r="H46" s="271"/>
      <c r="I46" s="271"/>
      <c r="J46" s="271"/>
      <c r="K46" s="273"/>
    </row>
    <row r="47" spans="1:12" ht="12.75">
      <c r="A47" s="441" t="s">
        <v>358</v>
      </c>
      <c r="B47" s="442"/>
      <c r="C47" s="648">
        <v>136138.08758749999</v>
      </c>
      <c r="D47" s="648"/>
      <c r="E47" s="648"/>
      <c r="F47" s="443">
        <v>136138.08758749999</v>
      </c>
      <c r="G47" s="444">
        <v>1534625.7260250002</v>
      </c>
      <c r="H47" s="271"/>
      <c r="I47" s="271"/>
      <c r="J47" s="271"/>
      <c r="K47" s="273"/>
    </row>
    <row r="48" spans="1:12" ht="12.75">
      <c r="A48" s="439" t="s">
        <v>272</v>
      </c>
      <c r="B48" s="436" t="s">
        <v>359</v>
      </c>
      <c r="C48" s="649">
        <v>32194.336284999998</v>
      </c>
      <c r="D48" s="649"/>
      <c r="E48" s="649"/>
      <c r="F48" s="437">
        <v>32194.336284999998</v>
      </c>
      <c r="G48" s="438">
        <v>173939.29233249999</v>
      </c>
      <c r="H48" s="271"/>
      <c r="I48" s="271"/>
      <c r="J48" s="271"/>
      <c r="K48" s="273"/>
    </row>
    <row r="49" spans="1:11">
      <c r="A49" s="441" t="s">
        <v>360</v>
      </c>
      <c r="B49" s="442"/>
      <c r="C49" s="648">
        <v>32194.336284999998</v>
      </c>
      <c r="D49" s="648"/>
      <c r="E49" s="648"/>
      <c r="F49" s="443">
        <v>32194.336284999998</v>
      </c>
      <c r="G49" s="444">
        <v>173939.29233249999</v>
      </c>
      <c r="H49" s="132"/>
      <c r="I49" s="132"/>
      <c r="J49" s="132"/>
      <c r="K49" s="273"/>
    </row>
    <row r="50" spans="1:11">
      <c r="A50" s="439" t="s">
        <v>273</v>
      </c>
      <c r="B50" s="436" t="s">
        <v>64</v>
      </c>
      <c r="C50" s="649"/>
      <c r="D50" s="649"/>
      <c r="E50" s="649">
        <v>4941.3198725000002</v>
      </c>
      <c r="F50" s="437">
        <v>4941.3198725000002</v>
      </c>
      <c r="G50" s="438">
        <v>60387.935615000009</v>
      </c>
      <c r="H50" s="132"/>
      <c r="I50" s="132"/>
      <c r="J50" s="132"/>
      <c r="K50" s="273"/>
    </row>
    <row r="51" spans="1:11">
      <c r="A51" s="439"/>
      <c r="B51" s="436" t="s">
        <v>61</v>
      </c>
      <c r="C51" s="649"/>
      <c r="D51" s="649"/>
      <c r="E51" s="649">
        <v>7253.2329499999996</v>
      </c>
      <c r="F51" s="437">
        <v>7253.2329499999996</v>
      </c>
      <c r="G51" s="438">
        <v>74899.07557999999</v>
      </c>
      <c r="H51" s="132"/>
      <c r="I51" s="132"/>
      <c r="J51" s="132"/>
      <c r="K51" s="273"/>
    </row>
    <row r="52" spans="1:11">
      <c r="A52" s="441" t="s">
        <v>361</v>
      </c>
      <c r="B52" s="442"/>
      <c r="C52" s="648"/>
      <c r="D52" s="648"/>
      <c r="E52" s="648">
        <v>12194.5528225</v>
      </c>
      <c r="F52" s="443">
        <v>12194.5528225</v>
      </c>
      <c r="G52" s="444">
        <v>135287.011195</v>
      </c>
      <c r="H52" s="132"/>
      <c r="I52" s="132"/>
      <c r="J52" s="132"/>
      <c r="K52" s="273"/>
    </row>
    <row r="53" spans="1:11">
      <c r="A53" s="439" t="s">
        <v>94</v>
      </c>
      <c r="B53" s="436" t="s">
        <v>362</v>
      </c>
      <c r="C53" s="649">
        <v>14387.035275</v>
      </c>
      <c r="D53" s="649"/>
      <c r="E53" s="649"/>
      <c r="F53" s="437">
        <v>14387.035275</v>
      </c>
      <c r="G53" s="438">
        <v>108260.778615</v>
      </c>
      <c r="H53" s="132"/>
      <c r="I53" s="132"/>
      <c r="J53" s="132"/>
      <c r="K53" s="273"/>
    </row>
    <row r="54" spans="1:11">
      <c r="A54" s="439"/>
      <c r="B54" s="436" t="s">
        <v>363</v>
      </c>
      <c r="C54" s="649">
        <v>75845.428707500003</v>
      </c>
      <c r="D54" s="649"/>
      <c r="E54" s="649"/>
      <c r="F54" s="437">
        <v>75845.428707500003</v>
      </c>
      <c r="G54" s="438">
        <v>618114.71940499987</v>
      </c>
      <c r="H54" s="272"/>
      <c r="I54" s="272"/>
      <c r="J54" s="272"/>
      <c r="K54" s="273"/>
    </row>
    <row r="55" spans="1:11">
      <c r="A55" s="439"/>
      <c r="B55" s="436" t="s">
        <v>364</v>
      </c>
      <c r="C55" s="649">
        <v>65294.918225000001</v>
      </c>
      <c r="D55" s="649"/>
      <c r="E55" s="649"/>
      <c r="F55" s="437">
        <v>65294.918225000001</v>
      </c>
      <c r="G55" s="438">
        <v>492151.2158675</v>
      </c>
      <c r="H55" s="272"/>
      <c r="I55" s="272"/>
      <c r="J55" s="272"/>
      <c r="K55" s="273"/>
    </row>
    <row r="56" spans="1:11">
      <c r="A56" s="439"/>
      <c r="B56" s="436" t="s">
        <v>365</v>
      </c>
      <c r="C56" s="649">
        <v>30031.88366</v>
      </c>
      <c r="D56" s="649"/>
      <c r="E56" s="649"/>
      <c r="F56" s="437">
        <v>30031.88366</v>
      </c>
      <c r="G56" s="438">
        <v>218212.108985</v>
      </c>
      <c r="H56" s="272"/>
      <c r="I56" s="272"/>
      <c r="J56" s="272"/>
      <c r="K56" s="273"/>
    </row>
    <row r="57" spans="1:11">
      <c r="A57" s="439"/>
      <c r="B57" s="436" t="s">
        <v>366</v>
      </c>
      <c r="C57" s="649"/>
      <c r="D57" s="649">
        <v>41.625345000000003</v>
      </c>
      <c r="E57" s="649"/>
      <c r="F57" s="437">
        <v>41.625345000000003</v>
      </c>
      <c r="G57" s="438">
        <v>49829.303674999996</v>
      </c>
      <c r="H57" s="272"/>
      <c r="I57" s="272"/>
      <c r="J57" s="272"/>
      <c r="K57" s="273"/>
    </row>
    <row r="58" spans="1:11">
      <c r="A58" s="439"/>
      <c r="B58" s="436" t="s">
        <v>367</v>
      </c>
      <c r="C58" s="649"/>
      <c r="D58" s="649">
        <v>109633.06784249999</v>
      </c>
      <c r="E58" s="649"/>
      <c r="F58" s="437">
        <v>109633.06784249999</v>
      </c>
      <c r="G58" s="438">
        <v>393265.89917249995</v>
      </c>
      <c r="H58" s="272"/>
      <c r="I58" s="272"/>
      <c r="J58" s="272"/>
      <c r="K58" s="272"/>
    </row>
    <row r="59" spans="1:11">
      <c r="A59" s="439"/>
      <c r="B59" s="436" t="s">
        <v>368</v>
      </c>
      <c r="C59" s="649"/>
      <c r="D59" s="649">
        <v>249555.01488999999</v>
      </c>
      <c r="E59" s="649"/>
      <c r="F59" s="437">
        <v>249555.01488999999</v>
      </c>
      <c r="G59" s="438">
        <v>1339727.7285099998</v>
      </c>
      <c r="H59" s="272"/>
      <c r="I59" s="272"/>
      <c r="J59" s="272"/>
      <c r="K59" s="272"/>
    </row>
    <row r="60" spans="1:11">
      <c r="A60" s="439"/>
      <c r="B60" s="436" t="s">
        <v>638</v>
      </c>
      <c r="C60" s="649">
        <v>82.216097500000004</v>
      </c>
      <c r="D60" s="649"/>
      <c r="E60" s="649"/>
      <c r="F60" s="437">
        <v>82.216097500000004</v>
      </c>
      <c r="G60" s="438">
        <v>82.216097500000004</v>
      </c>
    </row>
    <row r="61" spans="1:11">
      <c r="A61" s="441" t="s">
        <v>369</v>
      </c>
      <c r="B61" s="442"/>
      <c r="C61" s="648">
        <v>185641.48196499998</v>
      </c>
      <c r="D61" s="648">
        <v>359229.70807749999</v>
      </c>
      <c r="E61" s="648"/>
      <c r="F61" s="443">
        <v>544871.19004249992</v>
      </c>
      <c r="G61" s="444">
        <v>3219643.9703275003</v>
      </c>
    </row>
    <row r="62" spans="1:11">
      <c r="C62" s="650"/>
      <c r="D62" s="650"/>
      <c r="E62" s="650"/>
    </row>
    <row r="63" spans="1:11">
      <c r="C63" s="650"/>
      <c r="D63" s="650"/>
      <c r="E63" s="650"/>
    </row>
    <row r="64" spans="1:11">
      <c r="C64" s="650"/>
      <c r="D64" s="650"/>
      <c r="E64" s="650"/>
    </row>
    <row r="65" spans="3:5">
      <c r="C65" s="650"/>
      <c r="D65" s="650"/>
      <c r="E65" s="650"/>
    </row>
    <row r="66" spans="3:5">
      <c r="C66" s="650"/>
      <c r="D66" s="650"/>
      <c r="E66" s="650"/>
    </row>
    <row r="67" spans="3:5">
      <c r="C67" s="650"/>
      <c r="D67" s="650"/>
      <c r="E67" s="650"/>
    </row>
    <row r="68" spans="3:5">
      <c r="C68" s="650"/>
      <c r="D68" s="650"/>
      <c r="E68" s="650"/>
    </row>
    <row r="69" spans="3:5">
      <c r="C69" s="650"/>
      <c r="D69" s="650"/>
      <c r="E69" s="650"/>
    </row>
    <row r="70" spans="3:5">
      <c r="C70" s="650"/>
      <c r="D70" s="650"/>
      <c r="E70" s="650"/>
    </row>
    <row r="71" spans="3:5">
      <c r="C71" s="650"/>
      <c r="D71" s="650"/>
      <c r="E71" s="650"/>
    </row>
    <row r="72" spans="3:5">
      <c r="C72" s="650"/>
      <c r="D72" s="650"/>
      <c r="E72" s="650"/>
    </row>
    <row r="73" spans="3:5">
      <c r="C73" s="650"/>
      <c r="D73" s="650"/>
      <c r="E73" s="650"/>
    </row>
    <row r="74" spans="3:5">
      <c r="C74" s="650"/>
      <c r="D74" s="650"/>
      <c r="E74" s="650"/>
    </row>
    <row r="75" spans="3:5">
      <c r="C75" s="650"/>
      <c r="D75" s="650"/>
      <c r="E75" s="650"/>
    </row>
    <row r="76" spans="3:5">
      <c r="C76" s="650"/>
      <c r="D76" s="650"/>
      <c r="E76" s="650"/>
    </row>
    <row r="77" spans="3:5">
      <c r="C77" s="650"/>
      <c r="D77" s="650"/>
      <c r="E77" s="650"/>
    </row>
    <row r="78" spans="3:5">
      <c r="C78" s="650"/>
      <c r="D78" s="650"/>
      <c r="E78" s="650"/>
    </row>
    <row r="79" spans="3:5">
      <c r="C79" s="650"/>
      <c r="D79" s="650"/>
      <c r="E79" s="650"/>
    </row>
    <row r="80" spans="3:5">
      <c r="C80" s="650"/>
      <c r="D80" s="650"/>
      <c r="E80" s="650"/>
    </row>
    <row r="81" spans="3:5">
      <c r="C81" s="650"/>
      <c r="D81" s="650"/>
      <c r="E81" s="650"/>
    </row>
    <row r="82" spans="3:5">
      <c r="C82" s="650"/>
      <c r="D82" s="650"/>
      <c r="E82" s="650"/>
    </row>
    <row r="83" spans="3:5">
      <c r="C83" s="650"/>
      <c r="D83" s="650"/>
      <c r="E83" s="650"/>
    </row>
    <row r="84" spans="3:5">
      <c r="C84" s="650"/>
      <c r="D84" s="650"/>
      <c r="E84" s="650"/>
    </row>
    <row r="85" spans="3:5">
      <c r="C85" s="650"/>
      <c r="D85" s="650"/>
      <c r="E85" s="650"/>
    </row>
    <row r="86" spans="3:5">
      <c r="C86" s="650"/>
      <c r="D86" s="650"/>
      <c r="E86" s="650"/>
    </row>
    <row r="87" spans="3:5">
      <c r="C87" s="650"/>
      <c r="D87" s="650"/>
      <c r="E87" s="650"/>
    </row>
    <row r="88" spans="3:5">
      <c r="C88" s="650"/>
      <c r="D88" s="650"/>
      <c r="E88" s="650"/>
    </row>
    <row r="89" spans="3:5">
      <c r="C89" s="650"/>
      <c r="D89" s="650"/>
      <c r="E89" s="650"/>
    </row>
    <row r="90" spans="3:5">
      <c r="C90" s="650"/>
      <c r="D90" s="650"/>
      <c r="E90" s="650"/>
    </row>
    <row r="91" spans="3:5">
      <c r="C91" s="650"/>
      <c r="D91" s="650"/>
      <c r="E91" s="650"/>
    </row>
    <row r="92" spans="3:5">
      <c r="C92" s="650"/>
      <c r="D92" s="650"/>
      <c r="E92" s="650"/>
    </row>
    <row r="93" spans="3:5">
      <c r="C93" s="650"/>
      <c r="D93" s="650"/>
      <c r="E93" s="650"/>
    </row>
    <row r="94" spans="3:5">
      <c r="C94" s="650"/>
      <c r="D94" s="650"/>
      <c r="E94" s="650"/>
    </row>
    <row r="95" spans="3:5">
      <c r="C95" s="650"/>
      <c r="D95" s="650"/>
      <c r="E95" s="650"/>
    </row>
    <row r="96" spans="3:5">
      <c r="C96" s="650"/>
      <c r="D96" s="650"/>
      <c r="E96" s="650"/>
    </row>
    <row r="97" spans="3:5">
      <c r="C97" s="650"/>
      <c r="D97" s="650"/>
      <c r="E97" s="650"/>
    </row>
    <row r="98" spans="3:5">
      <c r="C98" s="650"/>
      <c r="D98" s="650"/>
      <c r="E98" s="650"/>
    </row>
    <row r="99" spans="3:5">
      <c r="C99" s="650"/>
      <c r="D99" s="650"/>
      <c r="E99" s="650"/>
    </row>
    <row r="100" spans="3:5">
      <c r="C100" s="650"/>
      <c r="D100" s="650"/>
      <c r="E100" s="650"/>
    </row>
    <row r="101" spans="3:5">
      <c r="C101" s="650"/>
      <c r="D101" s="650"/>
      <c r="E101" s="650"/>
    </row>
    <row r="102" spans="3:5">
      <c r="C102" s="650"/>
      <c r="D102" s="650"/>
      <c r="E102" s="650"/>
    </row>
    <row r="103" spans="3:5">
      <c r="C103" s="650"/>
      <c r="D103" s="650"/>
      <c r="E103" s="650"/>
    </row>
    <row r="104" spans="3:5">
      <c r="C104" s="650"/>
      <c r="D104" s="650"/>
      <c r="E104" s="650"/>
    </row>
    <row r="105" spans="3:5">
      <c r="C105" s="650"/>
      <c r="D105" s="650"/>
      <c r="E105" s="650"/>
    </row>
    <row r="106" spans="3:5">
      <c r="C106" s="650"/>
      <c r="D106" s="650"/>
      <c r="E106" s="650"/>
    </row>
    <row r="107" spans="3:5">
      <c r="C107" s="650"/>
      <c r="D107" s="650"/>
      <c r="E107" s="650"/>
    </row>
    <row r="108" spans="3:5">
      <c r="C108" s="650"/>
      <c r="D108" s="650"/>
      <c r="E108" s="650"/>
    </row>
    <row r="109" spans="3:5">
      <c r="C109" s="650"/>
      <c r="D109" s="650"/>
      <c r="E109" s="650"/>
    </row>
    <row r="110" spans="3:5">
      <c r="C110" s="650"/>
      <c r="D110" s="650"/>
      <c r="E110" s="650"/>
    </row>
    <row r="111" spans="3:5">
      <c r="C111" s="650"/>
      <c r="D111" s="650"/>
      <c r="E111" s="650"/>
    </row>
    <row r="112" spans="3:5">
      <c r="C112" s="650"/>
      <c r="D112" s="650"/>
      <c r="E112" s="650"/>
    </row>
    <row r="113" spans="3:5">
      <c r="C113" s="650"/>
      <c r="D113" s="650"/>
      <c r="E113" s="650"/>
    </row>
    <row r="114" spans="3:5">
      <c r="C114" s="650"/>
      <c r="D114" s="650"/>
      <c r="E114" s="650"/>
    </row>
    <row r="115" spans="3:5">
      <c r="C115" s="650"/>
      <c r="D115" s="650"/>
      <c r="E115" s="650"/>
    </row>
    <row r="116" spans="3:5">
      <c r="C116" s="650"/>
      <c r="D116" s="650"/>
      <c r="E116" s="650"/>
    </row>
    <row r="117" spans="3:5">
      <c r="C117" s="650"/>
      <c r="D117" s="650"/>
      <c r="E117" s="650"/>
    </row>
    <row r="118" spans="3:5">
      <c r="C118" s="650"/>
      <c r="D118" s="650"/>
      <c r="E118" s="650"/>
    </row>
    <row r="119" spans="3:5">
      <c r="C119" s="650"/>
      <c r="D119" s="650"/>
      <c r="E119" s="650"/>
    </row>
    <row r="120" spans="3:5">
      <c r="C120" s="650"/>
      <c r="D120" s="650"/>
      <c r="E120" s="650"/>
    </row>
    <row r="121" spans="3:5">
      <c r="C121" s="650"/>
      <c r="D121" s="650"/>
      <c r="E121" s="650"/>
    </row>
    <row r="122" spans="3:5">
      <c r="C122" s="650"/>
      <c r="D122" s="650"/>
      <c r="E122" s="650"/>
    </row>
    <row r="123" spans="3:5">
      <c r="C123" s="650"/>
      <c r="D123" s="650"/>
      <c r="E123" s="650"/>
    </row>
    <row r="124" spans="3:5">
      <c r="C124" s="650"/>
      <c r="D124" s="650"/>
      <c r="E124" s="650"/>
    </row>
    <row r="125" spans="3:5">
      <c r="C125" s="650"/>
      <c r="D125" s="650"/>
      <c r="E125" s="650"/>
    </row>
    <row r="126" spans="3:5">
      <c r="C126" s="650"/>
      <c r="D126" s="650"/>
      <c r="E126" s="650"/>
    </row>
    <row r="127" spans="3:5">
      <c r="C127" s="650"/>
      <c r="D127" s="650"/>
      <c r="E127" s="650"/>
    </row>
    <row r="128" spans="3:5">
      <c r="C128" s="650"/>
      <c r="D128" s="650"/>
      <c r="E128" s="650"/>
    </row>
    <row r="129" spans="3:5">
      <c r="C129" s="650"/>
      <c r="D129" s="650"/>
      <c r="E129" s="650"/>
    </row>
    <row r="130" spans="3:5">
      <c r="C130" s="650"/>
      <c r="D130" s="650"/>
      <c r="E130" s="650"/>
    </row>
    <row r="131" spans="3:5">
      <c r="C131" s="650"/>
      <c r="D131" s="650"/>
      <c r="E131" s="650"/>
    </row>
    <row r="132" spans="3:5">
      <c r="C132" s="650"/>
      <c r="D132" s="650"/>
      <c r="E132" s="650"/>
    </row>
    <row r="133" spans="3:5">
      <c r="C133" s="650"/>
      <c r="D133" s="650"/>
      <c r="E133" s="650"/>
    </row>
    <row r="134" spans="3:5">
      <c r="C134" s="650"/>
      <c r="D134" s="650"/>
      <c r="E134" s="650"/>
    </row>
    <row r="135" spans="3:5">
      <c r="C135" s="650"/>
      <c r="D135" s="650"/>
      <c r="E135" s="650"/>
    </row>
    <row r="136" spans="3:5">
      <c r="C136" s="650"/>
      <c r="D136" s="650"/>
      <c r="E136" s="650"/>
    </row>
    <row r="137" spans="3:5">
      <c r="C137" s="650"/>
      <c r="D137" s="650"/>
      <c r="E137" s="650"/>
    </row>
    <row r="138" spans="3:5">
      <c r="C138" s="650"/>
      <c r="D138" s="650"/>
      <c r="E138" s="650"/>
    </row>
    <row r="139" spans="3:5">
      <c r="C139" s="650"/>
      <c r="D139" s="650"/>
      <c r="E139" s="650"/>
    </row>
    <row r="140" spans="3:5">
      <c r="C140" s="650"/>
      <c r="D140" s="650"/>
      <c r="E140" s="650"/>
    </row>
    <row r="141" spans="3:5">
      <c r="C141" s="650"/>
      <c r="D141" s="650"/>
      <c r="E141" s="650"/>
    </row>
    <row r="142" spans="3:5">
      <c r="C142" s="650"/>
      <c r="D142" s="650"/>
      <c r="E142" s="650"/>
    </row>
    <row r="143" spans="3:5">
      <c r="C143" s="650"/>
      <c r="D143" s="650"/>
      <c r="E143" s="650"/>
    </row>
    <row r="144" spans="3:5">
      <c r="C144" s="650"/>
      <c r="D144" s="650"/>
      <c r="E144" s="650"/>
    </row>
    <row r="145" spans="3:5">
      <c r="C145" s="650"/>
      <c r="D145" s="650"/>
      <c r="E145" s="650"/>
    </row>
    <row r="146" spans="3:5">
      <c r="C146" s="650"/>
      <c r="D146" s="650"/>
      <c r="E146" s="650"/>
    </row>
    <row r="147" spans="3:5">
      <c r="C147" s="650"/>
      <c r="D147" s="650"/>
      <c r="E147" s="650"/>
    </row>
    <row r="148" spans="3:5">
      <c r="C148" s="650"/>
      <c r="D148" s="650"/>
      <c r="E148" s="650"/>
    </row>
    <row r="149" spans="3:5">
      <c r="C149" s="650"/>
      <c r="D149" s="650"/>
      <c r="E149" s="650"/>
    </row>
    <row r="150" spans="3:5">
      <c r="C150" s="650"/>
      <c r="D150" s="650"/>
      <c r="E150" s="650"/>
    </row>
    <row r="151" spans="3:5">
      <c r="C151" s="650"/>
      <c r="D151" s="650"/>
      <c r="E151" s="650"/>
    </row>
    <row r="152" spans="3:5">
      <c r="C152" s="650"/>
      <c r="D152" s="650"/>
      <c r="E152" s="650"/>
    </row>
    <row r="153" spans="3:5">
      <c r="C153" s="650"/>
      <c r="D153" s="650"/>
      <c r="E153" s="650"/>
    </row>
    <row r="154" spans="3:5">
      <c r="C154" s="650"/>
      <c r="D154" s="650"/>
      <c r="E154" s="650"/>
    </row>
    <row r="155" spans="3:5">
      <c r="C155" s="650"/>
      <c r="D155" s="650"/>
      <c r="E155" s="650"/>
    </row>
    <row r="156" spans="3:5">
      <c r="C156" s="650"/>
      <c r="D156" s="650"/>
      <c r="E156" s="650"/>
    </row>
    <row r="157" spans="3:5">
      <c r="C157" s="650"/>
      <c r="D157" s="650"/>
      <c r="E157" s="650"/>
    </row>
    <row r="158" spans="3:5">
      <c r="C158" s="650"/>
      <c r="D158" s="650"/>
      <c r="E158" s="650"/>
    </row>
    <row r="159" spans="3:5">
      <c r="C159" s="650"/>
      <c r="D159" s="650"/>
      <c r="E159" s="650"/>
    </row>
    <row r="160" spans="3:5">
      <c r="C160" s="650"/>
      <c r="D160" s="650"/>
      <c r="E160" s="650"/>
    </row>
    <row r="161" spans="3:5">
      <c r="C161" s="650"/>
      <c r="D161" s="650"/>
      <c r="E161" s="650"/>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Junio 2018
INFSGI-MES-06-2018
10/07/2018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30" zoomScaleNormal="100" zoomScaleSheetLayoutView="130" zoomScalePageLayoutView="160" workbookViewId="0">
      <selection activeCell="R31" sqref="R31"/>
    </sheetView>
  </sheetViews>
  <sheetFormatPr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73" t="s">
        <v>287</v>
      </c>
      <c r="B1" s="965" t="s">
        <v>57</v>
      </c>
      <c r="C1" s="967" t="str">
        <f>+'18. ANEXOI-1'!C2:F2</f>
        <v>ENERGÍA PRODUCIDA JUNIO 2018</v>
      </c>
      <c r="D1" s="967"/>
      <c r="E1" s="967"/>
      <c r="F1" s="967"/>
      <c r="G1" s="446" t="s">
        <v>318</v>
      </c>
      <c r="H1" s="279"/>
      <c r="I1" s="279"/>
      <c r="J1" s="279"/>
      <c r="K1" s="279"/>
    </row>
    <row r="2" spans="1:12" s="50" customFormat="1" ht="11.25" customHeight="1">
      <c r="A2" s="973"/>
      <c r="B2" s="965"/>
      <c r="C2" s="968" t="s">
        <v>319</v>
      </c>
      <c r="D2" s="968"/>
      <c r="E2" s="968"/>
      <c r="F2" s="969" t="str">
        <f>"TOTAL 
"&amp;UPPER('1. Resumen'!Q4)</f>
        <v>TOTAL 
JUNIO</v>
      </c>
      <c r="G2" s="447" t="s">
        <v>320</v>
      </c>
      <c r="H2" s="268"/>
      <c r="I2" s="268"/>
      <c r="J2" s="268"/>
      <c r="K2" s="268"/>
      <c r="L2" s="269"/>
    </row>
    <row r="3" spans="1:12" s="50" customFormat="1" ht="11.25" customHeight="1">
      <c r="A3" s="973"/>
      <c r="B3" s="965"/>
      <c r="C3" s="431" t="s">
        <v>241</v>
      </c>
      <c r="D3" s="431" t="s">
        <v>242</v>
      </c>
      <c r="E3" s="431" t="s">
        <v>321</v>
      </c>
      <c r="F3" s="970"/>
      <c r="G3" s="447">
        <v>2018</v>
      </c>
      <c r="H3" s="271"/>
      <c r="I3" s="270"/>
      <c r="J3" s="270"/>
      <c r="K3" s="270"/>
      <c r="L3" s="269"/>
    </row>
    <row r="4" spans="1:12" s="50" customFormat="1" ht="11.25" customHeight="1">
      <c r="A4" s="974"/>
      <c r="B4" s="975"/>
      <c r="C4" s="448" t="s">
        <v>322</v>
      </c>
      <c r="D4" s="448" t="s">
        <v>322</v>
      </c>
      <c r="E4" s="448" t="s">
        <v>322</v>
      </c>
      <c r="F4" s="448" t="s">
        <v>322</v>
      </c>
      <c r="G4" s="449" t="s">
        <v>224</v>
      </c>
      <c r="H4" s="271"/>
      <c r="I4" s="271"/>
      <c r="J4" s="271"/>
      <c r="K4" s="271"/>
      <c r="L4" s="12"/>
    </row>
    <row r="5" spans="1:12">
      <c r="A5" s="439" t="s">
        <v>102</v>
      </c>
      <c r="B5" s="436" t="s">
        <v>370</v>
      </c>
      <c r="C5" s="437"/>
      <c r="D5" s="437">
        <v>24231.313157500001</v>
      </c>
      <c r="E5" s="437"/>
      <c r="F5" s="437">
        <v>24231.313157500001</v>
      </c>
      <c r="G5" s="438">
        <v>131371.2352275</v>
      </c>
    </row>
    <row r="6" spans="1:12">
      <c r="A6" s="439"/>
      <c r="B6" s="436" t="s">
        <v>371</v>
      </c>
      <c r="C6" s="437"/>
      <c r="D6" s="437">
        <v>1272.8490475000001</v>
      </c>
      <c r="E6" s="437"/>
      <c r="F6" s="437">
        <v>1272.8490475000001</v>
      </c>
      <c r="G6" s="438">
        <v>25648.7604125</v>
      </c>
    </row>
    <row r="7" spans="1:12">
      <c r="A7" s="439"/>
      <c r="B7" s="436" t="s">
        <v>372</v>
      </c>
      <c r="C7" s="437"/>
      <c r="D7" s="437">
        <v>7012.2024625000004</v>
      </c>
      <c r="E7" s="437"/>
      <c r="F7" s="437">
        <v>7012.2024625000004</v>
      </c>
      <c r="G7" s="438">
        <v>64602.226357500003</v>
      </c>
    </row>
    <row r="8" spans="1:12">
      <c r="A8" s="441" t="s">
        <v>373</v>
      </c>
      <c r="B8" s="442"/>
      <c r="C8" s="443"/>
      <c r="D8" s="443">
        <v>32516.364667500002</v>
      </c>
      <c r="E8" s="443"/>
      <c r="F8" s="443">
        <v>32516.364667500002</v>
      </c>
      <c r="G8" s="444">
        <v>221622.22199750002</v>
      </c>
    </row>
    <row r="9" spans="1:12">
      <c r="A9" s="971" t="s">
        <v>636</v>
      </c>
      <c r="B9" s="436" t="s">
        <v>745</v>
      </c>
      <c r="C9" s="437"/>
      <c r="D9" s="437"/>
      <c r="E9" s="437">
        <v>25247.011149999998</v>
      </c>
      <c r="F9" s="437">
        <v>25247.011149999998</v>
      </c>
      <c r="G9" s="438">
        <v>192545.71114000003</v>
      </c>
    </row>
    <row r="10" spans="1:12">
      <c r="A10" s="972"/>
      <c r="B10" s="436" t="s">
        <v>744</v>
      </c>
      <c r="C10" s="437"/>
      <c r="D10" s="437"/>
      <c r="E10" s="437">
        <v>53045.541765000002</v>
      </c>
      <c r="F10" s="437">
        <v>53045.541765000002</v>
      </c>
      <c r="G10" s="438">
        <v>168281.71762750001</v>
      </c>
    </row>
    <row r="11" spans="1:12">
      <c r="A11" s="441" t="s">
        <v>374</v>
      </c>
      <c r="B11" s="442"/>
      <c r="C11" s="443"/>
      <c r="D11" s="443"/>
      <c r="E11" s="443">
        <v>78292.552915000007</v>
      </c>
      <c r="F11" s="443">
        <v>78292.552915000007</v>
      </c>
      <c r="G11" s="444">
        <v>360827.42876750004</v>
      </c>
    </row>
    <row r="12" spans="1:12">
      <c r="A12" s="439" t="s">
        <v>103</v>
      </c>
      <c r="B12" s="436" t="s">
        <v>82</v>
      </c>
      <c r="C12" s="437"/>
      <c r="D12" s="437"/>
      <c r="E12" s="437">
        <v>16951.971452500002</v>
      </c>
      <c r="F12" s="437">
        <v>16951.971452500002</v>
      </c>
      <c r="G12" s="438">
        <v>140117.83189</v>
      </c>
    </row>
    <row r="13" spans="1:12">
      <c r="A13" s="439"/>
      <c r="B13" s="436" t="s">
        <v>84</v>
      </c>
      <c r="C13" s="437"/>
      <c r="D13" s="437"/>
      <c r="E13" s="437">
        <v>12513.905860000001</v>
      </c>
      <c r="F13" s="437">
        <v>12513.905860000001</v>
      </c>
      <c r="G13" s="438">
        <v>51918.530897500008</v>
      </c>
    </row>
    <row r="14" spans="1:12">
      <c r="A14" s="441" t="s">
        <v>375</v>
      </c>
      <c r="B14" s="442"/>
      <c r="C14" s="443"/>
      <c r="D14" s="443"/>
      <c r="E14" s="443">
        <v>29465.877312500001</v>
      </c>
      <c r="F14" s="443">
        <v>29465.877312500001</v>
      </c>
      <c r="G14" s="444">
        <v>192036.36278750002</v>
      </c>
    </row>
    <row r="15" spans="1:12">
      <c r="A15" s="439" t="s">
        <v>746</v>
      </c>
      <c r="B15" s="436" t="s">
        <v>376</v>
      </c>
      <c r="C15" s="437">
        <v>29283.207999999999</v>
      </c>
      <c r="D15" s="437"/>
      <c r="E15" s="437"/>
      <c r="F15" s="437">
        <v>29283.207999999999</v>
      </c>
      <c r="G15" s="438">
        <v>323987.52999499999</v>
      </c>
    </row>
    <row r="16" spans="1:12">
      <c r="A16" s="439"/>
      <c r="B16" s="436" t="s">
        <v>377</v>
      </c>
      <c r="C16" s="437">
        <v>54713.652537499998</v>
      </c>
      <c r="D16" s="437"/>
      <c r="E16" s="437"/>
      <c r="F16" s="437">
        <v>54713.652537499998</v>
      </c>
      <c r="G16" s="438">
        <v>498878.49440499995</v>
      </c>
    </row>
    <row r="17" spans="1:7">
      <c r="A17" s="439"/>
      <c r="B17" s="436" t="s">
        <v>378</v>
      </c>
      <c r="C17" s="437"/>
      <c r="D17" s="437">
        <v>300007.07861000003</v>
      </c>
      <c r="E17" s="437"/>
      <c r="F17" s="437">
        <v>300007.07861000003</v>
      </c>
      <c r="G17" s="438">
        <v>667828.24461500009</v>
      </c>
    </row>
    <row r="18" spans="1:7">
      <c r="A18" s="439"/>
      <c r="B18" s="436" t="s">
        <v>379</v>
      </c>
      <c r="C18" s="437"/>
      <c r="D18" s="437">
        <v>12319.441794999999</v>
      </c>
      <c r="E18" s="437"/>
      <c r="F18" s="437">
        <v>12319.441794999999</v>
      </c>
      <c r="G18" s="438">
        <v>29067.215919999995</v>
      </c>
    </row>
    <row r="19" spans="1:7">
      <c r="A19" s="439"/>
      <c r="B19" s="436" t="s">
        <v>380</v>
      </c>
      <c r="C19" s="437"/>
      <c r="D19" s="437">
        <v>0</v>
      </c>
      <c r="E19" s="437"/>
      <c r="F19" s="437">
        <v>0</v>
      </c>
      <c r="G19" s="438">
        <v>26901.512962500001</v>
      </c>
    </row>
    <row r="20" spans="1:7">
      <c r="A20" s="439"/>
      <c r="B20" s="436" t="s">
        <v>381</v>
      </c>
      <c r="C20" s="437"/>
      <c r="D20" s="437">
        <v>0</v>
      </c>
      <c r="E20" s="437"/>
      <c r="F20" s="437">
        <v>0</v>
      </c>
      <c r="G20" s="438">
        <v>8885.7323775000004</v>
      </c>
    </row>
    <row r="21" spans="1:7">
      <c r="A21" s="439"/>
      <c r="B21" s="436" t="s">
        <v>382</v>
      </c>
      <c r="C21" s="437"/>
      <c r="D21" s="437">
        <v>356.59546</v>
      </c>
      <c r="E21" s="437"/>
      <c r="F21" s="437">
        <v>356.59546</v>
      </c>
      <c r="G21" s="438">
        <v>1799.3651675000001</v>
      </c>
    </row>
    <row r="22" spans="1:7">
      <c r="A22" s="439"/>
      <c r="B22" s="436" t="s">
        <v>644</v>
      </c>
      <c r="C22" s="437"/>
      <c r="D22" s="437"/>
      <c r="E22" s="437">
        <v>6701.0501450000002</v>
      </c>
      <c r="F22" s="437">
        <v>6701.0501450000002</v>
      </c>
      <c r="G22" s="438">
        <v>28624.390394999995</v>
      </c>
    </row>
    <row r="23" spans="1:7">
      <c r="A23" s="441" t="s">
        <v>383</v>
      </c>
      <c r="B23" s="442"/>
      <c r="C23" s="443">
        <v>83996.860537500004</v>
      </c>
      <c r="D23" s="443">
        <v>312683.115865</v>
      </c>
      <c r="E23" s="443">
        <v>6701.0501450000002</v>
      </c>
      <c r="F23" s="443">
        <v>403381.02654749999</v>
      </c>
      <c r="G23" s="444">
        <v>1585972.4858375005</v>
      </c>
    </row>
    <row r="24" spans="1:7">
      <c r="A24" s="439" t="s">
        <v>274</v>
      </c>
      <c r="B24" s="436" t="s">
        <v>384</v>
      </c>
      <c r="C24" s="437"/>
      <c r="D24" s="437">
        <v>297505.06349500001</v>
      </c>
      <c r="E24" s="437"/>
      <c r="F24" s="437">
        <v>297505.06349500001</v>
      </c>
      <c r="G24" s="438">
        <v>1606891.6454449999</v>
      </c>
    </row>
    <row r="25" spans="1:7">
      <c r="A25" s="441" t="s">
        <v>385</v>
      </c>
      <c r="B25" s="442"/>
      <c r="C25" s="443"/>
      <c r="D25" s="443">
        <v>297505.06349500001</v>
      </c>
      <c r="E25" s="443"/>
      <c r="F25" s="443">
        <v>297505.06349500001</v>
      </c>
      <c r="G25" s="444">
        <v>1606891.6454449999</v>
      </c>
    </row>
    <row r="26" spans="1:7">
      <c r="A26" s="439" t="s">
        <v>114</v>
      </c>
      <c r="B26" s="436" t="s">
        <v>70</v>
      </c>
      <c r="C26" s="437"/>
      <c r="D26" s="437"/>
      <c r="E26" s="437">
        <v>4241.2612074999997</v>
      </c>
      <c r="F26" s="437">
        <v>4241.2612074999997</v>
      </c>
      <c r="G26" s="438">
        <v>26808.503567499996</v>
      </c>
    </row>
    <row r="27" spans="1:7">
      <c r="A27" s="441" t="s">
        <v>386</v>
      </c>
      <c r="B27" s="442"/>
      <c r="C27" s="443"/>
      <c r="D27" s="443"/>
      <c r="E27" s="443">
        <v>4241.2612074999997</v>
      </c>
      <c r="F27" s="443">
        <v>4241.2612074999997</v>
      </c>
      <c r="G27" s="444">
        <v>26808.503567499996</v>
      </c>
    </row>
    <row r="28" spans="1:7">
      <c r="A28" s="439" t="s">
        <v>117</v>
      </c>
      <c r="B28" s="436" t="s">
        <v>266</v>
      </c>
      <c r="C28" s="437"/>
      <c r="D28" s="437"/>
      <c r="E28" s="437">
        <v>3202.3002124999998</v>
      </c>
      <c r="F28" s="437">
        <v>3202.3002124999998</v>
      </c>
      <c r="G28" s="438">
        <v>21033.318735000001</v>
      </c>
    </row>
    <row r="29" spans="1:7">
      <c r="A29" s="441" t="s">
        <v>387</v>
      </c>
      <c r="B29" s="442"/>
      <c r="C29" s="443"/>
      <c r="D29" s="443"/>
      <c r="E29" s="443">
        <v>3202.3002124999998</v>
      </c>
      <c r="F29" s="443">
        <v>3202.3002124999998</v>
      </c>
      <c r="G29" s="444">
        <v>21033.318735000001</v>
      </c>
    </row>
    <row r="30" spans="1:7">
      <c r="A30" s="439" t="s">
        <v>118</v>
      </c>
      <c r="B30" s="436" t="s">
        <v>88</v>
      </c>
      <c r="C30" s="437"/>
      <c r="D30" s="437"/>
      <c r="E30" s="437">
        <v>3196.4405375000001</v>
      </c>
      <c r="F30" s="437">
        <v>3196.4405375000001</v>
      </c>
      <c r="G30" s="438">
        <v>18558.630960000002</v>
      </c>
    </row>
    <row r="31" spans="1:7">
      <c r="A31" s="441" t="s">
        <v>388</v>
      </c>
      <c r="B31" s="442"/>
      <c r="C31" s="443"/>
      <c r="D31" s="443"/>
      <c r="E31" s="443">
        <v>3196.4405375000001</v>
      </c>
      <c r="F31" s="443">
        <v>3196.4405375000001</v>
      </c>
      <c r="G31" s="444">
        <v>18558.630960000002</v>
      </c>
    </row>
    <row r="32" spans="1:7">
      <c r="A32" s="439" t="s">
        <v>122</v>
      </c>
      <c r="B32" s="436" t="s">
        <v>78</v>
      </c>
      <c r="C32" s="437"/>
      <c r="D32" s="437"/>
      <c r="E32" s="437">
        <v>2347.4</v>
      </c>
      <c r="F32" s="437">
        <v>2347.4</v>
      </c>
      <c r="G32" s="438">
        <v>11631.800000000001</v>
      </c>
    </row>
    <row r="33" spans="1:8">
      <c r="A33" s="441" t="s">
        <v>389</v>
      </c>
      <c r="B33" s="442"/>
      <c r="C33" s="443"/>
      <c r="D33" s="443"/>
      <c r="E33" s="443">
        <v>2347.4</v>
      </c>
      <c r="F33" s="443">
        <v>2347.4</v>
      </c>
      <c r="G33" s="444">
        <v>11631.800000000001</v>
      </c>
    </row>
    <row r="34" spans="1:8">
      <c r="A34" s="439" t="s">
        <v>632</v>
      </c>
      <c r="B34" s="436" t="s">
        <v>390</v>
      </c>
      <c r="C34" s="437">
        <v>12405.005999999999</v>
      </c>
      <c r="D34" s="437"/>
      <c r="E34" s="437"/>
      <c r="F34" s="437">
        <v>12405.005999999999</v>
      </c>
      <c r="G34" s="438">
        <v>74243.72099999999</v>
      </c>
    </row>
    <row r="35" spans="1:8">
      <c r="A35" s="441" t="s">
        <v>633</v>
      </c>
      <c r="B35" s="442"/>
      <c r="C35" s="443">
        <v>12405.005999999999</v>
      </c>
      <c r="D35" s="443"/>
      <c r="E35" s="443"/>
      <c r="F35" s="443">
        <v>12405.005999999999</v>
      </c>
      <c r="G35" s="444">
        <v>74243.72099999999</v>
      </c>
    </row>
    <row r="36" spans="1:8">
      <c r="A36" s="439" t="s">
        <v>275</v>
      </c>
      <c r="B36" s="436" t="s">
        <v>63</v>
      </c>
      <c r="C36" s="437"/>
      <c r="D36" s="437"/>
      <c r="E36" s="437">
        <v>12470.861017499999</v>
      </c>
      <c r="F36" s="437">
        <v>12470.861017499999</v>
      </c>
      <c r="G36" s="438">
        <v>65638.647847500004</v>
      </c>
    </row>
    <row r="37" spans="1:8">
      <c r="A37" s="441" t="s">
        <v>393</v>
      </c>
      <c r="B37" s="442"/>
      <c r="C37" s="443"/>
      <c r="D37" s="443"/>
      <c r="E37" s="443">
        <v>12470.861017499999</v>
      </c>
      <c r="F37" s="443">
        <v>12470.861017499999</v>
      </c>
      <c r="G37" s="444">
        <v>65638.647847500004</v>
      </c>
    </row>
    <row r="38" spans="1:8">
      <c r="A38" s="439" t="s">
        <v>124</v>
      </c>
      <c r="B38" s="436" t="s">
        <v>394</v>
      </c>
      <c r="C38" s="437"/>
      <c r="D38" s="437">
        <v>111.336065</v>
      </c>
      <c r="E38" s="437"/>
      <c r="F38" s="437">
        <v>111.336065</v>
      </c>
      <c r="G38" s="438">
        <v>487.98335500000002</v>
      </c>
    </row>
    <row r="39" spans="1:8">
      <c r="A39" s="439"/>
      <c r="B39" s="436" t="s">
        <v>395</v>
      </c>
      <c r="C39" s="437"/>
      <c r="D39" s="437">
        <v>48.594867499999999</v>
      </c>
      <c r="E39" s="437"/>
      <c r="F39" s="437">
        <v>48.594867499999999</v>
      </c>
      <c r="G39" s="438">
        <v>3629.4053499999995</v>
      </c>
    </row>
    <row r="40" spans="1:8">
      <c r="A40" s="441" t="s">
        <v>396</v>
      </c>
      <c r="B40" s="442"/>
      <c r="C40" s="443"/>
      <c r="D40" s="443">
        <v>159.93093250000001</v>
      </c>
      <c r="E40" s="443"/>
      <c r="F40" s="443">
        <v>159.93093250000001</v>
      </c>
      <c r="G40" s="444">
        <v>4117.3887049999994</v>
      </c>
    </row>
    <row r="41" spans="1:8">
      <c r="A41" s="439" t="s">
        <v>573</v>
      </c>
      <c r="B41" s="436" t="s">
        <v>398</v>
      </c>
      <c r="C41" s="437"/>
      <c r="D41" s="437">
        <v>500462.86860249995</v>
      </c>
      <c r="E41" s="437"/>
      <c r="F41" s="437">
        <v>500462.86860249995</v>
      </c>
      <c r="G41" s="438">
        <v>2081601.1029774998</v>
      </c>
    </row>
    <row r="42" spans="1:8">
      <c r="A42" s="439"/>
      <c r="B42" s="436" t="s">
        <v>399</v>
      </c>
      <c r="C42" s="437"/>
      <c r="D42" s="437">
        <v>57289.1262775</v>
      </c>
      <c r="E42" s="437"/>
      <c r="F42" s="437">
        <v>57289.1262775</v>
      </c>
      <c r="G42" s="438">
        <v>286624.86326750001</v>
      </c>
    </row>
    <row r="43" spans="1:8">
      <c r="A43" s="439"/>
      <c r="B43" s="436" t="s">
        <v>397</v>
      </c>
      <c r="C43" s="437">
        <v>225908.51282</v>
      </c>
      <c r="D43" s="437"/>
      <c r="E43" s="437"/>
      <c r="F43" s="437">
        <v>225908.51282</v>
      </c>
      <c r="G43" s="438">
        <v>1944565.40882</v>
      </c>
    </row>
    <row r="44" spans="1:8">
      <c r="A44" s="439"/>
      <c r="B44" s="436" t="s">
        <v>400</v>
      </c>
      <c r="C44" s="437">
        <v>3197.9603000000002</v>
      </c>
      <c r="D44" s="437"/>
      <c r="E44" s="437"/>
      <c r="F44" s="437">
        <v>3197.9603000000002</v>
      </c>
      <c r="G44" s="438">
        <v>36331.855102499998</v>
      </c>
    </row>
    <row r="45" spans="1:8">
      <c r="A45" s="441" t="s">
        <v>401</v>
      </c>
      <c r="B45" s="442"/>
      <c r="C45" s="443">
        <v>229106.47312000001</v>
      </c>
      <c r="D45" s="443">
        <v>557751.9948799999</v>
      </c>
      <c r="E45" s="443"/>
      <c r="F45" s="443">
        <v>786858.46799999999</v>
      </c>
      <c r="G45" s="444">
        <v>4349123.2301674997</v>
      </c>
    </row>
    <row r="46" spans="1:8">
      <c r="A46" s="439" t="s">
        <v>624</v>
      </c>
      <c r="B46" s="436" t="s">
        <v>561</v>
      </c>
      <c r="C46" s="437">
        <v>51050.703927499999</v>
      </c>
      <c r="D46" s="437"/>
      <c r="E46" s="437"/>
      <c r="F46" s="437">
        <v>51050.703927499999</v>
      </c>
      <c r="G46" s="438">
        <v>368193.61506000004</v>
      </c>
      <c r="H46" s="650"/>
    </row>
    <row r="47" spans="1:8">
      <c r="A47" s="441" t="s">
        <v>635</v>
      </c>
      <c r="B47" s="442"/>
      <c r="C47" s="443">
        <v>51050.703927499999</v>
      </c>
      <c r="D47" s="443"/>
      <c r="E47" s="443"/>
      <c r="F47" s="443">
        <v>51050.703927499999</v>
      </c>
      <c r="G47" s="444">
        <v>368193.61506000004</v>
      </c>
    </row>
    <row r="48" spans="1:8">
      <c r="A48" s="439" t="s">
        <v>123</v>
      </c>
      <c r="B48" s="436" t="s">
        <v>76</v>
      </c>
      <c r="C48" s="437"/>
      <c r="D48" s="437"/>
      <c r="E48" s="437">
        <v>2116.6320000000001</v>
      </c>
      <c r="F48" s="437">
        <v>2116.6320000000001</v>
      </c>
      <c r="G48" s="438">
        <v>14467.20055</v>
      </c>
    </row>
    <row r="49" spans="1:7">
      <c r="A49" s="441" t="s">
        <v>402</v>
      </c>
      <c r="B49" s="442"/>
      <c r="C49" s="443"/>
      <c r="D49" s="443"/>
      <c r="E49" s="443">
        <v>2116.6320000000001</v>
      </c>
      <c r="F49" s="443">
        <v>2116.6320000000001</v>
      </c>
      <c r="G49" s="444">
        <v>14467.20055</v>
      </c>
    </row>
    <row r="50" spans="1:7">
      <c r="A50" s="439" t="s">
        <v>116</v>
      </c>
      <c r="B50" s="436" t="s">
        <v>86</v>
      </c>
      <c r="C50" s="437"/>
      <c r="D50" s="437"/>
      <c r="E50" s="437">
        <v>2848.5134674999999</v>
      </c>
      <c r="F50" s="437">
        <v>2848.5134674999999</v>
      </c>
      <c r="G50" s="438">
        <v>22073.406162499999</v>
      </c>
    </row>
    <row r="51" spans="1:7">
      <c r="A51" s="441" t="s">
        <v>403</v>
      </c>
      <c r="B51" s="442"/>
      <c r="C51" s="443"/>
      <c r="D51" s="443"/>
      <c r="E51" s="443">
        <v>2848.5134674999999</v>
      </c>
      <c r="F51" s="443">
        <v>2848.5134674999999</v>
      </c>
      <c r="G51" s="444">
        <v>22073.406162499999</v>
      </c>
    </row>
    <row r="52" spans="1:7">
      <c r="A52" s="439" t="s">
        <v>276</v>
      </c>
      <c r="B52" s="436" t="s">
        <v>75</v>
      </c>
      <c r="C52" s="437"/>
      <c r="D52" s="437"/>
      <c r="E52" s="437">
        <v>2940.6452300000001</v>
      </c>
      <c r="F52" s="437">
        <v>2940.6452300000001</v>
      </c>
      <c r="G52" s="438">
        <v>18706.378537500001</v>
      </c>
    </row>
    <row r="53" spans="1:7">
      <c r="A53" s="439"/>
      <c r="B53" s="436" t="s">
        <v>404</v>
      </c>
      <c r="C53" s="437">
        <v>77041.216437499999</v>
      </c>
      <c r="D53" s="437"/>
      <c r="E53" s="437"/>
      <c r="F53" s="437">
        <v>77041.216437499999</v>
      </c>
      <c r="G53" s="438">
        <v>911843.80657999997</v>
      </c>
    </row>
    <row r="54" spans="1:7">
      <c r="A54" s="439"/>
      <c r="B54" s="436" t="s">
        <v>405</v>
      </c>
      <c r="C54" s="437">
        <v>42343.673030000005</v>
      </c>
      <c r="D54" s="437"/>
      <c r="E54" s="437"/>
      <c r="F54" s="437">
        <v>42343.673030000005</v>
      </c>
      <c r="G54" s="438">
        <v>334034.78377500002</v>
      </c>
    </row>
    <row r="55" spans="1:7">
      <c r="A55" s="439"/>
      <c r="B55" s="436" t="s">
        <v>66</v>
      </c>
      <c r="C55" s="437"/>
      <c r="D55" s="437"/>
      <c r="E55" s="437">
        <v>4941.2679900000003</v>
      </c>
      <c r="F55" s="437">
        <v>4941.2679900000003</v>
      </c>
      <c r="G55" s="438">
        <v>40398.882574999996</v>
      </c>
    </row>
    <row r="56" spans="1:7">
      <c r="A56" s="441" t="s">
        <v>406</v>
      </c>
      <c r="B56" s="442"/>
      <c r="C56" s="443">
        <v>119384.8894675</v>
      </c>
      <c r="D56" s="443"/>
      <c r="E56" s="443">
        <v>7881.9132200000004</v>
      </c>
      <c r="F56" s="443">
        <v>127266.80268749999</v>
      </c>
      <c r="G56" s="444">
        <v>1304983.8514675</v>
      </c>
    </row>
    <row r="57" spans="1:7">
      <c r="A57" s="439" t="s">
        <v>277</v>
      </c>
      <c r="B57" s="436" t="s">
        <v>83</v>
      </c>
      <c r="C57" s="437"/>
      <c r="D57" s="437"/>
      <c r="E57" s="437">
        <v>12388.40569</v>
      </c>
      <c r="F57" s="437">
        <v>12388.40569</v>
      </c>
      <c r="G57" s="438">
        <v>71401.930097500008</v>
      </c>
    </row>
    <row r="58" spans="1:7">
      <c r="A58" s="441" t="s">
        <v>407</v>
      </c>
      <c r="B58" s="442"/>
      <c r="C58" s="443"/>
      <c r="D58" s="443"/>
      <c r="E58" s="443">
        <v>12388.40569</v>
      </c>
      <c r="F58" s="443">
        <v>12388.40569</v>
      </c>
      <c r="G58" s="444">
        <v>71401.930097500008</v>
      </c>
    </row>
    <row r="59" spans="1:7">
      <c r="A59" s="439" t="s">
        <v>105</v>
      </c>
      <c r="B59" s="436" t="s">
        <v>80</v>
      </c>
      <c r="C59" s="437"/>
      <c r="D59" s="437"/>
      <c r="E59" s="437">
        <v>33693.526752500002</v>
      </c>
      <c r="F59" s="437">
        <v>33693.526752500002</v>
      </c>
      <c r="G59" s="438">
        <v>226864.61226750002</v>
      </c>
    </row>
    <row r="60" spans="1:7">
      <c r="A60" s="441" t="s">
        <v>408</v>
      </c>
      <c r="B60" s="442"/>
      <c r="C60" s="443"/>
      <c r="D60" s="443"/>
      <c r="E60" s="443">
        <v>33693.526752500002</v>
      </c>
      <c r="F60" s="443">
        <v>33693.526752500002</v>
      </c>
      <c r="G60" s="444">
        <v>226864.61226750002</v>
      </c>
    </row>
    <row r="61" spans="1:7">
      <c r="A61" s="439" t="s">
        <v>113</v>
      </c>
      <c r="B61" s="436" t="s">
        <v>265</v>
      </c>
      <c r="C61" s="437"/>
      <c r="D61" s="437"/>
      <c r="E61" s="437">
        <v>3081.1972500000002</v>
      </c>
      <c r="F61" s="437">
        <v>3081.1972500000002</v>
      </c>
      <c r="G61" s="438">
        <v>24086.954465000003</v>
      </c>
    </row>
    <row r="62" spans="1:7">
      <c r="A62" s="441" t="s">
        <v>409</v>
      </c>
      <c r="B62" s="442"/>
      <c r="C62" s="443"/>
      <c r="D62" s="443"/>
      <c r="E62" s="443">
        <v>3081.1972500000002</v>
      </c>
      <c r="F62" s="443">
        <v>3081.1972500000002</v>
      </c>
      <c r="G62" s="444">
        <v>24086.954465000003</v>
      </c>
    </row>
    <row r="63" spans="1:7">
      <c r="A63" s="439" t="s">
        <v>634</v>
      </c>
      <c r="B63" s="436" t="s">
        <v>91</v>
      </c>
      <c r="C63" s="437"/>
      <c r="D63" s="437"/>
      <c r="E63" s="437">
        <v>0</v>
      </c>
      <c r="F63" s="437">
        <v>0</v>
      </c>
      <c r="G63" s="438">
        <v>5846.9856225000003</v>
      </c>
    </row>
    <row r="64" spans="1:7">
      <c r="A64" s="439"/>
      <c r="B64" s="436" t="s">
        <v>90</v>
      </c>
      <c r="C64" s="437"/>
      <c r="D64" s="437"/>
      <c r="E64" s="437">
        <v>2834.944375</v>
      </c>
      <c r="F64" s="437">
        <v>2834.944375</v>
      </c>
      <c r="G64" s="438">
        <v>17046.949607499999</v>
      </c>
    </row>
    <row r="65" spans="1:7">
      <c r="A65" s="441" t="s">
        <v>410</v>
      </c>
      <c r="B65" s="442"/>
      <c r="C65" s="443"/>
      <c r="D65" s="443"/>
      <c r="E65" s="443">
        <v>2834.944375</v>
      </c>
      <c r="F65" s="443">
        <v>2834.944375</v>
      </c>
      <c r="G65" s="444">
        <v>22893.935229999999</v>
      </c>
    </row>
    <row r="66" spans="1:7">
      <c r="A66" s="651"/>
      <c r="B66" s="436"/>
      <c r="C66" s="437"/>
      <c r="D66" s="437"/>
      <c r="E66" s="437"/>
      <c r="F66" s="437"/>
      <c r="G66" s="437"/>
    </row>
    <row r="67" spans="1:7">
      <c r="A67" s="652"/>
      <c r="B67" s="652"/>
      <c r="C67" s="652"/>
      <c r="D67" s="652"/>
      <c r="E67" s="652"/>
      <c r="F67" s="652"/>
      <c r="G67" s="652"/>
    </row>
  </sheetData>
  <mergeCells count="6">
    <mergeCell ref="A9:A10"/>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Junio 2018
INFSGI-MES-06-2018
10/07/2018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3"/>
  <sheetViews>
    <sheetView showGridLines="0" view="pageBreakPreview" zoomScale="145" zoomScaleNormal="100" zoomScaleSheetLayoutView="145" zoomScalePageLayoutView="160" workbookViewId="0">
      <selection activeCell="R31" sqref="R31"/>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5.75" customHeight="1">
      <c r="A1" s="973" t="s">
        <v>287</v>
      </c>
      <c r="B1" s="965" t="s">
        <v>57</v>
      </c>
      <c r="C1" s="967" t="str">
        <f>+'19. ANEXOI-2'!C1:F1</f>
        <v>ENERGÍA PRODUCIDA JUNIO 2018</v>
      </c>
      <c r="D1" s="967"/>
      <c r="E1" s="967"/>
      <c r="F1" s="967"/>
      <c r="G1" s="446" t="s">
        <v>318</v>
      </c>
      <c r="H1" s="279"/>
      <c r="I1" s="279"/>
      <c r="J1" s="279"/>
      <c r="K1" s="279"/>
    </row>
    <row r="2" spans="1:12" ht="11.25" customHeight="1">
      <c r="A2" s="973"/>
      <c r="B2" s="965"/>
      <c r="C2" s="968" t="s">
        <v>319</v>
      </c>
      <c r="D2" s="968"/>
      <c r="E2" s="968"/>
      <c r="F2" s="969" t="str">
        <f>"TOTAL 
"&amp;UPPER('1. Resumen'!Q4)</f>
        <v>TOTAL 
JUNIO</v>
      </c>
      <c r="G2" s="447" t="s">
        <v>320</v>
      </c>
      <c r="H2" s="268"/>
      <c r="I2" s="268"/>
      <c r="J2" s="268"/>
      <c r="K2" s="268"/>
      <c r="L2" s="269"/>
    </row>
    <row r="3" spans="1:12" ht="11.25" customHeight="1">
      <c r="A3" s="973"/>
      <c r="B3" s="965"/>
      <c r="C3" s="431" t="s">
        <v>241</v>
      </c>
      <c r="D3" s="431" t="s">
        <v>242</v>
      </c>
      <c r="E3" s="431" t="s">
        <v>321</v>
      </c>
      <c r="F3" s="970"/>
      <c r="G3" s="447">
        <v>2018</v>
      </c>
      <c r="H3" s="271"/>
      <c r="I3" s="270"/>
      <c r="J3" s="270"/>
      <c r="K3" s="270"/>
      <c r="L3" s="269"/>
    </row>
    <row r="4" spans="1:12" ht="11.25" customHeight="1">
      <c r="A4" s="974"/>
      <c r="B4" s="975"/>
      <c r="C4" s="448" t="s">
        <v>322</v>
      </c>
      <c r="D4" s="448" t="s">
        <v>322</v>
      </c>
      <c r="E4" s="448" t="s">
        <v>322</v>
      </c>
      <c r="F4" s="448" t="s">
        <v>322</v>
      </c>
      <c r="G4" s="449" t="s">
        <v>224</v>
      </c>
      <c r="H4" s="271"/>
      <c r="I4" s="271"/>
      <c r="J4" s="271"/>
      <c r="K4" s="271"/>
      <c r="L4" s="12"/>
    </row>
    <row r="5" spans="1:12">
      <c r="A5" s="439" t="s">
        <v>278</v>
      </c>
      <c r="B5" s="436" t="s">
        <v>411</v>
      </c>
      <c r="C5" s="437"/>
      <c r="D5" s="437">
        <v>488.78449499999999</v>
      </c>
      <c r="E5" s="437"/>
      <c r="F5" s="437">
        <v>488.78449499999999</v>
      </c>
      <c r="G5" s="438">
        <v>678.40875500000016</v>
      </c>
    </row>
    <row r="6" spans="1:12">
      <c r="A6" s="441" t="s">
        <v>412</v>
      </c>
      <c r="B6" s="442"/>
      <c r="C6" s="443"/>
      <c r="D6" s="443">
        <v>488.78449499999999</v>
      </c>
      <c r="E6" s="443"/>
      <c r="F6" s="443">
        <v>488.78449499999999</v>
      </c>
      <c r="G6" s="444">
        <v>678.40875500000016</v>
      </c>
    </row>
    <row r="7" spans="1:12">
      <c r="A7" s="439" t="s">
        <v>110</v>
      </c>
      <c r="B7" s="436" t="s">
        <v>65</v>
      </c>
      <c r="C7" s="437"/>
      <c r="D7" s="437"/>
      <c r="E7" s="437">
        <v>8957.8125174999986</v>
      </c>
      <c r="F7" s="437">
        <v>8957.8125174999986</v>
      </c>
      <c r="G7" s="438">
        <v>70905.860982500002</v>
      </c>
    </row>
    <row r="8" spans="1:12">
      <c r="A8" s="441" t="s">
        <v>413</v>
      </c>
      <c r="B8" s="442"/>
      <c r="C8" s="443"/>
      <c r="D8" s="443"/>
      <c r="E8" s="443">
        <v>8957.8125174999986</v>
      </c>
      <c r="F8" s="443">
        <v>8957.8125174999986</v>
      </c>
      <c r="G8" s="444">
        <v>70905.860982500002</v>
      </c>
    </row>
    <row r="9" spans="1:12">
      <c r="A9" s="439" t="s">
        <v>279</v>
      </c>
      <c r="B9" s="436" t="s">
        <v>414</v>
      </c>
      <c r="C9" s="437"/>
      <c r="D9" s="437">
        <v>6084.9242750000003</v>
      </c>
      <c r="E9" s="437"/>
      <c r="F9" s="437">
        <v>6084.9242750000003</v>
      </c>
      <c r="G9" s="438">
        <v>30931.951177499999</v>
      </c>
    </row>
    <row r="10" spans="1:12">
      <c r="A10" s="441" t="s">
        <v>415</v>
      </c>
      <c r="B10" s="442"/>
      <c r="C10" s="443"/>
      <c r="D10" s="443">
        <v>6084.9242750000003</v>
      </c>
      <c r="E10" s="443"/>
      <c r="F10" s="443">
        <v>6084.9242750000003</v>
      </c>
      <c r="G10" s="444">
        <v>30931.951177499999</v>
      </c>
    </row>
    <row r="11" spans="1:12">
      <c r="A11" s="439" t="s">
        <v>101</v>
      </c>
      <c r="B11" s="436" t="s">
        <v>416</v>
      </c>
      <c r="C11" s="437">
        <v>53228.568802499998</v>
      </c>
      <c r="D11" s="437"/>
      <c r="E11" s="437"/>
      <c r="F11" s="437">
        <v>53228.568802499998</v>
      </c>
      <c r="G11" s="438">
        <v>436793.94324749999</v>
      </c>
    </row>
    <row r="12" spans="1:12">
      <c r="A12" s="441" t="s">
        <v>417</v>
      </c>
      <c r="B12" s="442"/>
      <c r="C12" s="443">
        <v>53228.568802499998</v>
      </c>
      <c r="D12" s="443"/>
      <c r="E12" s="443"/>
      <c r="F12" s="443">
        <v>53228.568802499998</v>
      </c>
      <c r="G12" s="444">
        <v>436793.94324749999</v>
      </c>
    </row>
    <row r="13" spans="1:12">
      <c r="A13" s="439" t="s">
        <v>280</v>
      </c>
      <c r="B13" s="436" t="s">
        <v>69</v>
      </c>
      <c r="C13" s="437"/>
      <c r="D13" s="437"/>
      <c r="E13" s="437">
        <v>3308.2820975</v>
      </c>
      <c r="F13" s="437">
        <v>3308.2820975</v>
      </c>
      <c r="G13" s="438">
        <v>33675.425709999996</v>
      </c>
    </row>
    <row r="14" spans="1:12">
      <c r="A14" s="439"/>
      <c r="B14" s="436" t="s">
        <v>68</v>
      </c>
      <c r="C14" s="437"/>
      <c r="D14" s="437"/>
      <c r="E14" s="437">
        <v>3578.6952799999999</v>
      </c>
      <c r="F14" s="437">
        <v>3578.6952799999999</v>
      </c>
      <c r="G14" s="438">
        <v>35268.570607500005</v>
      </c>
    </row>
    <row r="15" spans="1:12">
      <c r="A15" s="439"/>
      <c r="B15" s="436" t="s">
        <v>72</v>
      </c>
      <c r="C15" s="437"/>
      <c r="D15" s="437"/>
      <c r="E15" s="437">
        <v>1451.6324575000001</v>
      </c>
      <c r="F15" s="437">
        <v>1451.6324575000001</v>
      </c>
      <c r="G15" s="438">
        <v>20091.120952499998</v>
      </c>
    </row>
    <row r="16" spans="1:12">
      <c r="A16" s="439"/>
      <c r="B16" s="436" t="s">
        <v>71</v>
      </c>
      <c r="C16" s="437"/>
      <c r="D16" s="437"/>
      <c r="E16" s="437">
        <v>1696.896835</v>
      </c>
      <c r="F16" s="437">
        <v>1696.896835</v>
      </c>
      <c r="G16" s="438">
        <v>22015.741955000001</v>
      </c>
    </row>
    <row r="17" spans="1:7">
      <c r="A17" s="441" t="s">
        <v>418</v>
      </c>
      <c r="B17" s="442"/>
      <c r="C17" s="443"/>
      <c r="D17" s="443"/>
      <c r="E17" s="443">
        <v>10035.506669999999</v>
      </c>
      <c r="F17" s="443">
        <v>10035.506669999999</v>
      </c>
      <c r="G17" s="444">
        <v>111050.85922500001</v>
      </c>
    </row>
    <row r="18" spans="1:7">
      <c r="A18" s="439" t="s">
        <v>108</v>
      </c>
      <c r="B18" s="436" t="s">
        <v>419</v>
      </c>
      <c r="C18" s="437"/>
      <c r="D18" s="437">
        <v>20364.055325000001</v>
      </c>
      <c r="E18" s="437"/>
      <c r="F18" s="437">
        <v>20364.055325000001</v>
      </c>
      <c r="G18" s="438">
        <v>117597.10261250001</v>
      </c>
    </row>
    <row r="19" spans="1:7">
      <c r="A19" s="441" t="s">
        <v>420</v>
      </c>
      <c r="B19" s="442"/>
      <c r="C19" s="443"/>
      <c r="D19" s="443">
        <v>20364.055325000001</v>
      </c>
      <c r="E19" s="443"/>
      <c r="F19" s="443">
        <v>20364.055325000001</v>
      </c>
      <c r="G19" s="444">
        <v>117597.10261250001</v>
      </c>
    </row>
    <row r="20" spans="1:7">
      <c r="A20" s="439" t="s">
        <v>126</v>
      </c>
      <c r="B20" s="436" t="s">
        <v>421</v>
      </c>
      <c r="C20" s="437"/>
      <c r="D20" s="437">
        <v>0</v>
      </c>
      <c r="E20" s="437"/>
      <c r="F20" s="437">
        <v>0</v>
      </c>
      <c r="G20" s="438">
        <v>1321.00341</v>
      </c>
    </row>
    <row r="21" spans="1:7">
      <c r="A21" s="441" t="s">
        <v>422</v>
      </c>
      <c r="B21" s="442"/>
      <c r="C21" s="443"/>
      <c r="D21" s="443">
        <v>0</v>
      </c>
      <c r="E21" s="443"/>
      <c r="F21" s="443">
        <v>0</v>
      </c>
      <c r="G21" s="444">
        <v>1321.00341</v>
      </c>
    </row>
    <row r="22" spans="1:7">
      <c r="A22" s="439" t="s">
        <v>119</v>
      </c>
      <c r="B22" s="436" t="s">
        <v>73</v>
      </c>
      <c r="C22" s="437"/>
      <c r="D22" s="437"/>
      <c r="E22" s="437">
        <v>3855.760225</v>
      </c>
      <c r="F22" s="437">
        <v>3855.760225</v>
      </c>
      <c r="G22" s="438">
        <v>30361.638172500003</v>
      </c>
    </row>
    <row r="23" spans="1:7">
      <c r="A23" s="441" t="s">
        <v>423</v>
      </c>
      <c r="B23" s="442"/>
      <c r="C23" s="443"/>
      <c r="D23" s="443"/>
      <c r="E23" s="443">
        <v>3855.760225</v>
      </c>
      <c r="F23" s="443">
        <v>3855.760225</v>
      </c>
      <c r="G23" s="444">
        <v>30361.638172500003</v>
      </c>
    </row>
    <row r="24" spans="1:7">
      <c r="A24" s="439" t="s">
        <v>96</v>
      </c>
      <c r="B24" s="436" t="s">
        <v>424</v>
      </c>
      <c r="C24" s="437">
        <v>22272.073915000001</v>
      </c>
      <c r="D24" s="437"/>
      <c r="E24" s="437"/>
      <c r="F24" s="437">
        <v>22272.073915000001</v>
      </c>
      <c r="G24" s="438">
        <v>164691.59907249999</v>
      </c>
    </row>
    <row r="25" spans="1:7">
      <c r="A25" s="439"/>
      <c r="B25" s="436" t="s">
        <v>425</v>
      </c>
      <c r="C25" s="437">
        <v>49120.061560000002</v>
      </c>
      <c r="D25" s="437"/>
      <c r="E25" s="437"/>
      <c r="F25" s="437">
        <v>49120.061560000002</v>
      </c>
      <c r="G25" s="438">
        <v>543301.44609750004</v>
      </c>
    </row>
    <row r="26" spans="1:7">
      <c r="A26" s="439"/>
      <c r="B26" s="436" t="s">
        <v>426</v>
      </c>
      <c r="C26" s="437">
        <v>5343.0545050000001</v>
      </c>
      <c r="D26" s="437"/>
      <c r="E26" s="437"/>
      <c r="F26" s="437">
        <v>5343.0545050000001</v>
      </c>
      <c r="G26" s="438">
        <v>70740.764915000007</v>
      </c>
    </row>
    <row r="27" spans="1:7">
      <c r="A27" s="439"/>
      <c r="B27" s="436" t="s">
        <v>427</v>
      </c>
      <c r="C27" s="437">
        <v>0</v>
      </c>
      <c r="D27" s="437"/>
      <c r="E27" s="437"/>
      <c r="F27" s="437">
        <v>0</v>
      </c>
      <c r="G27" s="438">
        <v>57.626620000000003</v>
      </c>
    </row>
    <row r="28" spans="1:7">
      <c r="A28" s="439"/>
      <c r="B28" s="436" t="s">
        <v>428</v>
      </c>
      <c r="C28" s="437">
        <v>14637.710915</v>
      </c>
      <c r="D28" s="437"/>
      <c r="E28" s="437"/>
      <c r="F28" s="437">
        <v>14637.710915</v>
      </c>
      <c r="G28" s="438">
        <v>120330.25958999999</v>
      </c>
    </row>
    <row r="29" spans="1:7">
      <c r="A29" s="439"/>
      <c r="B29" s="436" t="s">
        <v>429</v>
      </c>
      <c r="C29" s="437">
        <v>1451.0465999999999</v>
      </c>
      <c r="D29" s="437"/>
      <c r="E29" s="437"/>
      <c r="F29" s="437">
        <v>1451.0465999999999</v>
      </c>
      <c r="G29" s="438">
        <v>12561.66504</v>
      </c>
    </row>
    <row r="30" spans="1:7">
      <c r="A30" s="439"/>
      <c r="B30" s="436" t="s">
        <v>430</v>
      </c>
      <c r="C30" s="437">
        <v>4576.8043799999996</v>
      </c>
      <c r="D30" s="437"/>
      <c r="E30" s="437"/>
      <c r="F30" s="437">
        <v>4576.8043799999996</v>
      </c>
      <c r="G30" s="438">
        <v>30400.194345</v>
      </c>
    </row>
    <row r="31" spans="1:7">
      <c r="A31" s="439"/>
      <c r="B31" s="436" t="s">
        <v>431</v>
      </c>
      <c r="C31" s="437">
        <v>2152.3260025</v>
      </c>
      <c r="D31" s="437"/>
      <c r="E31" s="437"/>
      <c r="F31" s="437">
        <v>2152.3260025</v>
      </c>
      <c r="G31" s="438">
        <v>17494.133942500001</v>
      </c>
    </row>
    <row r="32" spans="1:7">
      <c r="A32" s="439"/>
      <c r="B32" s="436" t="s">
        <v>432</v>
      </c>
      <c r="C32" s="437">
        <v>1514.0215199999998</v>
      </c>
      <c r="D32" s="437"/>
      <c r="E32" s="437"/>
      <c r="F32" s="437">
        <v>1514.0215199999998</v>
      </c>
      <c r="G32" s="438">
        <v>12154.274104999999</v>
      </c>
    </row>
    <row r="33" spans="1:7">
      <c r="A33" s="439"/>
      <c r="B33" s="436" t="s">
        <v>433</v>
      </c>
      <c r="C33" s="437">
        <v>32.338227500000002</v>
      </c>
      <c r="D33" s="437"/>
      <c r="E33" s="437"/>
      <c r="F33" s="437">
        <v>32.338227500000002</v>
      </c>
      <c r="G33" s="438">
        <v>440.476495</v>
      </c>
    </row>
    <row r="34" spans="1:7">
      <c r="A34" s="439"/>
      <c r="B34" s="436" t="s">
        <v>434</v>
      </c>
      <c r="C34" s="437">
        <v>188.6496975</v>
      </c>
      <c r="D34" s="437"/>
      <c r="E34" s="437"/>
      <c r="F34" s="437">
        <v>188.6496975</v>
      </c>
      <c r="G34" s="438">
        <v>595.72413000000006</v>
      </c>
    </row>
    <row r="35" spans="1:7">
      <c r="A35" s="439"/>
      <c r="B35" s="436" t="s">
        <v>435</v>
      </c>
      <c r="C35" s="437">
        <v>67243.840567499996</v>
      </c>
      <c r="D35" s="437"/>
      <c r="E35" s="437"/>
      <c r="F35" s="437">
        <v>67243.840567499996</v>
      </c>
      <c r="G35" s="438">
        <v>411146.80895749998</v>
      </c>
    </row>
    <row r="36" spans="1:7">
      <c r="A36" s="441" t="s">
        <v>436</v>
      </c>
      <c r="B36" s="442"/>
      <c r="C36" s="443">
        <v>168531.92788999999</v>
      </c>
      <c r="D36" s="443"/>
      <c r="E36" s="443"/>
      <c r="F36" s="443">
        <v>168531.92788999999</v>
      </c>
      <c r="G36" s="444">
        <v>1383914.9733099998</v>
      </c>
    </row>
    <row r="37" spans="1:7">
      <c r="A37" s="439" t="s">
        <v>115</v>
      </c>
      <c r="B37" s="436" t="s">
        <v>264</v>
      </c>
      <c r="C37" s="437"/>
      <c r="D37" s="437"/>
      <c r="E37" s="437">
        <v>2427.7436750000002</v>
      </c>
      <c r="F37" s="437">
        <v>2427.7436750000002</v>
      </c>
      <c r="G37" s="438">
        <v>23872.710632499999</v>
      </c>
    </row>
    <row r="38" spans="1:7">
      <c r="A38" s="441" t="s">
        <v>437</v>
      </c>
      <c r="B38" s="442"/>
      <c r="C38" s="443"/>
      <c r="D38" s="443"/>
      <c r="E38" s="443">
        <v>2427.7436750000002</v>
      </c>
      <c r="F38" s="443">
        <v>2427.7436750000002</v>
      </c>
      <c r="G38" s="444">
        <v>23872.710632499999</v>
      </c>
    </row>
    <row r="39" spans="1:7">
      <c r="A39" s="439" t="s">
        <v>625</v>
      </c>
      <c r="B39" s="436" t="s">
        <v>568</v>
      </c>
      <c r="C39" s="437"/>
      <c r="D39" s="437">
        <v>209363.3454925</v>
      </c>
      <c r="E39" s="437"/>
      <c r="F39" s="437">
        <v>209363.3454925</v>
      </c>
      <c r="G39" s="438">
        <v>629757.65175499988</v>
      </c>
    </row>
    <row r="40" spans="1:7">
      <c r="A40" s="441" t="s">
        <v>438</v>
      </c>
      <c r="B40" s="442"/>
      <c r="C40" s="443"/>
      <c r="D40" s="443">
        <v>209363.3454925</v>
      </c>
      <c r="E40" s="443"/>
      <c r="F40" s="443">
        <v>209363.3454925</v>
      </c>
      <c r="G40" s="444">
        <v>629757.65175499988</v>
      </c>
    </row>
    <row r="41" spans="1:7">
      <c r="A41" s="439" t="s">
        <v>111</v>
      </c>
      <c r="B41" s="436" t="s">
        <v>439</v>
      </c>
      <c r="C41" s="437"/>
      <c r="D41" s="437">
        <v>21770.748822500002</v>
      </c>
      <c r="E41" s="437"/>
      <c r="F41" s="437">
        <v>21770.748822500002</v>
      </c>
      <c r="G41" s="438">
        <v>113078.60665</v>
      </c>
    </row>
    <row r="42" spans="1:7">
      <c r="A42" s="441" t="s">
        <v>440</v>
      </c>
      <c r="B42" s="442"/>
      <c r="C42" s="443"/>
      <c r="D42" s="443">
        <v>21770.748822500002</v>
      </c>
      <c r="E42" s="443"/>
      <c r="F42" s="443">
        <v>21770.748822500002</v>
      </c>
      <c r="G42" s="444">
        <v>113078.60665</v>
      </c>
    </row>
    <row r="43" spans="1:7">
      <c r="A43" s="439" t="s">
        <v>519</v>
      </c>
      <c r="B43" s="436" t="s">
        <v>637</v>
      </c>
      <c r="C43" s="437"/>
      <c r="D43" s="437"/>
      <c r="E43" s="437">
        <v>13332.110280000001</v>
      </c>
      <c r="F43" s="437">
        <v>13332.110280000001</v>
      </c>
      <c r="G43" s="438">
        <v>49626.336770000009</v>
      </c>
    </row>
    <row r="44" spans="1:7">
      <c r="A44" s="441" t="s">
        <v>521</v>
      </c>
      <c r="B44" s="442"/>
      <c r="C44" s="443"/>
      <c r="D44" s="443"/>
      <c r="E44" s="443">
        <v>13332.110280000001</v>
      </c>
      <c r="F44" s="443">
        <v>13332.110280000001</v>
      </c>
      <c r="G44" s="444">
        <v>49626.336770000009</v>
      </c>
    </row>
    <row r="45" spans="1:7" ht="12.75" customHeight="1">
      <c r="A45" s="770" t="s">
        <v>626</v>
      </c>
      <c r="B45" s="771" t="s">
        <v>392</v>
      </c>
      <c r="C45" s="772">
        <v>13503.046330000001</v>
      </c>
      <c r="D45" s="772"/>
      <c r="E45" s="772"/>
      <c r="F45" s="772">
        <v>13503.046330000001</v>
      </c>
      <c r="G45" s="773">
        <v>83102.728885000019</v>
      </c>
    </row>
    <row r="46" spans="1:7" ht="13.5" customHeight="1">
      <c r="A46" s="777" t="s">
        <v>547</v>
      </c>
      <c r="B46" s="774"/>
      <c r="C46" s="775">
        <v>13503.046330000001</v>
      </c>
      <c r="D46" s="775"/>
      <c r="E46" s="775"/>
      <c r="F46" s="775">
        <v>13503.046330000001</v>
      </c>
      <c r="G46" s="776">
        <v>83102.728885000019</v>
      </c>
    </row>
    <row r="48" spans="1:7">
      <c r="A48" s="450" t="s">
        <v>441</v>
      </c>
      <c r="B48" s="451"/>
      <c r="C48" s="452">
        <v>2023223.5365575</v>
      </c>
      <c r="D48" s="452">
        <v>1836050.5217050002</v>
      </c>
      <c r="E48" s="452">
        <v>275646.58719249995</v>
      </c>
      <c r="F48" s="452">
        <v>4134920.6454549995</v>
      </c>
      <c r="G48" s="452">
        <v>25121457.635962509</v>
      </c>
    </row>
    <row r="49" spans="1:10">
      <c r="A49" s="454" t="s">
        <v>442</v>
      </c>
      <c r="B49" s="455"/>
      <c r="C49" s="456"/>
      <c r="D49" s="456"/>
      <c r="E49" s="457"/>
      <c r="F49" s="453">
        <v>1704.123</v>
      </c>
      <c r="G49" s="453">
        <v>3824.8099999999995</v>
      </c>
    </row>
    <row r="50" spans="1:10">
      <c r="A50" s="458" t="s">
        <v>443</v>
      </c>
      <c r="B50" s="459"/>
      <c r="C50" s="460"/>
      <c r="D50" s="460"/>
      <c r="E50" s="461"/>
      <c r="F50" s="453">
        <v>0</v>
      </c>
      <c r="G50" s="453">
        <v>0</v>
      </c>
    </row>
    <row r="51" spans="1:10" ht="6.75" customHeight="1"/>
    <row r="52" spans="1:10" ht="23.25" customHeight="1">
      <c r="A52" s="976" t="s">
        <v>444</v>
      </c>
      <c r="B52" s="976"/>
      <c r="C52" s="976"/>
      <c r="D52" s="976"/>
      <c r="E52" s="976"/>
      <c r="F52" s="976"/>
      <c r="G52" s="976"/>
    </row>
    <row r="53" spans="1:10" ht="8.25" customHeight="1"/>
    <row r="54" spans="1:10">
      <c r="A54" s="462" t="s">
        <v>572</v>
      </c>
      <c r="B54" s="462"/>
      <c r="C54" s="462"/>
      <c r="D54" s="462"/>
      <c r="E54" s="462"/>
      <c r="F54" s="462"/>
    </row>
    <row r="55" spans="1:10" s="805" customFormat="1">
      <c r="A55" s="462" t="s">
        <v>615</v>
      </c>
      <c r="B55" s="462"/>
      <c r="C55" s="462"/>
      <c r="D55" s="462"/>
      <c r="E55" s="462"/>
      <c r="F55" s="462"/>
      <c r="G55" s="50"/>
      <c r="H55" s="50"/>
      <c r="I55" s="50"/>
      <c r="J55" s="50"/>
    </row>
    <row r="56" spans="1:10">
      <c r="A56" s="462" t="s">
        <v>616</v>
      </c>
      <c r="B56" s="462"/>
      <c r="C56" s="462"/>
      <c r="D56" s="462"/>
      <c r="E56" s="462"/>
      <c r="F56" s="462"/>
    </row>
    <row r="57" spans="1:10">
      <c r="A57" s="462" t="s">
        <v>617</v>
      </c>
      <c r="B57" s="462"/>
      <c r="C57" s="462"/>
      <c r="D57" s="462"/>
      <c r="E57" s="462"/>
      <c r="F57" s="462"/>
    </row>
    <row r="58" spans="1:10">
      <c r="A58" s="462" t="s">
        <v>618</v>
      </c>
      <c r="B58" s="462"/>
      <c r="C58" s="462"/>
      <c r="D58" s="462"/>
      <c r="E58" s="462"/>
      <c r="F58" s="462"/>
    </row>
    <row r="59" spans="1:10">
      <c r="A59" s="462" t="s">
        <v>619</v>
      </c>
      <c r="B59" s="462"/>
      <c r="C59" s="462"/>
      <c r="D59" s="462"/>
      <c r="E59" s="462"/>
      <c r="F59" s="462"/>
    </row>
    <row r="60" spans="1:10">
      <c r="A60" s="462" t="s">
        <v>620</v>
      </c>
      <c r="B60" s="462"/>
      <c r="C60" s="462"/>
      <c r="D60" s="462"/>
      <c r="E60" s="462"/>
      <c r="F60" s="462"/>
    </row>
    <row r="61" spans="1:10">
      <c r="A61" s="462" t="s">
        <v>621</v>
      </c>
      <c r="B61" s="462"/>
      <c r="C61" s="462"/>
      <c r="D61" s="462"/>
      <c r="E61" s="462"/>
      <c r="F61" s="462"/>
    </row>
    <row r="62" spans="1:10">
      <c r="A62" s="462" t="s">
        <v>622</v>
      </c>
      <c r="B62" s="462"/>
      <c r="C62" s="462"/>
      <c r="D62" s="462"/>
      <c r="E62" s="462"/>
      <c r="F62" s="462"/>
    </row>
    <row r="63" spans="1:10">
      <c r="A63" s="50" t="s">
        <v>639</v>
      </c>
    </row>
  </sheetData>
  <mergeCells count="6">
    <mergeCell ref="A52:G52"/>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Junio 2018
INFSGI-MES-06-2018
10/07/2018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6"/>
  <sheetViews>
    <sheetView showGridLines="0" view="pageBreakPreview" zoomScale="130" zoomScaleNormal="100" zoomScaleSheetLayoutView="130" zoomScalePageLayoutView="160" workbookViewId="0">
      <selection activeCell="R31" sqref="R31"/>
    </sheetView>
  </sheetViews>
  <sheetFormatPr defaultRowHeight="9"/>
  <cols>
    <col min="1" max="1" width="28.6640625" style="462" customWidth="1"/>
    <col min="2" max="2" width="22.1640625" style="462" customWidth="1"/>
    <col min="3" max="4" width="17.6640625" style="462" customWidth="1"/>
    <col min="5" max="5" width="15.1640625" style="462" customWidth="1"/>
    <col min="6" max="6" width="13.33203125" style="462" customWidth="1"/>
    <col min="7" max="9" width="9.33203125" style="462"/>
    <col min="10" max="11" width="9.33203125" style="462" customWidth="1"/>
    <col min="12" max="13" width="9.33203125" style="462"/>
    <col min="14" max="16384" width="9.33203125" style="463"/>
  </cols>
  <sheetData>
    <row r="1" spans="1:12" ht="11.25" customHeight="1">
      <c r="A1" s="445" t="s">
        <v>455</v>
      </c>
    </row>
    <row r="2" spans="1:12" ht="11.25" customHeight="1">
      <c r="A2" s="977" t="s">
        <v>287</v>
      </c>
      <c r="B2" s="980" t="s">
        <v>57</v>
      </c>
      <c r="C2" s="980" t="s">
        <v>456</v>
      </c>
      <c r="D2" s="980"/>
      <c r="E2" s="980"/>
      <c r="F2" s="983"/>
      <c r="G2" s="464"/>
      <c r="H2" s="464"/>
      <c r="I2" s="464"/>
      <c r="J2" s="464"/>
      <c r="K2" s="464"/>
    </row>
    <row r="3" spans="1:12" ht="11.25" customHeight="1">
      <c r="A3" s="978"/>
      <c r="B3" s="981"/>
      <c r="C3" s="486" t="str">
        <f>UPPER('1. Resumen'!Q4)&amp;" "&amp;'1. Resumen'!Q5</f>
        <v>JUNIO 2018</v>
      </c>
      <c r="D3" s="487" t="str">
        <f>UPPER('1. Resumen'!Q4)&amp;" "&amp;'1. Resumen'!Q5-1</f>
        <v>JUNIO 2017</v>
      </c>
      <c r="E3" s="488">
        <v>2018</v>
      </c>
      <c r="F3" s="465" t="s">
        <v>454</v>
      </c>
      <c r="G3" s="466"/>
      <c r="H3" s="466"/>
      <c r="I3" s="466"/>
      <c r="J3" s="466"/>
      <c r="K3" s="466"/>
      <c r="L3" s="467"/>
    </row>
    <row r="4" spans="1:12" ht="11.25" customHeight="1">
      <c r="A4" s="978"/>
      <c r="B4" s="981"/>
      <c r="C4" s="489">
        <f>+'8. Max Potencia'!D8</f>
        <v>43256.78125</v>
      </c>
      <c r="D4" s="489">
        <f>+'8. Max Potencia'!E8</f>
        <v>42907.864583333336</v>
      </c>
      <c r="E4" s="489">
        <f>+'8. Max Potencia'!G8</f>
        <v>43214.78125</v>
      </c>
      <c r="F4" s="490" t="s">
        <v>445</v>
      </c>
      <c r="G4" s="468"/>
      <c r="H4" s="468"/>
      <c r="I4" s="469"/>
      <c r="J4" s="469"/>
      <c r="K4" s="469"/>
      <c r="L4" s="467"/>
    </row>
    <row r="5" spans="1:12" ht="11.25" customHeight="1">
      <c r="A5" s="979"/>
      <c r="B5" s="982"/>
      <c r="C5" s="491">
        <f>+'8. Max Potencia'!D9</f>
        <v>43256.78125</v>
      </c>
      <c r="D5" s="491">
        <f>+'8. Max Potencia'!E9</f>
        <v>42907.864583333336</v>
      </c>
      <c r="E5" s="491">
        <f>+'8. Max Potencia'!G9</f>
        <v>43214.78125</v>
      </c>
      <c r="F5" s="492" t="s">
        <v>446</v>
      </c>
      <c r="G5" s="468"/>
      <c r="H5" s="468"/>
      <c r="I5" s="468"/>
      <c r="J5" s="468"/>
      <c r="K5" s="468"/>
      <c r="L5" s="470"/>
    </row>
    <row r="6" spans="1:12" ht="11.25" customHeight="1">
      <c r="A6" s="440" t="s">
        <v>128</v>
      </c>
      <c r="B6" s="484" t="s">
        <v>92</v>
      </c>
      <c r="C6" s="485">
        <v>0</v>
      </c>
      <c r="D6" s="485">
        <v>0</v>
      </c>
      <c r="E6" s="485">
        <v>0</v>
      </c>
      <c r="F6" s="654" t="str">
        <f>+IF(D6=0,"",C6/D6-1)</f>
        <v/>
      </c>
      <c r="G6" s="468"/>
      <c r="H6" s="468"/>
      <c r="I6" s="468"/>
      <c r="J6" s="468"/>
      <c r="K6" s="468"/>
      <c r="L6" s="471"/>
    </row>
    <row r="7" spans="1:12" ht="11.25" customHeight="1">
      <c r="A7" s="441" t="s">
        <v>323</v>
      </c>
      <c r="B7" s="442"/>
      <c r="C7" s="479">
        <v>0</v>
      </c>
      <c r="D7" s="479">
        <v>0</v>
      </c>
      <c r="E7" s="479">
        <v>0</v>
      </c>
      <c r="F7" s="483" t="str">
        <f t="shared" ref="F7:F65" si="0">+IF(D7=0,"",C7/D7-1)</f>
        <v/>
      </c>
      <c r="G7" s="468"/>
      <c r="H7" s="468"/>
      <c r="I7" s="468"/>
      <c r="J7" s="468"/>
      <c r="K7" s="468"/>
      <c r="L7" s="386"/>
    </row>
    <row r="8" spans="1:12" ht="11.25" customHeight="1">
      <c r="A8" s="435" t="s">
        <v>127</v>
      </c>
      <c r="B8" s="480" t="s">
        <v>67</v>
      </c>
      <c r="C8" s="481">
        <v>18.205300000000001</v>
      </c>
      <c r="D8" s="481">
        <v>14.63743</v>
      </c>
      <c r="E8" s="481">
        <v>19.946739999999998</v>
      </c>
      <c r="F8" s="482">
        <f t="shared" si="0"/>
        <v>0.24374975661711118</v>
      </c>
      <c r="G8" s="468"/>
      <c r="H8" s="468"/>
      <c r="I8" s="468"/>
      <c r="J8" s="468"/>
      <c r="K8" s="468"/>
      <c r="L8" s="472"/>
    </row>
    <row r="9" spans="1:12" ht="11.25" customHeight="1">
      <c r="A9" s="441" t="s">
        <v>324</v>
      </c>
      <c r="B9" s="442"/>
      <c r="C9" s="479">
        <v>18.205300000000001</v>
      </c>
      <c r="D9" s="479">
        <v>14.63743</v>
      </c>
      <c r="E9" s="479">
        <v>19.946739999999998</v>
      </c>
      <c r="F9" s="483">
        <f t="shared" si="0"/>
        <v>0.24374975661711118</v>
      </c>
      <c r="G9" s="468"/>
      <c r="H9" s="468"/>
      <c r="I9" s="468"/>
      <c r="J9" s="468"/>
      <c r="K9" s="468"/>
      <c r="L9" s="386"/>
    </row>
    <row r="10" spans="1:12" ht="11.25" customHeight="1">
      <c r="A10" s="435" t="s">
        <v>112</v>
      </c>
      <c r="B10" s="480" t="s">
        <v>89</v>
      </c>
      <c r="C10" s="481">
        <v>0</v>
      </c>
      <c r="D10" s="481">
        <v>14.744210000000001</v>
      </c>
      <c r="E10" s="481">
        <v>14.774369999999999</v>
      </c>
      <c r="F10" s="482">
        <f t="shared" si="0"/>
        <v>-1</v>
      </c>
      <c r="G10" s="468"/>
      <c r="H10" s="468"/>
      <c r="I10" s="468"/>
      <c r="J10" s="468"/>
      <c r="K10" s="468"/>
      <c r="L10" s="386"/>
    </row>
    <row r="11" spans="1:12" ht="11.25" customHeight="1">
      <c r="A11" s="441" t="s">
        <v>325</v>
      </c>
      <c r="B11" s="442"/>
      <c r="C11" s="479">
        <v>0</v>
      </c>
      <c r="D11" s="479">
        <v>14.744210000000001</v>
      </c>
      <c r="E11" s="479">
        <v>14.774369999999999</v>
      </c>
      <c r="F11" s="483">
        <f t="shared" si="0"/>
        <v>-1</v>
      </c>
      <c r="G11" s="468"/>
      <c r="H11" s="468"/>
      <c r="I11" s="468"/>
      <c r="J11" s="468"/>
      <c r="K11" s="468"/>
      <c r="L11" s="386"/>
    </row>
    <row r="12" spans="1:12" ht="11.25" customHeight="1">
      <c r="A12" s="435" t="s">
        <v>100</v>
      </c>
      <c r="B12" s="480" t="s">
        <v>326</v>
      </c>
      <c r="C12" s="481">
        <v>196.94517999999999</v>
      </c>
      <c r="D12" s="481">
        <v>197.18293</v>
      </c>
      <c r="E12" s="481">
        <v>211.36326</v>
      </c>
      <c r="F12" s="482">
        <f t="shared" si="0"/>
        <v>-1.2057331737590493E-3</v>
      </c>
      <c r="G12" s="468"/>
      <c r="H12" s="468"/>
      <c r="I12" s="468"/>
      <c r="J12" s="468"/>
      <c r="K12" s="468"/>
      <c r="L12" s="386"/>
    </row>
    <row r="13" spans="1:12" ht="11.25" customHeight="1">
      <c r="A13" s="441" t="s">
        <v>327</v>
      </c>
      <c r="B13" s="442"/>
      <c r="C13" s="479">
        <v>196.94517999999999</v>
      </c>
      <c r="D13" s="479">
        <v>197.18293</v>
      </c>
      <c r="E13" s="479">
        <v>211.36326</v>
      </c>
      <c r="F13" s="483">
        <f t="shared" si="0"/>
        <v>-1.2057331737590493E-3</v>
      </c>
      <c r="G13" s="468"/>
      <c r="H13" s="468"/>
      <c r="I13" s="468"/>
      <c r="J13" s="468"/>
      <c r="K13" s="468"/>
      <c r="L13" s="472"/>
    </row>
    <row r="14" spans="1:12" ht="11.25" customHeight="1">
      <c r="A14" s="435" t="s">
        <v>130</v>
      </c>
      <c r="B14" s="480" t="s">
        <v>397</v>
      </c>
      <c r="C14" s="481"/>
      <c r="D14" s="481">
        <v>92.333160000000007</v>
      </c>
      <c r="E14" s="481"/>
      <c r="F14" s="482">
        <f t="shared" si="0"/>
        <v>-1</v>
      </c>
      <c r="G14" s="468"/>
      <c r="H14" s="468"/>
      <c r="I14" s="468"/>
      <c r="J14" s="468"/>
      <c r="K14" s="468"/>
      <c r="L14" s="386"/>
    </row>
    <row r="15" spans="1:12" ht="11.25" customHeight="1">
      <c r="A15" s="441" t="s">
        <v>447</v>
      </c>
      <c r="B15" s="442"/>
      <c r="C15" s="479"/>
      <c r="D15" s="479">
        <v>92.333160000000007</v>
      </c>
      <c r="E15" s="479"/>
      <c r="F15" s="483">
        <f t="shared" si="0"/>
        <v>-1</v>
      </c>
      <c r="G15" s="468"/>
      <c r="H15" s="468"/>
      <c r="I15" s="468"/>
      <c r="J15" s="468"/>
      <c r="K15" s="468"/>
      <c r="L15" s="386"/>
    </row>
    <row r="16" spans="1:12" ht="11.25" customHeight="1">
      <c r="A16" s="435" t="s">
        <v>270</v>
      </c>
      <c r="B16" s="480" t="s">
        <v>328</v>
      </c>
      <c r="C16" s="481">
        <v>0</v>
      </c>
      <c r="D16" s="481">
        <v>0</v>
      </c>
      <c r="E16" s="481">
        <v>0</v>
      </c>
      <c r="F16" s="482" t="str">
        <f t="shared" si="0"/>
        <v/>
      </c>
      <c r="G16" s="468"/>
      <c r="H16" s="468"/>
      <c r="I16" s="468"/>
      <c r="J16" s="468"/>
      <c r="K16" s="468"/>
      <c r="L16" s="386"/>
    </row>
    <row r="17" spans="1:12" ht="11.25" customHeight="1">
      <c r="A17" s="441" t="s">
        <v>329</v>
      </c>
      <c r="B17" s="442"/>
      <c r="C17" s="479">
        <v>0</v>
      </c>
      <c r="D17" s="479">
        <v>0</v>
      </c>
      <c r="E17" s="479">
        <v>0</v>
      </c>
      <c r="F17" s="483" t="str">
        <f t="shared" si="0"/>
        <v/>
      </c>
      <c r="G17" s="468"/>
      <c r="H17" s="468"/>
      <c r="I17" s="468"/>
      <c r="J17" s="468"/>
      <c r="K17" s="468"/>
      <c r="L17" s="386"/>
    </row>
    <row r="18" spans="1:12" ht="11.25" customHeight="1">
      <c r="A18" s="439" t="s">
        <v>99</v>
      </c>
      <c r="B18" s="480" t="s">
        <v>330</v>
      </c>
      <c r="C18" s="481">
        <v>124.90932000000001</v>
      </c>
      <c r="D18" s="481">
        <v>122.3028</v>
      </c>
      <c r="E18" s="481">
        <v>150.04429999999999</v>
      </c>
      <c r="F18" s="482">
        <f t="shared" si="0"/>
        <v>2.1312022292212518E-2</v>
      </c>
      <c r="G18" s="468"/>
      <c r="H18" s="468"/>
      <c r="I18" s="468"/>
      <c r="J18" s="468"/>
      <c r="K18" s="468"/>
      <c r="L18" s="386"/>
    </row>
    <row r="19" spans="1:12" ht="11.25" customHeight="1">
      <c r="A19" s="435"/>
      <c r="B19" s="480" t="s">
        <v>331</v>
      </c>
      <c r="C19" s="481">
        <v>34.741689999999998</v>
      </c>
      <c r="D19" s="481">
        <v>20.109929999999999</v>
      </c>
      <c r="E19" s="481">
        <v>42.428910000000002</v>
      </c>
      <c r="F19" s="482">
        <f t="shared" si="0"/>
        <v>0.72758880811618942</v>
      </c>
      <c r="G19" s="468"/>
      <c r="H19" s="468"/>
      <c r="I19" s="468"/>
      <c r="J19" s="468"/>
      <c r="K19" s="468"/>
      <c r="L19" s="386"/>
    </row>
    <row r="20" spans="1:12" ht="11.25" customHeight="1">
      <c r="A20" s="441" t="s">
        <v>332</v>
      </c>
      <c r="B20" s="442"/>
      <c r="C20" s="479">
        <v>159.65101000000001</v>
      </c>
      <c r="D20" s="479">
        <v>142.41273000000001</v>
      </c>
      <c r="E20" s="479">
        <v>192.47320999999999</v>
      </c>
      <c r="F20" s="483">
        <f t="shared" si="0"/>
        <v>0.1210445161749234</v>
      </c>
      <c r="G20" s="468"/>
      <c r="H20" s="468"/>
      <c r="I20" s="468"/>
      <c r="J20" s="468"/>
      <c r="K20" s="468"/>
      <c r="L20" s="386"/>
    </row>
    <row r="21" spans="1:12" ht="11.25" customHeight="1">
      <c r="A21" s="435" t="s">
        <v>623</v>
      </c>
      <c r="B21" s="480" t="s">
        <v>91</v>
      </c>
      <c r="C21" s="481"/>
      <c r="D21" s="481">
        <v>1.4499</v>
      </c>
      <c r="E21" s="481"/>
      <c r="F21" s="482">
        <f t="shared" si="0"/>
        <v>-1</v>
      </c>
      <c r="G21" s="468"/>
      <c r="H21" s="468"/>
      <c r="I21" s="468"/>
      <c r="J21" s="468"/>
      <c r="K21" s="468"/>
      <c r="L21" s="473"/>
    </row>
    <row r="22" spans="1:12" ht="11.25" customHeight="1">
      <c r="A22" s="441" t="s">
        <v>448</v>
      </c>
      <c r="B22" s="442"/>
      <c r="C22" s="479"/>
      <c r="D22" s="479">
        <v>1.4499</v>
      </c>
      <c r="E22" s="479"/>
      <c r="F22" s="483">
        <f t="shared" si="0"/>
        <v>-1</v>
      </c>
      <c r="G22" s="468"/>
      <c r="H22" s="468"/>
      <c r="I22" s="468"/>
      <c r="J22" s="468"/>
      <c r="K22" s="468"/>
      <c r="L22" s="386"/>
    </row>
    <row r="23" spans="1:12" ht="11.25" customHeight="1">
      <c r="A23" s="439" t="s">
        <v>97</v>
      </c>
      <c r="B23" s="480" t="s">
        <v>333</v>
      </c>
      <c r="C23" s="481">
        <v>1.6860300000000001</v>
      </c>
      <c r="D23" s="481">
        <v>1.6935199999999999</v>
      </c>
      <c r="E23" s="481">
        <v>1.6834100000000001</v>
      </c>
      <c r="F23" s="482">
        <f t="shared" si="0"/>
        <v>-4.4227408002266433E-3</v>
      </c>
      <c r="G23" s="468"/>
      <c r="H23" s="468"/>
      <c r="I23" s="468"/>
      <c r="J23" s="468"/>
      <c r="K23" s="468"/>
      <c r="L23" s="386"/>
    </row>
    <row r="24" spans="1:12" ht="11.25" customHeight="1">
      <c r="A24" s="439"/>
      <c r="B24" s="480" t="s">
        <v>334</v>
      </c>
      <c r="C24" s="481">
        <v>0.56292999999999993</v>
      </c>
      <c r="D24" s="481">
        <v>0.57996000000000003</v>
      </c>
      <c r="E24" s="481">
        <v>0.57247000000000003</v>
      </c>
      <c r="F24" s="482">
        <f t="shared" si="0"/>
        <v>-2.9364094075453706E-2</v>
      </c>
      <c r="G24" s="468"/>
      <c r="H24" s="468"/>
      <c r="I24" s="468"/>
      <c r="J24" s="468"/>
      <c r="K24" s="468"/>
      <c r="L24" s="386"/>
    </row>
    <row r="25" spans="1:12" ht="11.25" customHeight="1">
      <c r="A25" s="439"/>
      <c r="B25" s="480" t="s">
        <v>335</v>
      </c>
      <c r="C25" s="481">
        <v>4.5377799999999997</v>
      </c>
      <c r="D25" s="481">
        <v>4.5414300000000001</v>
      </c>
      <c r="E25" s="481">
        <v>4.5586400000000005</v>
      </c>
      <c r="F25" s="482">
        <f t="shared" si="0"/>
        <v>-8.0371160625625215E-4</v>
      </c>
      <c r="G25" s="468"/>
      <c r="H25" s="468"/>
      <c r="I25" s="468"/>
      <c r="J25" s="468"/>
      <c r="K25" s="468"/>
      <c r="L25" s="473"/>
    </row>
    <row r="26" spans="1:12" ht="11.25" customHeight="1">
      <c r="A26" s="439"/>
      <c r="B26" s="480" t="s">
        <v>336</v>
      </c>
      <c r="C26" s="481">
        <v>10.176349999999999</v>
      </c>
      <c r="D26" s="481">
        <v>14.57574</v>
      </c>
      <c r="E26" s="481">
        <v>14.91696</v>
      </c>
      <c r="F26" s="482">
        <f t="shared" si="0"/>
        <v>-0.30182961551180254</v>
      </c>
      <c r="G26" s="468"/>
      <c r="H26" s="468"/>
      <c r="I26" s="468"/>
      <c r="J26" s="468"/>
      <c r="K26" s="468"/>
      <c r="L26" s="386"/>
    </row>
    <row r="27" spans="1:12" ht="11.25" customHeight="1">
      <c r="A27" s="439"/>
      <c r="B27" s="480" t="s">
        <v>337</v>
      </c>
      <c r="C27" s="481">
        <v>120.80642</v>
      </c>
      <c r="D27" s="481">
        <v>81.488379999999992</v>
      </c>
      <c r="E27" s="481">
        <v>100.06004999999999</v>
      </c>
      <c r="F27" s="482">
        <f t="shared" si="0"/>
        <v>0.48249873172101365</v>
      </c>
      <c r="G27" s="468"/>
      <c r="H27" s="468"/>
      <c r="I27" s="468"/>
      <c r="J27" s="468"/>
      <c r="K27" s="468"/>
      <c r="L27" s="386"/>
    </row>
    <row r="28" spans="1:12" ht="11.25" customHeight="1">
      <c r="A28" s="439"/>
      <c r="B28" s="480" t="s">
        <v>338</v>
      </c>
      <c r="C28" s="481">
        <v>6.3573899999999997</v>
      </c>
      <c r="D28" s="481">
        <v>8.4656800000000008</v>
      </c>
      <c r="E28" s="481">
        <v>8.8026300000000006</v>
      </c>
      <c r="F28" s="482">
        <f t="shared" si="0"/>
        <v>-0.24903965186494181</v>
      </c>
      <c r="G28" s="468"/>
      <c r="H28" s="468"/>
      <c r="I28" s="468"/>
      <c r="J28" s="468"/>
      <c r="K28" s="468"/>
      <c r="L28" s="386"/>
    </row>
    <row r="29" spans="1:12" ht="11.25" customHeight="1">
      <c r="A29" s="439"/>
      <c r="B29" s="480" t="s">
        <v>339</v>
      </c>
      <c r="C29" s="481">
        <v>0</v>
      </c>
      <c r="D29" s="481">
        <v>4.95871</v>
      </c>
      <c r="E29" s="481">
        <v>0</v>
      </c>
      <c r="F29" s="482">
        <f t="shared" si="0"/>
        <v>-1</v>
      </c>
      <c r="G29" s="468"/>
      <c r="H29" s="468"/>
      <c r="I29" s="468"/>
      <c r="J29" s="468"/>
      <c r="K29" s="468"/>
      <c r="L29" s="386"/>
    </row>
    <row r="30" spans="1:12" ht="11.25" customHeight="1">
      <c r="A30" s="439"/>
      <c r="B30" s="480" t="s">
        <v>340</v>
      </c>
      <c r="C30" s="481">
        <v>0</v>
      </c>
      <c r="D30" s="481">
        <v>16.027560000000001</v>
      </c>
      <c r="E30" s="481">
        <v>0</v>
      </c>
      <c r="F30" s="482">
        <f t="shared" si="0"/>
        <v>-1</v>
      </c>
      <c r="G30" s="468"/>
      <c r="H30" s="468"/>
      <c r="I30" s="468"/>
      <c r="J30" s="468"/>
      <c r="K30" s="468"/>
      <c r="L30" s="386"/>
    </row>
    <row r="31" spans="1:12" ht="11.25" customHeight="1">
      <c r="A31" s="439"/>
      <c r="B31" s="480" t="s">
        <v>341</v>
      </c>
      <c r="C31" s="481">
        <v>0</v>
      </c>
      <c r="D31" s="481">
        <v>69.218119999999999</v>
      </c>
      <c r="E31" s="481">
        <v>13.699870000000001</v>
      </c>
      <c r="F31" s="482">
        <f t="shared" si="0"/>
        <v>-1</v>
      </c>
      <c r="G31" s="468"/>
      <c r="H31" s="468"/>
      <c r="I31" s="468"/>
      <c r="J31" s="468"/>
      <c r="K31" s="474"/>
      <c r="L31" s="386"/>
    </row>
    <row r="32" spans="1:12" ht="11.25" customHeight="1">
      <c r="A32" s="441" t="s">
        <v>342</v>
      </c>
      <c r="B32" s="442"/>
      <c r="C32" s="479">
        <v>144.12690000000001</v>
      </c>
      <c r="D32" s="479">
        <v>201.54910000000001</v>
      </c>
      <c r="E32" s="479">
        <v>144.29402999999999</v>
      </c>
      <c r="F32" s="483">
        <f t="shared" si="0"/>
        <v>-0.28490427394615014</v>
      </c>
      <c r="G32" s="468"/>
      <c r="H32" s="468"/>
      <c r="I32" s="468"/>
      <c r="J32" s="468"/>
      <c r="K32" s="474"/>
      <c r="L32" s="386"/>
    </row>
    <row r="33" spans="1:12" ht="11.25" customHeight="1">
      <c r="A33" s="435" t="s">
        <v>120</v>
      </c>
      <c r="B33" s="480" t="s">
        <v>74</v>
      </c>
      <c r="C33" s="481">
        <v>5.04</v>
      </c>
      <c r="D33" s="481">
        <v>2.52</v>
      </c>
      <c r="E33" s="481">
        <v>4.55</v>
      </c>
      <c r="F33" s="482">
        <f t="shared" si="0"/>
        <v>1</v>
      </c>
      <c r="G33" s="468"/>
      <c r="H33" s="468"/>
      <c r="I33" s="468"/>
      <c r="J33" s="468"/>
      <c r="K33" s="474"/>
      <c r="L33" s="386"/>
    </row>
    <row r="34" spans="1:12" ht="11.25" customHeight="1">
      <c r="A34" s="441" t="s">
        <v>343</v>
      </c>
      <c r="B34" s="442"/>
      <c r="C34" s="479">
        <v>5.04</v>
      </c>
      <c r="D34" s="479">
        <v>2.52</v>
      </c>
      <c r="E34" s="479">
        <v>4.55</v>
      </c>
      <c r="F34" s="483">
        <f t="shared" si="0"/>
        <v>1</v>
      </c>
      <c r="G34" s="468"/>
      <c r="H34" s="468"/>
      <c r="I34" s="468"/>
      <c r="J34" s="468"/>
      <c r="K34" s="474"/>
      <c r="L34" s="386"/>
    </row>
    <row r="35" spans="1:12" ht="11.25" customHeight="1">
      <c r="A35" s="435" t="s">
        <v>98</v>
      </c>
      <c r="B35" s="480" t="s">
        <v>344</v>
      </c>
      <c r="C35" s="481">
        <v>162.91494999999998</v>
      </c>
      <c r="D35" s="481">
        <v>120.94345</v>
      </c>
      <c r="E35" s="481">
        <v>163.94774999999998</v>
      </c>
      <c r="F35" s="482">
        <f t="shared" si="0"/>
        <v>0.34703408907220679</v>
      </c>
      <c r="G35" s="468"/>
      <c r="H35" s="468"/>
      <c r="I35" s="468"/>
      <c r="J35" s="468"/>
      <c r="K35" s="474"/>
      <c r="L35" s="386"/>
    </row>
    <row r="36" spans="1:12" ht="11.25" customHeight="1">
      <c r="A36" s="441" t="s">
        <v>345</v>
      </c>
      <c r="B36" s="442"/>
      <c r="C36" s="479">
        <v>162.91494999999998</v>
      </c>
      <c r="D36" s="479">
        <v>120.94345</v>
      </c>
      <c r="E36" s="479">
        <v>163.94774999999998</v>
      </c>
      <c r="F36" s="483">
        <f t="shared" si="0"/>
        <v>0.34703408907220679</v>
      </c>
      <c r="G36" s="468"/>
      <c r="H36" s="468"/>
      <c r="I36" s="468"/>
      <c r="J36" s="468"/>
      <c r="K36" s="474"/>
      <c r="L36" s="386"/>
    </row>
    <row r="37" spans="1:12" ht="11.25" customHeight="1">
      <c r="A37" s="439" t="s">
        <v>107</v>
      </c>
      <c r="B37" s="480" t="s">
        <v>346</v>
      </c>
      <c r="C37" s="481">
        <v>16.89</v>
      </c>
      <c r="D37" s="481">
        <v>17.844000000000001</v>
      </c>
      <c r="E37" s="481">
        <v>15.852</v>
      </c>
      <c r="F37" s="482">
        <f t="shared" si="0"/>
        <v>-5.3463349024882367E-2</v>
      </c>
      <c r="G37" s="468"/>
      <c r="H37" s="468"/>
      <c r="I37" s="468"/>
      <c r="J37" s="468"/>
      <c r="K37" s="474"/>
      <c r="L37" s="386"/>
    </row>
    <row r="38" spans="1:12" ht="11.25" customHeight="1">
      <c r="A38" s="439"/>
      <c r="B38" s="480" t="s">
        <v>347</v>
      </c>
      <c r="C38" s="481">
        <v>9.4920000000000009</v>
      </c>
      <c r="D38" s="481">
        <v>10.842000000000001</v>
      </c>
      <c r="E38" s="481">
        <v>9.5280000000000005</v>
      </c>
      <c r="F38" s="482">
        <f t="shared" si="0"/>
        <v>-0.1245157719977863</v>
      </c>
      <c r="G38" s="468"/>
      <c r="H38" s="468"/>
      <c r="I38" s="468"/>
      <c r="J38" s="468"/>
      <c r="K38" s="474"/>
      <c r="L38" s="475"/>
    </row>
    <row r="39" spans="1:12" ht="11.25" customHeight="1">
      <c r="A39" s="439"/>
      <c r="B39" s="480" t="s">
        <v>348</v>
      </c>
      <c r="C39" s="481">
        <v>21.15654</v>
      </c>
      <c r="D39" s="481">
        <v>21.35127</v>
      </c>
      <c r="E39" s="481">
        <v>21.15654</v>
      </c>
      <c r="F39" s="482">
        <f t="shared" si="0"/>
        <v>-9.1203005722844122E-3</v>
      </c>
      <c r="G39" s="468"/>
      <c r="H39" s="468"/>
      <c r="I39" s="468"/>
      <c r="J39" s="468"/>
      <c r="K39" s="474"/>
      <c r="L39" s="386"/>
    </row>
    <row r="40" spans="1:12" ht="11.25" customHeight="1">
      <c r="A40" s="441" t="s">
        <v>349</v>
      </c>
      <c r="B40" s="442"/>
      <c r="C40" s="479">
        <v>47.538539999999998</v>
      </c>
      <c r="D40" s="479">
        <v>50.037269999999999</v>
      </c>
      <c r="E40" s="479">
        <v>46.536540000000002</v>
      </c>
      <c r="F40" s="483">
        <f t="shared" si="0"/>
        <v>-4.9937376679423218E-2</v>
      </c>
      <c r="G40" s="468"/>
      <c r="H40" s="468"/>
      <c r="I40" s="468"/>
      <c r="J40" s="468"/>
      <c r="K40" s="474"/>
      <c r="L40" s="386"/>
    </row>
    <row r="41" spans="1:12" ht="11.25" customHeight="1">
      <c r="A41" s="435" t="s">
        <v>125</v>
      </c>
      <c r="B41" s="480" t="s">
        <v>79</v>
      </c>
      <c r="C41" s="481">
        <v>0.88224000000000002</v>
      </c>
      <c r="D41" s="481">
        <v>0.84894999999999998</v>
      </c>
      <c r="E41" s="481">
        <v>0</v>
      </c>
      <c r="F41" s="482">
        <f t="shared" si="0"/>
        <v>3.9213145650509595E-2</v>
      </c>
      <c r="G41" s="468"/>
      <c r="H41" s="468"/>
      <c r="I41" s="468"/>
      <c r="J41" s="468"/>
      <c r="K41" s="474"/>
      <c r="L41" s="386"/>
    </row>
    <row r="42" spans="1:12" ht="11.25" customHeight="1">
      <c r="A42" s="441" t="s">
        <v>350</v>
      </c>
      <c r="B42" s="442"/>
      <c r="C42" s="479">
        <v>0.88224000000000002</v>
      </c>
      <c r="D42" s="479">
        <v>0.84894999999999998</v>
      </c>
      <c r="E42" s="479">
        <v>0</v>
      </c>
      <c r="F42" s="483">
        <f t="shared" si="0"/>
        <v>3.9213145650509595E-2</v>
      </c>
      <c r="G42" s="468"/>
      <c r="H42" s="468"/>
      <c r="I42" s="468"/>
      <c r="J42" s="468"/>
      <c r="K42" s="474"/>
      <c r="L42" s="386"/>
    </row>
    <row r="43" spans="1:12" ht="11.25" customHeight="1">
      <c r="A43" s="435" t="s">
        <v>121</v>
      </c>
      <c r="B43" s="480" t="s">
        <v>77</v>
      </c>
      <c r="C43" s="481">
        <v>3.4587300000000001</v>
      </c>
      <c r="D43" s="481">
        <v>3.68398</v>
      </c>
      <c r="E43" s="481">
        <v>3.6137600000000001</v>
      </c>
      <c r="F43" s="482">
        <f t="shared" si="0"/>
        <v>-6.1143111526121174E-2</v>
      </c>
      <c r="G43" s="468"/>
      <c r="H43" s="468"/>
      <c r="I43" s="468"/>
      <c r="J43" s="468"/>
      <c r="K43" s="474"/>
      <c r="L43" s="386"/>
    </row>
    <row r="44" spans="1:12" ht="11.25" customHeight="1">
      <c r="A44" s="441" t="s">
        <v>351</v>
      </c>
      <c r="B44" s="442"/>
      <c r="C44" s="479">
        <v>3.4587300000000001</v>
      </c>
      <c r="D44" s="479">
        <v>3.68398</v>
      </c>
      <c r="E44" s="479">
        <v>3.6137600000000001</v>
      </c>
      <c r="F44" s="483">
        <f t="shared" si="0"/>
        <v>-6.1143111526121174E-2</v>
      </c>
      <c r="G44" s="468"/>
      <c r="H44" s="468"/>
      <c r="I44" s="468"/>
      <c r="J44" s="468"/>
      <c r="K44" s="474"/>
      <c r="L44" s="386"/>
    </row>
    <row r="45" spans="1:12" ht="11.25" customHeight="1">
      <c r="A45" s="439" t="s">
        <v>95</v>
      </c>
      <c r="B45" s="480" t="s">
        <v>352</v>
      </c>
      <c r="C45" s="481">
        <v>637.28400000000011</v>
      </c>
      <c r="D45" s="481">
        <v>653.73359999999991</v>
      </c>
      <c r="E45" s="481">
        <v>638.88479999999993</v>
      </c>
      <c r="F45" s="482">
        <f t="shared" si="0"/>
        <v>-2.5162543274507843E-2</v>
      </c>
      <c r="G45" s="468"/>
      <c r="H45" s="468"/>
      <c r="I45" s="468"/>
      <c r="J45" s="468"/>
      <c r="K45" s="474"/>
      <c r="L45" s="476"/>
    </row>
    <row r="46" spans="1:12" ht="11.25" customHeight="1">
      <c r="A46" s="439"/>
      <c r="B46" s="480" t="s">
        <v>353</v>
      </c>
      <c r="C46" s="481">
        <v>202.16448</v>
      </c>
      <c r="D46" s="481">
        <v>211.79136</v>
      </c>
      <c r="E46" s="481">
        <v>209.58335999999997</v>
      </c>
      <c r="F46" s="482">
        <f t="shared" si="0"/>
        <v>-4.5454545454545414E-2</v>
      </c>
      <c r="G46" s="468"/>
      <c r="H46" s="468"/>
      <c r="I46" s="468"/>
      <c r="J46" s="468"/>
      <c r="K46" s="474"/>
    </row>
    <row r="47" spans="1:12" ht="11.25" customHeight="1">
      <c r="A47" s="439"/>
      <c r="B47" s="480" t="s">
        <v>354</v>
      </c>
      <c r="C47" s="481">
        <v>0</v>
      </c>
      <c r="D47" s="481">
        <v>0</v>
      </c>
      <c r="E47" s="481">
        <v>0</v>
      </c>
      <c r="F47" s="482" t="str">
        <f t="shared" si="0"/>
        <v/>
      </c>
      <c r="G47" s="468"/>
      <c r="H47" s="468"/>
      <c r="I47" s="468"/>
      <c r="J47" s="468"/>
      <c r="K47" s="474"/>
    </row>
    <row r="48" spans="1:12" ht="11.25" customHeight="1">
      <c r="A48" s="441" t="s">
        <v>355</v>
      </c>
      <c r="B48" s="442"/>
      <c r="C48" s="479">
        <v>839.44848000000013</v>
      </c>
      <c r="D48" s="479">
        <v>865.52495999999996</v>
      </c>
      <c r="E48" s="479">
        <v>848.4681599999999</v>
      </c>
      <c r="F48" s="483">
        <f t="shared" si="0"/>
        <v>-3.0127935305297115E-2</v>
      </c>
      <c r="G48" s="468"/>
      <c r="H48" s="468"/>
      <c r="I48" s="468"/>
      <c r="J48" s="468"/>
      <c r="K48" s="474"/>
    </row>
    <row r="49" spans="1:11" ht="11.25" customHeight="1">
      <c r="A49" s="439" t="s">
        <v>271</v>
      </c>
      <c r="B49" s="480" t="s">
        <v>356</v>
      </c>
      <c r="C49" s="481">
        <v>435.92086</v>
      </c>
      <c r="D49" s="481">
        <v>163.34505999999999</v>
      </c>
      <c r="E49" s="481">
        <v>456.18412000000001</v>
      </c>
      <c r="F49" s="482">
        <f t="shared" si="0"/>
        <v>1.6687116218880451</v>
      </c>
      <c r="G49" s="468"/>
      <c r="H49" s="468"/>
      <c r="I49" s="468"/>
      <c r="J49" s="468"/>
      <c r="K49" s="474"/>
    </row>
    <row r="50" spans="1:11" ht="11.25" customHeight="1">
      <c r="A50" s="439"/>
      <c r="B50" s="480" t="s">
        <v>357</v>
      </c>
      <c r="C50" s="481">
        <v>6.5619199999999998</v>
      </c>
      <c r="D50" s="481">
        <v>6.4528699999999999</v>
      </c>
      <c r="E50" s="481">
        <v>6.32768</v>
      </c>
      <c r="F50" s="482">
        <f t="shared" si="0"/>
        <v>1.689945714077612E-2</v>
      </c>
      <c r="G50" s="468"/>
      <c r="H50" s="468"/>
      <c r="I50" s="468"/>
      <c r="J50" s="468"/>
      <c r="K50" s="474"/>
    </row>
    <row r="51" spans="1:11" ht="11.25" customHeight="1">
      <c r="A51" s="441" t="s">
        <v>358</v>
      </c>
      <c r="B51" s="442"/>
      <c r="C51" s="479">
        <v>442.48277999999999</v>
      </c>
      <c r="D51" s="479">
        <v>169.79792999999998</v>
      </c>
      <c r="E51" s="479">
        <v>462.51179999999999</v>
      </c>
      <c r="F51" s="483">
        <f t="shared" si="0"/>
        <v>1.605937422205324</v>
      </c>
      <c r="G51" s="468"/>
      <c r="H51" s="468"/>
      <c r="I51" s="468"/>
      <c r="J51" s="468"/>
      <c r="K51" s="474"/>
    </row>
    <row r="52" spans="1:11" ht="11.25" customHeight="1">
      <c r="A52" s="439" t="s">
        <v>272</v>
      </c>
      <c r="B52" s="480" t="s">
        <v>359</v>
      </c>
      <c r="C52" s="481">
        <v>70.294110000000003</v>
      </c>
      <c r="D52" s="481">
        <v>84.793520000000001</v>
      </c>
      <c r="E52" s="481">
        <v>71.243490000000008</v>
      </c>
      <c r="F52" s="482">
        <f t="shared" si="0"/>
        <v>-0.17099667521763451</v>
      </c>
      <c r="G52" s="468"/>
      <c r="H52" s="468"/>
      <c r="I52" s="468"/>
      <c r="J52" s="468"/>
      <c r="K52" s="474"/>
    </row>
    <row r="53" spans="1:11" ht="11.25" customHeight="1">
      <c r="A53" s="441" t="s">
        <v>360</v>
      </c>
      <c r="B53" s="442"/>
      <c r="C53" s="479">
        <v>70.294110000000003</v>
      </c>
      <c r="D53" s="479">
        <v>84.793520000000001</v>
      </c>
      <c r="E53" s="479">
        <v>71.243490000000008</v>
      </c>
      <c r="F53" s="483">
        <f t="shared" si="0"/>
        <v>-0.17099667521763451</v>
      </c>
      <c r="G53" s="468"/>
      <c r="H53" s="468"/>
      <c r="I53" s="468"/>
      <c r="J53" s="468"/>
      <c r="K53" s="474"/>
    </row>
    <row r="54" spans="1:11" ht="11.25" customHeight="1">
      <c r="A54" s="439" t="s">
        <v>273</v>
      </c>
      <c r="B54" s="480" t="s">
        <v>64</v>
      </c>
      <c r="C54" s="481">
        <v>7.8978799999999998</v>
      </c>
      <c r="D54" s="481">
        <v>5.9727199999999998</v>
      </c>
      <c r="E54" s="481">
        <v>17.115880000000001</v>
      </c>
      <c r="F54" s="482">
        <f t="shared" si="0"/>
        <v>0.32232550663684223</v>
      </c>
      <c r="G54" s="468"/>
      <c r="H54" s="468"/>
      <c r="I54" s="468"/>
      <c r="J54" s="468"/>
      <c r="K54" s="474"/>
    </row>
    <row r="55" spans="1:11" ht="11.25" customHeight="1">
      <c r="A55" s="439"/>
      <c r="B55" s="480" t="s">
        <v>61</v>
      </c>
      <c r="C55" s="481">
        <v>11.0998</v>
      </c>
      <c r="D55" s="481">
        <v>9.3289200000000001</v>
      </c>
      <c r="E55" s="481">
        <v>20.103280000000002</v>
      </c>
      <c r="F55" s="482">
        <f t="shared" si="0"/>
        <v>0.18982690386454171</v>
      </c>
      <c r="G55" s="477"/>
      <c r="H55" s="477"/>
      <c r="I55" s="477"/>
      <c r="J55" s="477"/>
      <c r="K55" s="474"/>
    </row>
    <row r="56" spans="1:11" ht="11.25" customHeight="1">
      <c r="A56" s="441" t="s">
        <v>361</v>
      </c>
      <c r="B56" s="442"/>
      <c r="C56" s="479">
        <v>18.997679999999999</v>
      </c>
      <c r="D56" s="479">
        <v>15.301639999999999</v>
      </c>
      <c r="E56" s="479">
        <v>37.219160000000002</v>
      </c>
      <c r="F56" s="483">
        <f t="shared" si="0"/>
        <v>0.24154535069443539</v>
      </c>
      <c r="G56" s="477"/>
      <c r="H56" s="477"/>
      <c r="I56" s="477"/>
      <c r="J56" s="477"/>
      <c r="K56" s="474"/>
    </row>
    <row r="57" spans="1:11" ht="11.25" customHeight="1">
      <c r="A57" s="439" t="s">
        <v>94</v>
      </c>
      <c r="B57" s="480" t="s">
        <v>362</v>
      </c>
      <c r="C57" s="481">
        <v>0</v>
      </c>
      <c r="D57" s="481">
        <v>27.59685</v>
      </c>
      <c r="E57" s="481">
        <v>30.46866</v>
      </c>
      <c r="F57" s="482">
        <f t="shared" si="0"/>
        <v>-1</v>
      </c>
      <c r="G57" s="477"/>
      <c r="H57" s="477"/>
      <c r="I57" s="477"/>
      <c r="J57" s="477"/>
      <c r="K57" s="474"/>
    </row>
    <row r="58" spans="1:11" ht="11.25" customHeight="1">
      <c r="A58" s="439"/>
      <c r="B58" s="480" t="s">
        <v>363</v>
      </c>
      <c r="C58" s="481">
        <v>179.38944999999998</v>
      </c>
      <c r="D58" s="481">
        <v>151.08485999999999</v>
      </c>
      <c r="E58" s="481">
        <v>197.28959999999998</v>
      </c>
      <c r="F58" s="482">
        <f t="shared" si="0"/>
        <v>0.18734233198481953</v>
      </c>
      <c r="G58" s="477"/>
      <c r="H58" s="477"/>
      <c r="I58" s="477"/>
      <c r="J58" s="477"/>
      <c r="K58" s="474"/>
    </row>
    <row r="59" spans="1:11" ht="11.25" customHeight="1">
      <c r="A59" s="439"/>
      <c r="B59" s="480" t="s">
        <v>364</v>
      </c>
      <c r="C59" s="481">
        <v>79.402479999999997</v>
      </c>
      <c r="D59" s="481">
        <v>116.61458999999999</v>
      </c>
      <c r="E59" s="481">
        <v>129.73957999999999</v>
      </c>
      <c r="F59" s="482">
        <f t="shared" si="0"/>
        <v>-0.31910338148940021</v>
      </c>
      <c r="G59" s="477"/>
      <c r="H59" s="477"/>
      <c r="I59" s="477"/>
      <c r="J59" s="477"/>
      <c r="K59" s="474"/>
    </row>
    <row r="60" spans="1:11" ht="11.25" customHeight="1">
      <c r="A60" s="439"/>
      <c r="B60" s="480" t="s">
        <v>365</v>
      </c>
      <c r="C60" s="481">
        <v>51.299859999999995</v>
      </c>
      <c r="D60" s="481">
        <v>41.425269999999998</v>
      </c>
      <c r="E60" s="481">
        <v>65.240179999999995</v>
      </c>
      <c r="F60" s="482">
        <f t="shared" si="0"/>
        <v>0.23837116812998449</v>
      </c>
      <c r="G60" s="468"/>
      <c r="H60" s="468"/>
      <c r="I60" s="468"/>
      <c r="J60" s="468"/>
      <c r="K60" s="474"/>
    </row>
    <row r="61" spans="1:11" ht="11.25" customHeight="1">
      <c r="A61" s="439"/>
      <c r="B61" s="480" t="s">
        <v>366</v>
      </c>
      <c r="C61" s="481">
        <v>0</v>
      </c>
      <c r="D61" s="481">
        <v>98.568170000000009</v>
      </c>
      <c r="E61" s="481">
        <v>0</v>
      </c>
      <c r="F61" s="482">
        <f t="shared" si="0"/>
        <v>-1</v>
      </c>
      <c r="G61" s="468"/>
      <c r="H61" s="468"/>
      <c r="I61" s="468"/>
      <c r="J61" s="468"/>
      <c r="K61" s="474"/>
    </row>
    <row r="62" spans="1:11" ht="11.25" customHeight="1">
      <c r="A62" s="439"/>
      <c r="B62" s="480" t="s">
        <v>367</v>
      </c>
      <c r="C62" s="481">
        <v>0</v>
      </c>
      <c r="D62" s="481">
        <v>0</v>
      </c>
      <c r="E62" s="481">
        <v>173.95402000000001</v>
      </c>
      <c r="F62" s="482" t="str">
        <f t="shared" si="0"/>
        <v/>
      </c>
      <c r="G62" s="468"/>
      <c r="H62" s="468"/>
      <c r="I62" s="468"/>
      <c r="J62" s="468"/>
      <c r="K62" s="474"/>
    </row>
    <row r="63" spans="1:11" ht="11.25" customHeight="1">
      <c r="A63" s="439"/>
      <c r="B63" s="480" t="s">
        <v>368</v>
      </c>
      <c r="C63" s="481">
        <v>439.04652999999996</v>
      </c>
      <c r="D63" s="481">
        <v>435.02719000000002</v>
      </c>
      <c r="E63" s="481">
        <v>284.87977000000001</v>
      </c>
      <c r="F63" s="482">
        <f t="shared" si="0"/>
        <v>9.2392845605810958E-3</v>
      </c>
      <c r="G63" s="478"/>
      <c r="H63" s="468"/>
      <c r="I63" s="468"/>
      <c r="J63" s="468"/>
      <c r="K63" s="474"/>
    </row>
    <row r="64" spans="1:11" ht="11.25" customHeight="1">
      <c r="A64" s="439"/>
      <c r="B64" s="480" t="s">
        <v>641</v>
      </c>
      <c r="C64" s="481">
        <v>0</v>
      </c>
      <c r="D64" s="481"/>
      <c r="E64" s="481"/>
      <c r="F64" s="482" t="str">
        <f t="shared" si="0"/>
        <v/>
      </c>
      <c r="G64" s="478"/>
      <c r="H64" s="468"/>
      <c r="I64" s="468"/>
      <c r="J64" s="468"/>
      <c r="K64" s="468"/>
    </row>
    <row r="65" spans="1:11" ht="11.25" customHeight="1">
      <c r="A65" s="441" t="s">
        <v>369</v>
      </c>
      <c r="B65" s="442"/>
      <c r="C65" s="479">
        <v>749.13831999999991</v>
      </c>
      <c r="D65" s="479">
        <v>870.31692999999996</v>
      </c>
      <c r="E65" s="479">
        <v>881.57181000000003</v>
      </c>
      <c r="F65" s="483">
        <f t="shared" si="0"/>
        <v>-0.1392350370571328</v>
      </c>
      <c r="G65" s="478"/>
      <c r="H65" s="468"/>
      <c r="I65" s="468"/>
      <c r="J65" s="468"/>
      <c r="K65" s="468"/>
    </row>
    <row r="66" spans="1:11" ht="11.25" customHeight="1">
      <c r="A66" s="858"/>
      <c r="B66" s="484"/>
      <c r="C66" s="485"/>
      <c r="D66" s="485"/>
      <c r="E66" s="485"/>
      <c r="F66" s="859"/>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7"/>
  <sheetViews>
    <sheetView showGridLines="0" view="pageBreakPreview" zoomScale="145" zoomScaleNormal="100" zoomScaleSheetLayoutView="145" zoomScalePageLayoutView="160" workbookViewId="0">
      <selection activeCell="R31" sqref="R31"/>
    </sheetView>
  </sheetViews>
  <sheetFormatPr defaultRowHeight="9"/>
  <cols>
    <col min="1" max="1" width="28.6640625" style="462" customWidth="1"/>
    <col min="2" max="2" width="22.1640625" style="462" customWidth="1"/>
    <col min="3" max="4" width="17.6640625" style="462" customWidth="1"/>
    <col min="5" max="5" width="15.1640625" style="462" customWidth="1"/>
    <col min="6" max="6" width="13.33203125" style="462" customWidth="1"/>
    <col min="7" max="9" width="9.33203125" style="462"/>
    <col min="10" max="11" width="9.33203125" style="462" customWidth="1"/>
    <col min="12" max="13" width="9.33203125" style="462"/>
    <col min="14" max="16384" width="9.33203125" style="463"/>
  </cols>
  <sheetData>
    <row r="1" spans="1:12" ht="11.25" customHeight="1">
      <c r="A1" s="977" t="s">
        <v>287</v>
      </c>
      <c r="B1" s="980" t="s">
        <v>57</v>
      </c>
      <c r="C1" s="980" t="s">
        <v>456</v>
      </c>
      <c r="D1" s="980"/>
      <c r="E1" s="980"/>
      <c r="F1" s="983"/>
      <c r="G1" s="464"/>
      <c r="H1" s="464"/>
      <c r="I1" s="464"/>
      <c r="J1" s="464"/>
      <c r="K1" s="464"/>
    </row>
    <row r="2" spans="1:12" ht="11.25" customHeight="1">
      <c r="A2" s="978"/>
      <c r="B2" s="981"/>
      <c r="C2" s="486" t="str">
        <f>+'21. ANEXOII-1'!C3</f>
        <v>JUNIO 2018</v>
      </c>
      <c r="D2" s="487" t="str">
        <f>+'21. ANEXOII-1'!D3</f>
        <v>JUNIO 2017</v>
      </c>
      <c r="E2" s="488">
        <v>2018</v>
      </c>
      <c r="F2" s="465" t="s">
        <v>454</v>
      </c>
      <c r="G2" s="466"/>
      <c r="H2" s="466"/>
      <c r="I2" s="466"/>
      <c r="J2" s="466"/>
      <c r="K2" s="466"/>
      <c r="L2" s="467"/>
    </row>
    <row r="3" spans="1:12" ht="11.25" customHeight="1">
      <c r="A3" s="978"/>
      <c r="B3" s="981"/>
      <c r="C3" s="489">
        <f>+'8. Max Potencia'!D8</f>
        <v>43256.78125</v>
      </c>
      <c r="D3" s="489">
        <f>+'8. Max Potencia'!E8</f>
        <v>42907.864583333336</v>
      </c>
      <c r="E3" s="489">
        <f>+'8. Max Potencia'!G8</f>
        <v>43214.78125</v>
      </c>
      <c r="F3" s="490" t="s">
        <v>445</v>
      </c>
      <c r="G3" s="468"/>
      <c r="H3" s="468"/>
      <c r="I3" s="469"/>
      <c r="J3" s="469"/>
      <c r="K3" s="469"/>
      <c r="L3" s="467"/>
    </row>
    <row r="4" spans="1:12" ht="11.25" customHeight="1">
      <c r="A4" s="979"/>
      <c r="B4" s="982"/>
      <c r="C4" s="491">
        <f>+'8. Max Potencia'!D9</f>
        <v>43256.78125</v>
      </c>
      <c r="D4" s="491">
        <f>+'8. Max Potencia'!E9</f>
        <v>42907.864583333336</v>
      </c>
      <c r="E4" s="491">
        <f>+'8. Max Potencia'!G9</f>
        <v>43214.78125</v>
      </c>
      <c r="F4" s="492" t="s">
        <v>446</v>
      </c>
      <c r="G4" s="468"/>
      <c r="H4" s="468"/>
      <c r="I4" s="468"/>
      <c r="J4" s="468"/>
      <c r="K4" s="468"/>
      <c r="L4" s="470"/>
    </row>
    <row r="5" spans="1:12" ht="11.25" customHeight="1">
      <c r="A5" s="439" t="s">
        <v>102</v>
      </c>
      <c r="B5" s="480" t="s">
        <v>370</v>
      </c>
      <c r="C5" s="481">
        <v>0</v>
      </c>
      <c r="D5" s="481">
        <v>0</v>
      </c>
      <c r="E5" s="481">
        <v>48.357289999999999</v>
      </c>
      <c r="F5" s="482" t="str">
        <f>+IF(D5=0,"",C5/D5-1)</f>
        <v/>
      </c>
    </row>
    <row r="6" spans="1:12" ht="11.25" customHeight="1">
      <c r="A6" s="439"/>
      <c r="B6" s="480" t="s">
        <v>371</v>
      </c>
      <c r="C6" s="481">
        <v>0</v>
      </c>
      <c r="D6" s="481">
        <v>0</v>
      </c>
      <c r="E6" s="481">
        <v>0</v>
      </c>
      <c r="F6" s="482" t="str">
        <f t="shared" ref="F6:F67" si="0">+IF(D6=0,"",C6/D6-1)</f>
        <v/>
      </c>
    </row>
    <row r="7" spans="1:12" ht="11.25" customHeight="1">
      <c r="A7" s="435"/>
      <c r="B7" s="480" t="s">
        <v>372</v>
      </c>
      <c r="C7" s="481"/>
      <c r="D7" s="481">
        <v>130.42132000000001</v>
      </c>
      <c r="E7" s="481">
        <v>0</v>
      </c>
      <c r="F7" s="482">
        <f t="shared" si="0"/>
        <v>-1</v>
      </c>
    </row>
    <row r="8" spans="1:12" ht="11.25" customHeight="1">
      <c r="A8" s="441" t="s">
        <v>373</v>
      </c>
      <c r="B8" s="442"/>
      <c r="C8" s="479">
        <v>0</v>
      </c>
      <c r="D8" s="479">
        <v>130.42132000000001</v>
      </c>
      <c r="E8" s="479">
        <v>48.357289999999999</v>
      </c>
      <c r="F8" s="483">
        <f t="shared" si="0"/>
        <v>-1</v>
      </c>
    </row>
    <row r="9" spans="1:12" ht="11.25" customHeight="1">
      <c r="A9" s="440" t="s">
        <v>104</v>
      </c>
      <c r="B9" s="484" t="s">
        <v>642</v>
      </c>
      <c r="C9" s="485">
        <v>0</v>
      </c>
      <c r="D9" s="485"/>
      <c r="E9" s="485">
        <v>0</v>
      </c>
      <c r="F9" s="482" t="str">
        <f t="shared" si="0"/>
        <v/>
      </c>
    </row>
    <row r="10" spans="1:12" ht="11.25" customHeight="1">
      <c r="A10" s="439"/>
      <c r="B10" s="480" t="s">
        <v>643</v>
      </c>
      <c r="C10" s="481">
        <v>114.7818</v>
      </c>
      <c r="D10" s="481"/>
      <c r="E10" s="481">
        <v>124.78003</v>
      </c>
      <c r="F10" s="482" t="str">
        <f t="shared" si="0"/>
        <v/>
      </c>
    </row>
    <row r="11" spans="1:12" ht="11.25" customHeight="1">
      <c r="A11" s="441" t="s">
        <v>374</v>
      </c>
      <c r="B11" s="442"/>
      <c r="C11" s="479">
        <v>114.7818</v>
      </c>
      <c r="D11" s="479"/>
      <c r="E11" s="479">
        <v>124.78003</v>
      </c>
      <c r="F11" s="483" t="str">
        <f t="shared" si="0"/>
        <v/>
      </c>
    </row>
    <row r="12" spans="1:12" ht="11.25" customHeight="1">
      <c r="A12" s="439" t="s">
        <v>103</v>
      </c>
      <c r="B12" s="480" t="s">
        <v>82</v>
      </c>
      <c r="C12" s="481">
        <v>58.4925</v>
      </c>
      <c r="D12" s="481">
        <v>36.796799999999998</v>
      </c>
      <c r="E12" s="481">
        <v>56.373829999999998</v>
      </c>
      <c r="F12" s="482">
        <f t="shared" si="0"/>
        <v>0.58960833550743552</v>
      </c>
    </row>
    <row r="13" spans="1:12" ht="11.25" customHeight="1">
      <c r="A13" s="439"/>
      <c r="B13" s="480" t="s">
        <v>84</v>
      </c>
      <c r="C13" s="481">
        <v>26.951029999999999</v>
      </c>
      <c r="D13" s="481">
        <v>9.1788699999999999</v>
      </c>
      <c r="E13" s="481">
        <v>12.37213</v>
      </c>
      <c r="F13" s="482">
        <f t="shared" si="0"/>
        <v>1.9362034760270053</v>
      </c>
    </row>
    <row r="14" spans="1:12" ht="11.25" customHeight="1">
      <c r="A14" s="441" t="s">
        <v>375</v>
      </c>
      <c r="B14" s="442"/>
      <c r="C14" s="479">
        <v>85.443529999999996</v>
      </c>
      <c r="D14" s="479">
        <v>45.975669999999994</v>
      </c>
      <c r="E14" s="479">
        <v>68.745959999999997</v>
      </c>
      <c r="F14" s="483">
        <f t="shared" si="0"/>
        <v>0.85845100245412431</v>
      </c>
    </row>
    <row r="15" spans="1:12" ht="11.25" customHeight="1">
      <c r="A15" s="439" t="s">
        <v>93</v>
      </c>
      <c r="B15" s="480" t="s">
        <v>376</v>
      </c>
      <c r="C15" s="481">
        <v>108.39988</v>
      </c>
      <c r="D15" s="481">
        <v>70.114190000000008</v>
      </c>
      <c r="E15" s="481">
        <v>108.30475</v>
      </c>
      <c r="F15" s="482">
        <f t="shared" si="0"/>
        <v>0.54604766880997957</v>
      </c>
    </row>
    <row r="16" spans="1:12" ht="11.25" customHeight="1">
      <c r="A16" s="439"/>
      <c r="B16" s="480" t="s">
        <v>377</v>
      </c>
      <c r="C16" s="481">
        <v>100.65993</v>
      </c>
      <c r="D16" s="481">
        <v>92.968320000000006</v>
      </c>
      <c r="E16" s="481">
        <v>131.79328000000001</v>
      </c>
      <c r="F16" s="482">
        <f t="shared" si="0"/>
        <v>8.2733666694202901E-2</v>
      </c>
    </row>
    <row r="17" spans="1:6" ht="11.25" customHeight="1">
      <c r="A17" s="439"/>
      <c r="B17" s="480" t="s">
        <v>378</v>
      </c>
      <c r="C17" s="481">
        <v>256.21127000000001</v>
      </c>
      <c r="D17" s="481">
        <v>788.52366000000006</v>
      </c>
      <c r="E17" s="481">
        <v>0</v>
      </c>
      <c r="F17" s="482">
        <f t="shared" si="0"/>
        <v>-0.67507472128356938</v>
      </c>
    </row>
    <row r="18" spans="1:6" ht="11.25" customHeight="1">
      <c r="A18" s="439"/>
      <c r="B18" s="480" t="s">
        <v>379</v>
      </c>
      <c r="C18" s="481">
        <v>0</v>
      </c>
      <c r="D18" s="481">
        <v>71.098330000000004</v>
      </c>
      <c r="E18" s="481">
        <v>0</v>
      </c>
      <c r="F18" s="482">
        <f t="shared" si="0"/>
        <v>-1</v>
      </c>
    </row>
    <row r="19" spans="1:6" ht="11.25" customHeight="1">
      <c r="A19" s="439"/>
      <c r="B19" s="480" t="s">
        <v>449</v>
      </c>
      <c r="C19" s="481"/>
      <c r="D19" s="481">
        <v>33.732959999999999</v>
      </c>
      <c r="E19" s="481"/>
      <c r="F19" s="482">
        <f t="shared" si="0"/>
        <v>-1</v>
      </c>
    </row>
    <row r="20" spans="1:6" ht="11.25" customHeight="1">
      <c r="A20" s="439"/>
      <c r="B20" s="480" t="s">
        <v>380</v>
      </c>
      <c r="C20" s="481">
        <v>0</v>
      </c>
      <c r="D20" s="481">
        <v>130.63314</v>
      </c>
      <c r="E20" s="481">
        <v>0</v>
      </c>
      <c r="F20" s="482">
        <f t="shared" si="0"/>
        <v>-1</v>
      </c>
    </row>
    <row r="21" spans="1:6" ht="11.25" customHeight="1">
      <c r="A21" s="439"/>
      <c r="B21" s="480" t="s">
        <v>381</v>
      </c>
      <c r="C21" s="481">
        <v>0</v>
      </c>
      <c r="D21" s="481">
        <v>0</v>
      </c>
      <c r="E21" s="481">
        <v>0</v>
      </c>
      <c r="F21" s="482" t="str">
        <f t="shared" si="0"/>
        <v/>
      </c>
    </row>
    <row r="22" spans="1:6" ht="11.25" customHeight="1">
      <c r="A22" s="439"/>
      <c r="B22" s="480" t="s">
        <v>382</v>
      </c>
      <c r="C22" s="481">
        <v>0</v>
      </c>
      <c r="D22" s="481">
        <v>0</v>
      </c>
      <c r="E22" s="481">
        <v>0</v>
      </c>
      <c r="F22" s="482" t="str">
        <f t="shared" si="0"/>
        <v/>
      </c>
    </row>
    <row r="23" spans="1:6" ht="11.25" customHeight="1">
      <c r="A23" s="439"/>
      <c r="B23" s="480" t="s">
        <v>644</v>
      </c>
      <c r="C23" s="481">
        <v>0</v>
      </c>
      <c r="D23" s="481"/>
      <c r="E23" s="481">
        <v>0</v>
      </c>
      <c r="F23" s="482" t="str">
        <f t="shared" si="0"/>
        <v/>
      </c>
    </row>
    <row r="24" spans="1:6" ht="11.25" customHeight="1">
      <c r="A24" s="441" t="s">
        <v>383</v>
      </c>
      <c r="B24" s="442"/>
      <c r="C24" s="479">
        <v>465.27107999999998</v>
      </c>
      <c r="D24" s="479">
        <v>1187.0706</v>
      </c>
      <c r="E24" s="479">
        <v>240.09802999999999</v>
      </c>
      <c r="F24" s="483">
        <f t="shared" si="0"/>
        <v>-0.60805104599507387</v>
      </c>
    </row>
    <row r="25" spans="1:6" ht="11.25" customHeight="1">
      <c r="A25" s="439" t="s">
        <v>274</v>
      </c>
      <c r="B25" s="480" t="s">
        <v>384</v>
      </c>
      <c r="C25" s="481">
        <v>550.50249999999994</v>
      </c>
      <c r="D25" s="481">
        <v>552.06059000000005</v>
      </c>
      <c r="E25" s="481">
        <v>553.66996999999992</v>
      </c>
      <c r="F25" s="482">
        <f t="shared" si="0"/>
        <v>-2.8223170213981241E-3</v>
      </c>
    </row>
    <row r="26" spans="1:6" ht="11.25" customHeight="1">
      <c r="A26" s="441" t="s">
        <v>385</v>
      </c>
      <c r="B26" s="442"/>
      <c r="C26" s="479">
        <v>550.50249999999994</v>
      </c>
      <c r="D26" s="479">
        <v>552.06059000000005</v>
      </c>
      <c r="E26" s="479">
        <v>553.66996999999992</v>
      </c>
      <c r="F26" s="483">
        <f t="shared" si="0"/>
        <v>-2.8223170213981241E-3</v>
      </c>
    </row>
    <row r="27" spans="1:6" ht="11.25" customHeight="1">
      <c r="A27" s="439" t="s">
        <v>114</v>
      </c>
      <c r="B27" s="480" t="s">
        <v>70</v>
      </c>
      <c r="C27" s="481">
        <v>6.4319299999999995</v>
      </c>
      <c r="D27" s="481">
        <v>6.67042</v>
      </c>
      <c r="E27" s="481">
        <v>6.8397399999999999</v>
      </c>
      <c r="F27" s="482">
        <f t="shared" si="0"/>
        <v>-3.5753370852210309E-2</v>
      </c>
    </row>
    <row r="28" spans="1:6" ht="11.25" customHeight="1">
      <c r="A28" s="441" t="s">
        <v>386</v>
      </c>
      <c r="B28" s="442"/>
      <c r="C28" s="479">
        <v>6.4319299999999995</v>
      </c>
      <c r="D28" s="479">
        <v>6.67042</v>
      </c>
      <c r="E28" s="479">
        <v>6.8397399999999999</v>
      </c>
      <c r="F28" s="483">
        <f t="shared" si="0"/>
        <v>-3.5753370852210309E-2</v>
      </c>
    </row>
    <row r="29" spans="1:6" ht="11.25" customHeight="1">
      <c r="A29" s="439" t="s">
        <v>117</v>
      </c>
      <c r="B29" s="480" t="s">
        <v>266</v>
      </c>
      <c r="C29" s="481">
        <v>0</v>
      </c>
      <c r="D29" s="481">
        <v>0</v>
      </c>
      <c r="E29" s="481">
        <v>0</v>
      </c>
      <c r="F29" s="482" t="str">
        <f t="shared" si="0"/>
        <v/>
      </c>
    </row>
    <row r="30" spans="1:6" ht="11.25" customHeight="1">
      <c r="A30" s="441" t="s">
        <v>387</v>
      </c>
      <c r="B30" s="442"/>
      <c r="C30" s="479">
        <v>0</v>
      </c>
      <c r="D30" s="479">
        <v>0</v>
      </c>
      <c r="E30" s="479">
        <v>0</v>
      </c>
      <c r="F30" s="483" t="str">
        <f t="shared" si="0"/>
        <v/>
      </c>
    </row>
    <row r="31" spans="1:6" ht="11.25" customHeight="1">
      <c r="A31" s="439" t="s">
        <v>118</v>
      </c>
      <c r="B31" s="480" t="s">
        <v>88</v>
      </c>
      <c r="C31" s="481">
        <v>0</v>
      </c>
      <c r="D31" s="481">
        <v>0</v>
      </c>
      <c r="E31" s="481">
        <v>0</v>
      </c>
      <c r="F31" s="482" t="str">
        <f t="shared" si="0"/>
        <v/>
      </c>
    </row>
    <row r="32" spans="1:6" ht="11.25" customHeight="1">
      <c r="A32" s="441" t="s">
        <v>388</v>
      </c>
      <c r="B32" s="442"/>
      <c r="C32" s="479">
        <v>0</v>
      </c>
      <c r="D32" s="479">
        <v>0</v>
      </c>
      <c r="E32" s="479">
        <v>0</v>
      </c>
      <c r="F32" s="483" t="str">
        <f t="shared" si="0"/>
        <v/>
      </c>
    </row>
    <row r="33" spans="1:6" ht="11.25" customHeight="1">
      <c r="A33" s="439" t="s">
        <v>122</v>
      </c>
      <c r="B33" s="480" t="s">
        <v>78</v>
      </c>
      <c r="C33" s="481">
        <v>3.6</v>
      </c>
      <c r="D33" s="481">
        <v>3.2</v>
      </c>
      <c r="E33" s="481">
        <v>0</v>
      </c>
      <c r="F33" s="482">
        <f t="shared" si="0"/>
        <v>0.125</v>
      </c>
    </row>
    <row r="34" spans="1:6" ht="11.25" customHeight="1">
      <c r="A34" s="441" t="s">
        <v>389</v>
      </c>
      <c r="B34" s="442"/>
      <c r="C34" s="479">
        <v>3.6</v>
      </c>
      <c r="D34" s="479">
        <v>3.2</v>
      </c>
      <c r="E34" s="479">
        <v>0</v>
      </c>
      <c r="F34" s="483">
        <f t="shared" si="0"/>
        <v>0.125</v>
      </c>
    </row>
    <row r="35" spans="1:6" ht="11.25" customHeight="1">
      <c r="A35" s="439" t="s">
        <v>109</v>
      </c>
      <c r="B35" s="480" t="s">
        <v>390</v>
      </c>
      <c r="C35" s="481">
        <v>18.835999999999999</v>
      </c>
      <c r="D35" s="481">
        <v>19.103999999999999</v>
      </c>
      <c r="E35" s="481">
        <v>19.619999999999997</v>
      </c>
      <c r="F35" s="482">
        <f t="shared" si="0"/>
        <v>-1.4028475711892807E-2</v>
      </c>
    </row>
    <row r="36" spans="1:6" ht="11.25" customHeight="1">
      <c r="A36" s="441" t="s">
        <v>391</v>
      </c>
      <c r="B36" s="442"/>
      <c r="C36" s="479">
        <v>18.835999999999999</v>
      </c>
      <c r="D36" s="479">
        <v>19.103999999999999</v>
      </c>
      <c r="E36" s="479">
        <v>19.619999999999997</v>
      </c>
      <c r="F36" s="483">
        <f t="shared" si="0"/>
        <v>-1.4028475711892807E-2</v>
      </c>
    </row>
    <row r="37" spans="1:6" ht="11.25" customHeight="1">
      <c r="A37" s="439" t="s">
        <v>275</v>
      </c>
      <c r="B37" s="480" t="s">
        <v>63</v>
      </c>
      <c r="C37" s="481">
        <v>18.352620000000002</v>
      </c>
      <c r="D37" s="481"/>
      <c r="E37" s="481">
        <v>9.0002999999999993</v>
      </c>
      <c r="F37" s="482" t="str">
        <f t="shared" si="0"/>
        <v/>
      </c>
    </row>
    <row r="38" spans="1:6" ht="11.25" customHeight="1">
      <c r="A38" s="441" t="s">
        <v>393</v>
      </c>
      <c r="B38" s="442"/>
      <c r="C38" s="479">
        <v>18.352620000000002</v>
      </c>
      <c r="D38" s="479"/>
      <c r="E38" s="479">
        <v>9.0002999999999993</v>
      </c>
      <c r="F38" s="483" t="str">
        <f t="shared" si="0"/>
        <v/>
      </c>
    </row>
    <row r="39" spans="1:6" ht="11.25" customHeight="1">
      <c r="A39" s="439" t="s">
        <v>124</v>
      </c>
      <c r="B39" s="480" t="s">
        <v>394</v>
      </c>
      <c r="C39" s="481">
        <v>0</v>
      </c>
      <c r="D39" s="481">
        <v>0</v>
      </c>
      <c r="E39" s="481">
        <v>0</v>
      </c>
      <c r="F39" s="482" t="str">
        <f t="shared" si="0"/>
        <v/>
      </c>
    </row>
    <row r="40" spans="1:6" ht="11.25" customHeight="1">
      <c r="A40" s="439"/>
      <c r="B40" s="480" t="s">
        <v>395</v>
      </c>
      <c r="C40" s="481">
        <v>0</v>
      </c>
      <c r="D40" s="481">
        <v>0</v>
      </c>
      <c r="E40" s="481">
        <v>0</v>
      </c>
      <c r="F40" s="482" t="str">
        <f t="shared" si="0"/>
        <v/>
      </c>
    </row>
    <row r="41" spans="1:6" ht="11.25" customHeight="1">
      <c r="A41" s="441" t="s">
        <v>396</v>
      </c>
      <c r="B41" s="442"/>
      <c r="C41" s="479">
        <v>0</v>
      </c>
      <c r="D41" s="479">
        <v>0</v>
      </c>
      <c r="E41" s="479">
        <v>0</v>
      </c>
      <c r="F41" s="483" t="str">
        <f t="shared" si="0"/>
        <v/>
      </c>
    </row>
    <row r="42" spans="1:6" ht="11.25" customHeight="1">
      <c r="A42" s="439" t="s">
        <v>574</v>
      </c>
      <c r="B42" s="480" t="s">
        <v>398</v>
      </c>
      <c r="C42" s="481">
        <v>645.87952999999993</v>
      </c>
      <c r="D42" s="481">
        <v>426.67420000000004</v>
      </c>
      <c r="E42" s="481">
        <v>508.16005999999999</v>
      </c>
      <c r="F42" s="482">
        <f t="shared" si="0"/>
        <v>0.51375342122865608</v>
      </c>
    </row>
    <row r="43" spans="1:6" ht="11.25" customHeight="1">
      <c r="A43" s="439"/>
      <c r="B43" s="480" t="s">
        <v>399</v>
      </c>
      <c r="C43" s="481">
        <v>0</v>
      </c>
      <c r="D43" s="481">
        <v>146.26472999999999</v>
      </c>
      <c r="E43" s="481">
        <v>0</v>
      </c>
      <c r="F43" s="482">
        <f t="shared" si="0"/>
        <v>-1</v>
      </c>
    </row>
    <row r="44" spans="1:6" ht="11.25" customHeight="1">
      <c r="A44" s="439"/>
      <c r="B44" s="480" t="s">
        <v>397</v>
      </c>
      <c r="C44" s="481">
        <v>517.5922599999999</v>
      </c>
      <c r="D44" s="481"/>
      <c r="E44" s="481">
        <v>526.44351000000006</v>
      </c>
      <c r="F44" s="482" t="str">
        <f t="shared" si="0"/>
        <v/>
      </c>
    </row>
    <row r="45" spans="1:6" ht="11.25" customHeight="1">
      <c r="A45" s="439"/>
      <c r="B45" s="480" t="s">
        <v>400</v>
      </c>
      <c r="C45" s="481">
        <v>4.8499400000000001</v>
      </c>
      <c r="D45" s="481"/>
      <c r="E45" s="481">
        <v>10.008279999999999</v>
      </c>
      <c r="F45" s="482" t="str">
        <f>+IF(D45=0,"",C45/D45-1)</f>
        <v/>
      </c>
    </row>
    <row r="46" spans="1:6" ht="11.25" customHeight="1">
      <c r="A46" s="441" t="s">
        <v>401</v>
      </c>
      <c r="B46" s="442"/>
      <c r="C46" s="479">
        <v>1168.3217299999999</v>
      </c>
      <c r="D46" s="479">
        <v>572.93893000000003</v>
      </c>
      <c r="E46" s="479">
        <v>1044.61185</v>
      </c>
      <c r="F46" s="483"/>
    </row>
    <row r="47" spans="1:6" ht="11.25" customHeight="1">
      <c r="A47" s="439" t="s">
        <v>624</v>
      </c>
      <c r="B47" s="480" t="s">
        <v>561</v>
      </c>
      <c r="C47" s="481">
        <v>89.023700000000005</v>
      </c>
      <c r="D47" s="481">
        <v>61.922440000000002</v>
      </c>
      <c r="E47" s="481">
        <v>88.961479999999995</v>
      </c>
      <c r="F47" s="482">
        <f t="shared" si="0"/>
        <v>0.43766460107192162</v>
      </c>
    </row>
    <row r="48" spans="1:6" ht="11.25" customHeight="1">
      <c r="A48" s="441" t="s">
        <v>524</v>
      </c>
      <c r="B48" s="442"/>
      <c r="C48" s="479">
        <v>89.023700000000005</v>
      </c>
      <c r="D48" s="479">
        <v>61.922440000000002</v>
      </c>
      <c r="E48" s="479">
        <v>88.961479999999995</v>
      </c>
      <c r="F48" s="483">
        <f>+IF(D48=0,"",C48/D48-1)</f>
        <v>0.43766460107192162</v>
      </c>
    </row>
    <row r="49" spans="1:6" ht="11.25" customHeight="1">
      <c r="A49" s="439" t="s">
        <v>123</v>
      </c>
      <c r="B49" s="480" t="s">
        <v>76</v>
      </c>
      <c r="C49" s="481">
        <v>3.512</v>
      </c>
      <c r="D49" s="481">
        <v>3.371</v>
      </c>
      <c r="E49" s="481">
        <v>3.7160000000000002</v>
      </c>
      <c r="F49" s="482">
        <f t="shared" si="0"/>
        <v>4.1827350934440899E-2</v>
      </c>
    </row>
    <row r="50" spans="1:6" ht="11.25" customHeight="1">
      <c r="A50" s="441" t="s">
        <v>402</v>
      </c>
      <c r="B50" s="442"/>
      <c r="C50" s="479">
        <v>3.512</v>
      </c>
      <c r="D50" s="479">
        <v>3.371</v>
      </c>
      <c r="E50" s="479">
        <v>3.7160000000000002</v>
      </c>
      <c r="F50" s="483">
        <f t="shared" si="0"/>
        <v>4.1827350934440899E-2</v>
      </c>
    </row>
    <row r="51" spans="1:6" ht="11.25" customHeight="1">
      <c r="A51" s="439" t="s">
        <v>116</v>
      </c>
      <c r="B51" s="480" t="s">
        <v>86</v>
      </c>
      <c r="C51" s="481">
        <v>0</v>
      </c>
      <c r="D51" s="481">
        <v>0</v>
      </c>
      <c r="E51" s="481">
        <v>0</v>
      </c>
      <c r="F51" s="482" t="str">
        <f t="shared" si="0"/>
        <v/>
      </c>
    </row>
    <row r="52" spans="1:6" ht="11.25" customHeight="1">
      <c r="A52" s="441" t="s">
        <v>403</v>
      </c>
      <c r="B52" s="442"/>
      <c r="C52" s="479">
        <v>0</v>
      </c>
      <c r="D52" s="479">
        <v>0</v>
      </c>
      <c r="E52" s="479">
        <v>0</v>
      </c>
      <c r="F52" s="483" t="str">
        <f t="shared" si="0"/>
        <v/>
      </c>
    </row>
    <row r="53" spans="1:6" ht="11.25" customHeight="1">
      <c r="A53" s="439" t="s">
        <v>276</v>
      </c>
      <c r="B53" s="480" t="s">
        <v>75</v>
      </c>
      <c r="C53" s="481">
        <v>4.9025999999999996</v>
      </c>
      <c r="D53" s="481">
        <v>5.3929</v>
      </c>
      <c r="E53" s="481">
        <v>5.1007199999999999</v>
      </c>
      <c r="F53" s="482">
        <f t="shared" si="0"/>
        <v>-9.0915833781453514E-2</v>
      </c>
    </row>
    <row r="54" spans="1:6" ht="11.25" customHeight="1">
      <c r="A54" s="439"/>
      <c r="B54" s="480" t="s">
        <v>404</v>
      </c>
      <c r="C54" s="481">
        <v>169.03919999999999</v>
      </c>
      <c r="D54" s="481">
        <v>144.66965999999999</v>
      </c>
      <c r="E54" s="481">
        <v>248.68201999999999</v>
      </c>
      <c r="F54" s="482">
        <f t="shared" si="0"/>
        <v>0.16844955604374823</v>
      </c>
    </row>
    <row r="55" spans="1:6" ht="11.25" customHeight="1">
      <c r="A55" s="439"/>
      <c r="B55" s="480" t="s">
        <v>405</v>
      </c>
      <c r="C55" s="481">
        <v>59.801320000000004</v>
      </c>
      <c r="D55" s="481">
        <v>91.223910000000004</v>
      </c>
      <c r="E55" s="481">
        <v>89.720569999999995</v>
      </c>
      <c r="F55" s="482">
        <f t="shared" si="0"/>
        <v>-0.34445563668560142</v>
      </c>
    </row>
    <row r="56" spans="1:6" ht="11.25" customHeight="1">
      <c r="A56" s="439"/>
      <c r="B56" s="480" t="s">
        <v>66</v>
      </c>
      <c r="C56" s="481">
        <v>9.9101499999999998</v>
      </c>
      <c r="D56" s="481">
        <v>10.00128</v>
      </c>
      <c r="E56" s="481">
        <v>9.9176400000000005</v>
      </c>
      <c r="F56" s="482">
        <f t="shared" si="0"/>
        <v>-9.1118336852882287E-3</v>
      </c>
    </row>
    <row r="57" spans="1:6" ht="11.25" customHeight="1">
      <c r="A57" s="441" t="s">
        <v>406</v>
      </c>
      <c r="B57" s="442"/>
      <c r="C57" s="479">
        <v>243.65326999999999</v>
      </c>
      <c r="D57" s="479">
        <v>251.28775000000002</v>
      </c>
      <c r="E57" s="479">
        <v>353.42095</v>
      </c>
      <c r="F57" s="483">
        <f t="shared" si="0"/>
        <v>-3.038142527839105E-2</v>
      </c>
    </row>
    <row r="58" spans="1:6" ht="11.25" customHeight="1">
      <c r="A58" s="439" t="s">
        <v>277</v>
      </c>
      <c r="B58" s="480" t="s">
        <v>83</v>
      </c>
      <c r="C58" s="481">
        <v>9.4545200000000005</v>
      </c>
      <c r="D58" s="481">
        <v>22.759620000000002</v>
      </c>
      <c r="E58" s="481">
        <v>26.574349999999999</v>
      </c>
      <c r="F58" s="482">
        <f t="shared" si="0"/>
        <v>-0.58459236138388948</v>
      </c>
    </row>
    <row r="59" spans="1:6" ht="11.25" customHeight="1">
      <c r="A59" s="441" t="s">
        <v>407</v>
      </c>
      <c r="B59" s="442"/>
      <c r="C59" s="479">
        <v>9.4545200000000005</v>
      </c>
      <c r="D59" s="479">
        <v>22.759620000000002</v>
      </c>
      <c r="E59" s="479">
        <v>26.574349999999999</v>
      </c>
      <c r="F59" s="483">
        <f t="shared" si="0"/>
        <v>-0.58459236138388948</v>
      </c>
    </row>
    <row r="60" spans="1:6" ht="11.25" customHeight="1">
      <c r="A60" s="439" t="s">
        <v>105</v>
      </c>
      <c r="B60" s="480" t="s">
        <v>80</v>
      </c>
      <c r="C60" s="481">
        <v>24.39481</v>
      </c>
      <c r="D60" s="481">
        <v>72.490799999999993</v>
      </c>
      <c r="E60" s="481">
        <v>88.914940000000001</v>
      </c>
      <c r="F60" s="482">
        <f t="shared" si="0"/>
        <v>-0.66347715848080036</v>
      </c>
    </row>
    <row r="61" spans="1:6" ht="11.25" customHeight="1">
      <c r="A61" s="441" t="s">
        <v>408</v>
      </c>
      <c r="B61" s="442"/>
      <c r="C61" s="479">
        <v>24.39481</v>
      </c>
      <c r="D61" s="479">
        <v>72.490799999999993</v>
      </c>
      <c r="E61" s="479">
        <v>88.914940000000001</v>
      </c>
      <c r="F61" s="483">
        <f t="shared" si="0"/>
        <v>-0.66347715848080036</v>
      </c>
    </row>
    <row r="62" spans="1:6" ht="11.25" customHeight="1">
      <c r="A62" s="439" t="s">
        <v>113</v>
      </c>
      <c r="B62" s="480" t="s">
        <v>265</v>
      </c>
      <c r="C62" s="481">
        <v>0</v>
      </c>
      <c r="D62" s="481">
        <v>0</v>
      </c>
      <c r="E62" s="481">
        <v>0</v>
      </c>
      <c r="F62" s="482" t="str">
        <f t="shared" si="0"/>
        <v/>
      </c>
    </row>
    <row r="63" spans="1:6" ht="11.25" customHeight="1">
      <c r="A63" s="441" t="s">
        <v>409</v>
      </c>
      <c r="B63" s="442"/>
      <c r="C63" s="479">
        <v>0</v>
      </c>
      <c r="D63" s="479">
        <v>0</v>
      </c>
      <c r="E63" s="479">
        <v>0</v>
      </c>
      <c r="F63" s="483" t="str">
        <f t="shared" si="0"/>
        <v/>
      </c>
    </row>
    <row r="64" spans="1:6" ht="11.25" customHeight="1">
      <c r="A64" s="439" t="s">
        <v>627</v>
      </c>
      <c r="B64" s="480" t="s">
        <v>91</v>
      </c>
      <c r="C64" s="481">
        <v>0</v>
      </c>
      <c r="D64" s="481"/>
      <c r="E64" s="481">
        <v>0</v>
      </c>
      <c r="F64" s="482" t="str">
        <f t="shared" si="0"/>
        <v/>
      </c>
    </row>
    <row r="65" spans="1:6" ht="11.25" customHeight="1">
      <c r="A65" s="439"/>
      <c r="B65" s="480" t="s">
        <v>90</v>
      </c>
      <c r="C65" s="481">
        <v>4.2178000000000004</v>
      </c>
      <c r="D65" s="481">
        <v>2.7587999999999999</v>
      </c>
      <c r="E65" s="481">
        <v>4.4090999999999996</v>
      </c>
      <c r="F65" s="482">
        <f t="shared" si="0"/>
        <v>0.52885312454690458</v>
      </c>
    </row>
    <row r="66" spans="1:6" ht="11.25" customHeight="1">
      <c r="A66" s="441" t="s">
        <v>410</v>
      </c>
      <c r="B66" s="442"/>
      <c r="C66" s="479">
        <v>4.2178000000000004</v>
      </c>
      <c r="D66" s="479">
        <v>2.7587999999999999</v>
      </c>
      <c r="E66" s="479">
        <v>4.4090999999999996</v>
      </c>
      <c r="F66" s="483">
        <f t="shared" si="0"/>
        <v>0.52885312454690458</v>
      </c>
    </row>
    <row r="67" spans="1:6" ht="11.25" customHeight="1">
      <c r="A67" s="858"/>
      <c r="B67" s="484"/>
      <c r="C67" s="485"/>
      <c r="D67" s="485"/>
      <c r="E67" s="485"/>
      <c r="F67" s="859" t="str">
        <f t="shared" si="0"/>
        <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5"/>
  <sheetViews>
    <sheetView showGridLines="0" view="pageBreakPreview" topLeftCell="A30" zoomScale="140" zoomScaleNormal="100" zoomScaleSheetLayoutView="140" zoomScalePageLayoutView="130" workbookViewId="0">
      <selection activeCell="R31" sqref="R31"/>
    </sheetView>
  </sheetViews>
  <sheetFormatPr defaultRowHeight="9"/>
  <cols>
    <col min="1" max="1" width="27.6640625" style="462" customWidth="1"/>
    <col min="2" max="2" width="23" style="462" customWidth="1"/>
    <col min="3" max="4" width="17.6640625" style="462" customWidth="1"/>
    <col min="5" max="5" width="15.1640625" style="462" customWidth="1"/>
    <col min="6" max="6" width="13.33203125" style="462" customWidth="1"/>
    <col min="7" max="9" width="9.33203125" style="462"/>
    <col min="10" max="11" width="9.33203125" style="462" customWidth="1"/>
    <col min="12" max="13" width="9.33203125" style="462"/>
    <col min="14" max="16384" width="9.33203125" style="463"/>
  </cols>
  <sheetData>
    <row r="1" spans="1:12" ht="11.25" customHeight="1">
      <c r="A1" s="977" t="s">
        <v>287</v>
      </c>
      <c r="B1" s="980" t="s">
        <v>57</v>
      </c>
      <c r="C1" s="980" t="s">
        <v>456</v>
      </c>
      <c r="D1" s="980"/>
      <c r="E1" s="980"/>
      <c r="F1" s="983"/>
      <c r="G1" s="464"/>
      <c r="H1" s="464"/>
      <c r="I1" s="464"/>
      <c r="J1" s="464"/>
      <c r="K1" s="464"/>
    </row>
    <row r="2" spans="1:12" ht="11.25" customHeight="1">
      <c r="A2" s="978"/>
      <c r="B2" s="981"/>
      <c r="C2" s="486" t="str">
        <f>+'22. ANEXOII-2'!C2</f>
        <v>JUNIO 2018</v>
      </c>
      <c r="D2" s="487" t="str">
        <f>+'22. ANEXOII-2'!D2</f>
        <v>JUNIO 2017</v>
      </c>
      <c r="E2" s="488">
        <v>2018</v>
      </c>
      <c r="F2" s="465" t="s">
        <v>454</v>
      </c>
      <c r="G2" s="466"/>
      <c r="H2" s="466"/>
      <c r="I2" s="466"/>
      <c r="J2" s="466"/>
      <c r="K2" s="466"/>
      <c r="L2" s="467"/>
    </row>
    <row r="3" spans="1:12" ht="11.25" customHeight="1">
      <c r="A3" s="978"/>
      <c r="B3" s="981"/>
      <c r="C3" s="489">
        <f>+'8. Max Potencia'!D8</f>
        <v>43256.78125</v>
      </c>
      <c r="D3" s="489">
        <f>+'8. Max Potencia'!E8</f>
        <v>42907.864583333336</v>
      </c>
      <c r="E3" s="489">
        <f>+'8. Max Potencia'!G8</f>
        <v>43214.78125</v>
      </c>
      <c r="F3" s="490" t="s">
        <v>445</v>
      </c>
      <c r="G3" s="468"/>
      <c r="H3" s="468"/>
      <c r="I3" s="469"/>
      <c r="J3" s="469"/>
      <c r="K3" s="469"/>
      <c r="L3" s="467"/>
    </row>
    <row r="4" spans="1:12" ht="11.25" customHeight="1">
      <c r="A4" s="979"/>
      <c r="B4" s="982"/>
      <c r="C4" s="491">
        <f>+'8. Max Potencia'!D9</f>
        <v>43256.78125</v>
      </c>
      <c r="D4" s="491">
        <f>+'8. Max Potencia'!E9</f>
        <v>42907.864583333336</v>
      </c>
      <c r="E4" s="491">
        <f>+'8. Max Potencia'!G9</f>
        <v>43214.78125</v>
      </c>
      <c r="F4" s="492" t="s">
        <v>446</v>
      </c>
      <c r="G4" s="468"/>
      <c r="H4" s="468"/>
      <c r="I4" s="468"/>
      <c r="J4" s="468"/>
      <c r="K4" s="468"/>
      <c r="L4" s="470"/>
    </row>
    <row r="5" spans="1:12" ht="11.25" customHeight="1">
      <c r="A5" s="439" t="s">
        <v>278</v>
      </c>
      <c r="B5" s="480" t="s">
        <v>411</v>
      </c>
      <c r="C5" s="481">
        <v>0</v>
      </c>
      <c r="D5" s="481">
        <v>0</v>
      </c>
      <c r="E5" s="481">
        <v>0</v>
      </c>
      <c r="F5" s="482" t="str">
        <f t="shared" ref="F5:F52" si="0">+IF(D5=0,"",C5/D5-1)</f>
        <v/>
      </c>
    </row>
    <row r="6" spans="1:12" ht="11.25" customHeight="1">
      <c r="A6" s="441" t="s">
        <v>412</v>
      </c>
      <c r="B6" s="442"/>
      <c r="C6" s="479">
        <v>0</v>
      </c>
      <c r="D6" s="479">
        <v>0</v>
      </c>
      <c r="E6" s="479">
        <v>0</v>
      </c>
      <c r="F6" s="483" t="str">
        <f t="shared" si="0"/>
        <v/>
      </c>
    </row>
    <row r="7" spans="1:12" ht="11.25" customHeight="1">
      <c r="A7" s="439" t="s">
        <v>129</v>
      </c>
      <c r="B7" s="480" t="s">
        <v>450</v>
      </c>
      <c r="C7" s="481"/>
      <c r="D7" s="481">
        <v>0</v>
      </c>
      <c r="E7" s="481"/>
      <c r="F7" s="482" t="str">
        <f t="shared" si="0"/>
        <v/>
      </c>
    </row>
    <row r="8" spans="1:12" ht="11.25" customHeight="1">
      <c r="A8" s="441" t="s">
        <v>451</v>
      </c>
      <c r="B8" s="442"/>
      <c r="C8" s="479"/>
      <c r="D8" s="479">
        <v>0</v>
      </c>
      <c r="E8" s="479"/>
      <c r="F8" s="483" t="str">
        <f t="shared" si="0"/>
        <v/>
      </c>
    </row>
    <row r="9" spans="1:12" ht="11.25" customHeight="1">
      <c r="A9" s="439" t="s">
        <v>110</v>
      </c>
      <c r="B9" s="480" t="s">
        <v>65</v>
      </c>
      <c r="C9" s="481">
        <v>18.366520000000001</v>
      </c>
      <c r="D9" s="481">
        <v>14.27637</v>
      </c>
      <c r="E9" s="481">
        <v>18.94304</v>
      </c>
      <c r="F9" s="482">
        <f t="shared" si="0"/>
        <v>0.28649789827526195</v>
      </c>
    </row>
    <row r="10" spans="1:12" ht="11.25" customHeight="1">
      <c r="A10" s="441" t="s">
        <v>413</v>
      </c>
      <c r="B10" s="442"/>
      <c r="C10" s="479">
        <v>18.366520000000001</v>
      </c>
      <c r="D10" s="479">
        <v>14.27637</v>
      </c>
      <c r="E10" s="479">
        <v>18.94304</v>
      </c>
      <c r="F10" s="483">
        <f t="shared" si="0"/>
        <v>0.28649789827526195</v>
      </c>
    </row>
    <row r="11" spans="1:12" ht="11.25" customHeight="1">
      <c r="A11" s="439" t="s">
        <v>279</v>
      </c>
      <c r="B11" s="480" t="s">
        <v>414</v>
      </c>
      <c r="C11" s="481">
        <v>0</v>
      </c>
      <c r="D11" s="481">
        <v>150.16015999999999</v>
      </c>
      <c r="E11" s="481">
        <v>0</v>
      </c>
      <c r="F11" s="482">
        <f t="shared" si="0"/>
        <v>-1</v>
      </c>
    </row>
    <row r="12" spans="1:12" ht="11.25" customHeight="1">
      <c r="A12" s="441" t="s">
        <v>415</v>
      </c>
      <c r="B12" s="442"/>
      <c r="C12" s="479">
        <v>0</v>
      </c>
      <c r="D12" s="479">
        <v>150.16015999999999</v>
      </c>
      <c r="E12" s="479">
        <v>0</v>
      </c>
      <c r="F12" s="483">
        <f t="shared" si="0"/>
        <v>-1</v>
      </c>
    </row>
    <row r="13" spans="1:12" ht="11.25" customHeight="1">
      <c r="A13" s="439" t="s">
        <v>101</v>
      </c>
      <c r="B13" s="480" t="s">
        <v>416</v>
      </c>
      <c r="C13" s="481">
        <v>110.12584000000001</v>
      </c>
      <c r="D13" s="481">
        <v>56.116979999999998</v>
      </c>
      <c r="E13" s="481">
        <v>110.79231</v>
      </c>
      <c r="F13" s="482">
        <f t="shared" si="0"/>
        <v>0.96243347378992983</v>
      </c>
    </row>
    <row r="14" spans="1:12" ht="11.25" customHeight="1">
      <c r="A14" s="439"/>
      <c r="B14" s="480" t="s">
        <v>452</v>
      </c>
      <c r="C14" s="481"/>
      <c r="D14" s="481">
        <v>0</v>
      </c>
      <c r="E14" s="481"/>
      <c r="F14" s="482" t="str">
        <f t="shared" si="0"/>
        <v/>
      </c>
    </row>
    <row r="15" spans="1:12" ht="11.25" customHeight="1">
      <c r="A15" s="441" t="s">
        <v>417</v>
      </c>
      <c r="B15" s="442"/>
      <c r="C15" s="479">
        <v>110.12584000000001</v>
      </c>
      <c r="D15" s="479">
        <v>56.116979999999998</v>
      </c>
      <c r="E15" s="479">
        <v>110.79231</v>
      </c>
      <c r="F15" s="483">
        <f t="shared" si="0"/>
        <v>0.96243347378992983</v>
      </c>
    </row>
    <row r="16" spans="1:12" ht="11.25" customHeight="1">
      <c r="A16" s="439" t="s">
        <v>280</v>
      </c>
      <c r="B16" s="480" t="s">
        <v>69</v>
      </c>
      <c r="C16" s="481">
        <v>7.1911800000000001</v>
      </c>
      <c r="D16" s="481">
        <v>3.0182799999999999</v>
      </c>
      <c r="E16" s="481">
        <v>8.5421899999999997</v>
      </c>
      <c r="F16" s="482">
        <f t="shared" si="0"/>
        <v>1.3825423751275561</v>
      </c>
    </row>
    <row r="17" spans="1:6" ht="11.25" customHeight="1">
      <c r="A17" s="439"/>
      <c r="B17" s="480" t="s">
        <v>68</v>
      </c>
      <c r="C17" s="481">
        <v>7.6492399999999998</v>
      </c>
      <c r="D17" s="481">
        <v>3.4796999999999998</v>
      </c>
      <c r="E17" s="481">
        <v>8.9284199999999991</v>
      </c>
      <c r="F17" s="482">
        <f t="shared" si="0"/>
        <v>1.198246975313964</v>
      </c>
    </row>
    <row r="18" spans="1:6" ht="11.25" customHeight="1">
      <c r="A18" s="439"/>
      <c r="B18" s="480" t="s">
        <v>72</v>
      </c>
      <c r="C18" s="481">
        <v>2.28498</v>
      </c>
      <c r="D18" s="481">
        <v>2.36558</v>
      </c>
      <c r="E18" s="481">
        <v>4.32423</v>
      </c>
      <c r="F18" s="482">
        <f t="shared" si="0"/>
        <v>-3.407198234682407E-2</v>
      </c>
    </row>
    <row r="19" spans="1:6" ht="11.25" customHeight="1">
      <c r="A19" s="439"/>
      <c r="B19" s="480" t="s">
        <v>71</v>
      </c>
      <c r="C19" s="481">
        <v>2.6919200000000001</v>
      </c>
      <c r="D19" s="481">
        <v>2.5881400000000001</v>
      </c>
      <c r="E19" s="481">
        <v>5.0239000000000003</v>
      </c>
      <c r="F19" s="482">
        <f t="shared" si="0"/>
        <v>4.0098294528116751E-2</v>
      </c>
    </row>
    <row r="20" spans="1:6" ht="11.25" customHeight="1">
      <c r="A20" s="441" t="s">
        <v>418</v>
      </c>
      <c r="B20" s="442"/>
      <c r="C20" s="479">
        <v>19.817319999999999</v>
      </c>
      <c r="D20" s="479">
        <v>11.451699999999999</v>
      </c>
      <c r="E20" s="479">
        <v>26.818740000000002</v>
      </c>
      <c r="F20" s="483">
        <f t="shared" si="0"/>
        <v>0.73051337356025758</v>
      </c>
    </row>
    <row r="21" spans="1:6" ht="11.25" customHeight="1">
      <c r="A21" s="439" t="s">
        <v>108</v>
      </c>
      <c r="B21" s="480" t="s">
        <v>419</v>
      </c>
      <c r="C21" s="481">
        <v>28.139520000000001</v>
      </c>
      <c r="D21" s="481">
        <v>28.189550000000001</v>
      </c>
      <c r="E21" s="481">
        <v>27.351590000000002</v>
      </c>
      <c r="F21" s="482">
        <f t="shared" si="0"/>
        <v>-1.7747711474641603E-3</v>
      </c>
    </row>
    <row r="22" spans="1:6" ht="11.25" customHeight="1">
      <c r="A22" s="441" t="s">
        <v>420</v>
      </c>
      <c r="B22" s="442"/>
      <c r="C22" s="479">
        <v>28.139520000000001</v>
      </c>
      <c r="D22" s="479">
        <v>28.189550000000001</v>
      </c>
      <c r="E22" s="479">
        <v>27.351590000000002</v>
      </c>
      <c r="F22" s="483">
        <f t="shared" si="0"/>
        <v>-1.7747711474641603E-3</v>
      </c>
    </row>
    <row r="23" spans="1:6" ht="11.25" customHeight="1">
      <c r="A23" s="439" t="s">
        <v>126</v>
      </c>
      <c r="B23" s="480" t="s">
        <v>421</v>
      </c>
      <c r="C23" s="481">
        <v>0</v>
      </c>
      <c r="D23" s="481">
        <v>0</v>
      </c>
      <c r="E23" s="481">
        <v>0</v>
      </c>
      <c r="F23" s="482" t="str">
        <f t="shared" si="0"/>
        <v/>
      </c>
    </row>
    <row r="24" spans="1:6" ht="11.25" customHeight="1">
      <c r="A24" s="441" t="s">
        <v>422</v>
      </c>
      <c r="B24" s="442"/>
      <c r="C24" s="479">
        <v>0</v>
      </c>
      <c r="D24" s="479">
        <v>0</v>
      </c>
      <c r="E24" s="479">
        <v>0</v>
      </c>
      <c r="F24" s="483" t="str">
        <f t="shared" si="0"/>
        <v/>
      </c>
    </row>
    <row r="25" spans="1:6" ht="11.25" customHeight="1">
      <c r="A25" s="439" t="s">
        <v>119</v>
      </c>
      <c r="B25" s="480" t="s">
        <v>453</v>
      </c>
      <c r="C25" s="481"/>
      <c r="D25" s="481">
        <v>0</v>
      </c>
      <c r="E25" s="481"/>
      <c r="F25" s="482" t="str">
        <f t="shared" si="0"/>
        <v/>
      </c>
    </row>
    <row r="26" spans="1:6" ht="11.25" customHeight="1">
      <c r="A26" s="439"/>
      <c r="B26" s="480" t="s">
        <v>73</v>
      </c>
      <c r="C26" s="481">
        <v>6.6779099999999998</v>
      </c>
      <c r="D26" s="481">
        <v>9.4724699999999995</v>
      </c>
      <c r="E26" s="481">
        <v>8.8075100000000006</v>
      </c>
      <c r="F26" s="482">
        <f t="shared" si="0"/>
        <v>-0.29501914495374493</v>
      </c>
    </row>
    <row r="27" spans="1:6" ht="11.25" customHeight="1">
      <c r="A27" s="441" t="s">
        <v>423</v>
      </c>
      <c r="B27" s="442"/>
      <c r="C27" s="479">
        <v>6.6779099999999998</v>
      </c>
      <c r="D27" s="479">
        <v>9.4724699999999995</v>
      </c>
      <c r="E27" s="479">
        <v>8.8075100000000006</v>
      </c>
      <c r="F27" s="483">
        <f t="shared" si="0"/>
        <v>-0.29501914495374493</v>
      </c>
    </row>
    <row r="28" spans="1:6" ht="11.25" customHeight="1">
      <c r="A28" s="439" t="s">
        <v>96</v>
      </c>
      <c r="B28" s="480" t="s">
        <v>424</v>
      </c>
      <c r="C28" s="481">
        <v>42.575890000000001</v>
      </c>
      <c r="D28" s="481">
        <v>40.030410000000003</v>
      </c>
      <c r="E28" s="481">
        <v>43.690919999999998</v>
      </c>
      <c r="F28" s="482">
        <f t="shared" si="0"/>
        <v>6.3588656723725823E-2</v>
      </c>
    </row>
    <row r="29" spans="1:6" ht="11.25" customHeight="1">
      <c r="A29" s="439"/>
      <c r="B29" s="480" t="s">
        <v>425</v>
      </c>
      <c r="C29" s="481">
        <v>141.89283999999998</v>
      </c>
      <c r="D29" s="481">
        <v>119.92075</v>
      </c>
      <c r="E29" s="481">
        <v>167.52777</v>
      </c>
      <c r="F29" s="482">
        <f t="shared" si="0"/>
        <v>0.18322175269917818</v>
      </c>
    </row>
    <row r="30" spans="1:6" ht="11.25" customHeight="1">
      <c r="A30" s="439"/>
      <c r="B30" s="480" t="s">
        <v>426</v>
      </c>
      <c r="C30" s="481">
        <v>34.246580000000002</v>
      </c>
      <c r="D30" s="481">
        <v>12.660600000000001</v>
      </c>
      <c r="E30" s="481">
        <v>30.279130000000002</v>
      </c>
      <c r="F30" s="482">
        <f t="shared" si="0"/>
        <v>1.7049729080770262</v>
      </c>
    </row>
    <row r="31" spans="1:6" ht="11.25" customHeight="1">
      <c r="A31" s="439"/>
      <c r="B31" s="480" t="s">
        <v>427</v>
      </c>
      <c r="C31" s="481">
        <v>0</v>
      </c>
      <c r="D31" s="481">
        <v>0</v>
      </c>
      <c r="E31" s="481">
        <v>0</v>
      </c>
      <c r="F31" s="482" t="str">
        <f t="shared" si="0"/>
        <v/>
      </c>
    </row>
    <row r="32" spans="1:6" ht="11.25" customHeight="1">
      <c r="A32" s="439"/>
      <c r="B32" s="480" t="s">
        <v>428</v>
      </c>
      <c r="C32" s="481">
        <v>21.960819999999998</v>
      </c>
      <c r="D32" s="481">
        <v>45.812190000000001</v>
      </c>
      <c r="E32" s="481">
        <v>32.940539999999999</v>
      </c>
      <c r="F32" s="482">
        <f t="shared" si="0"/>
        <v>-0.52063370033172396</v>
      </c>
    </row>
    <row r="33" spans="1:6" ht="11.25" customHeight="1">
      <c r="A33" s="439"/>
      <c r="B33" s="480" t="s">
        <v>429</v>
      </c>
      <c r="C33" s="481">
        <v>1.87632</v>
      </c>
      <c r="D33" s="481">
        <v>3.0628799999999998</v>
      </c>
      <c r="E33" s="481">
        <v>3.0095999999999998</v>
      </c>
      <c r="F33" s="482">
        <f t="shared" si="0"/>
        <v>-0.38740009402914899</v>
      </c>
    </row>
    <row r="34" spans="1:6" ht="11.25" customHeight="1">
      <c r="A34" s="439"/>
      <c r="B34" s="480" t="s">
        <v>430</v>
      </c>
      <c r="C34" s="481">
        <v>8.0204400000000007</v>
      </c>
      <c r="D34" s="481">
        <v>5.2938000000000001</v>
      </c>
      <c r="E34" s="481">
        <v>8.1388800000000003</v>
      </c>
      <c r="F34" s="482">
        <f t="shared" si="0"/>
        <v>0.51506290377422648</v>
      </c>
    </row>
    <row r="35" spans="1:6" ht="11.25" customHeight="1">
      <c r="A35" s="439"/>
      <c r="B35" s="480" t="s">
        <v>431</v>
      </c>
      <c r="C35" s="481">
        <v>4.0341199999999997</v>
      </c>
      <c r="D35" s="481">
        <v>5.26715</v>
      </c>
      <c r="E35" s="481">
        <v>5.7245100000000004</v>
      </c>
      <c r="F35" s="482">
        <f t="shared" si="0"/>
        <v>-0.23409813656341671</v>
      </c>
    </row>
    <row r="36" spans="1:6" ht="11.25" customHeight="1">
      <c r="A36" s="439"/>
      <c r="B36" s="480" t="s">
        <v>432</v>
      </c>
      <c r="C36" s="481">
        <v>2.7661600000000002</v>
      </c>
      <c r="D36" s="481">
        <v>2.3994399999999998</v>
      </c>
      <c r="E36" s="481">
        <v>4.1269400000000003</v>
      </c>
      <c r="F36" s="482">
        <f t="shared" si="0"/>
        <v>0.15283566165438622</v>
      </c>
    </row>
    <row r="37" spans="1:6" ht="11.25" customHeight="1">
      <c r="A37" s="439"/>
      <c r="B37" s="480" t="s">
        <v>433</v>
      </c>
      <c r="C37" s="481">
        <v>0</v>
      </c>
      <c r="D37" s="481">
        <v>0.38178000000000001</v>
      </c>
      <c r="E37" s="481">
        <v>0</v>
      </c>
      <c r="F37" s="482">
        <f t="shared" si="0"/>
        <v>-1</v>
      </c>
    </row>
    <row r="38" spans="1:6" ht="11.25" customHeight="1">
      <c r="A38" s="439"/>
      <c r="B38" s="480" t="s">
        <v>434</v>
      </c>
      <c r="C38" s="481">
        <v>0.26884000000000002</v>
      </c>
      <c r="D38" s="481">
        <v>0.27089000000000002</v>
      </c>
      <c r="E38" s="481">
        <v>0</v>
      </c>
      <c r="F38" s="482">
        <f t="shared" si="0"/>
        <v>-7.5676473845471826E-3</v>
      </c>
    </row>
    <row r="39" spans="1:6" ht="11.25" customHeight="1">
      <c r="A39" s="439"/>
      <c r="B39" s="480" t="s">
        <v>435</v>
      </c>
      <c r="C39" s="481">
        <v>106.46462</v>
      </c>
      <c r="D39" s="481">
        <v>96.498750000000001</v>
      </c>
      <c r="E39" s="481">
        <v>105.35533</v>
      </c>
      <c r="F39" s="482">
        <f t="shared" si="0"/>
        <v>0.10327460200261651</v>
      </c>
    </row>
    <row r="40" spans="1:6" ht="11.25" customHeight="1">
      <c r="A40" s="441" t="s">
        <v>436</v>
      </c>
      <c r="B40" s="442"/>
      <c r="C40" s="479">
        <v>364.10663</v>
      </c>
      <c r="D40" s="479">
        <v>331.59863999999999</v>
      </c>
      <c r="E40" s="479">
        <v>400.79361999999992</v>
      </c>
      <c r="F40" s="483">
        <f t="shared" si="0"/>
        <v>9.8034147546564254E-2</v>
      </c>
    </row>
    <row r="41" spans="1:6" ht="11.25" customHeight="1">
      <c r="A41" s="439" t="s">
        <v>115</v>
      </c>
      <c r="B41" s="480" t="s">
        <v>264</v>
      </c>
      <c r="C41" s="481">
        <v>0</v>
      </c>
      <c r="D41" s="481">
        <v>0</v>
      </c>
      <c r="E41" s="481">
        <v>0</v>
      </c>
      <c r="F41" s="482" t="str">
        <f t="shared" si="0"/>
        <v/>
      </c>
    </row>
    <row r="42" spans="1:6" ht="11.25" customHeight="1">
      <c r="A42" s="441" t="s">
        <v>437</v>
      </c>
      <c r="B42" s="442"/>
      <c r="C42" s="479">
        <v>0</v>
      </c>
      <c r="D42" s="479">
        <v>0</v>
      </c>
      <c r="E42" s="479">
        <v>0</v>
      </c>
      <c r="F42" s="483" t="str">
        <f t="shared" si="0"/>
        <v/>
      </c>
    </row>
    <row r="43" spans="1:6" ht="11.25" customHeight="1">
      <c r="A43" s="439" t="s">
        <v>106</v>
      </c>
      <c r="B43" s="480" t="s">
        <v>645</v>
      </c>
      <c r="C43" s="481">
        <v>290.56951000000004</v>
      </c>
      <c r="D43" s="481">
        <v>0</v>
      </c>
      <c r="E43" s="481">
        <v>293.38225</v>
      </c>
      <c r="F43" s="482" t="str">
        <f t="shared" si="0"/>
        <v/>
      </c>
    </row>
    <row r="44" spans="1:6" ht="11.25" customHeight="1">
      <c r="A44" s="441" t="s">
        <v>438</v>
      </c>
      <c r="B44" s="442"/>
      <c r="C44" s="479">
        <v>290.56951000000004</v>
      </c>
      <c r="D44" s="479">
        <v>0</v>
      </c>
      <c r="E44" s="479">
        <v>293.38225</v>
      </c>
      <c r="F44" s="483" t="str">
        <f t="shared" si="0"/>
        <v/>
      </c>
    </row>
    <row r="45" spans="1:6" ht="11.25" customHeight="1">
      <c r="A45" s="439" t="s">
        <v>111</v>
      </c>
      <c r="B45" s="480" t="s">
        <v>439</v>
      </c>
      <c r="C45" s="481">
        <v>0</v>
      </c>
      <c r="D45" s="481">
        <v>0</v>
      </c>
      <c r="E45" s="481">
        <v>0</v>
      </c>
      <c r="F45" s="482" t="str">
        <f t="shared" si="0"/>
        <v/>
      </c>
    </row>
    <row r="46" spans="1:6" ht="11.25" customHeight="1">
      <c r="A46" s="441" t="s">
        <v>440</v>
      </c>
      <c r="B46" s="442"/>
      <c r="C46" s="479">
        <v>0</v>
      </c>
      <c r="D46" s="479">
        <v>0</v>
      </c>
      <c r="E46" s="479">
        <v>0</v>
      </c>
      <c r="F46" s="483" t="str">
        <f t="shared" si="0"/>
        <v/>
      </c>
    </row>
    <row r="47" spans="1:6" ht="11.25" customHeight="1">
      <c r="A47" s="439" t="s">
        <v>519</v>
      </c>
      <c r="B47" s="480" t="s">
        <v>646</v>
      </c>
      <c r="C47" s="481">
        <v>20.011279999999999</v>
      </c>
      <c r="D47" s="481"/>
      <c r="E47" s="481">
        <v>19.976400000000002</v>
      </c>
      <c r="F47" s="482" t="str">
        <f t="shared" si="0"/>
        <v/>
      </c>
    </row>
    <row r="48" spans="1:6" ht="11.25" customHeight="1">
      <c r="A48" s="441" t="s">
        <v>521</v>
      </c>
      <c r="B48" s="442"/>
      <c r="C48" s="479">
        <v>20.011279999999999</v>
      </c>
      <c r="D48" s="479"/>
      <c r="E48" s="479">
        <v>19.976400000000002</v>
      </c>
      <c r="F48" s="483" t="str">
        <f t="shared" si="0"/>
        <v/>
      </c>
    </row>
    <row r="49" spans="1:6" ht="12" customHeight="1">
      <c r="A49" s="440" t="s">
        <v>631</v>
      </c>
      <c r="B49" s="484" t="s">
        <v>647</v>
      </c>
      <c r="C49" s="485">
        <v>19.49907</v>
      </c>
      <c r="D49" s="485">
        <v>19.391210000000001</v>
      </c>
      <c r="E49" s="485">
        <v>19.575330000000001</v>
      </c>
      <c r="F49" s="860">
        <f t="shared" si="0"/>
        <v>5.5623140587925946E-3</v>
      </c>
    </row>
    <row r="50" spans="1:6" ht="12" customHeight="1">
      <c r="A50" s="441" t="s">
        <v>547</v>
      </c>
      <c r="B50" s="442"/>
      <c r="C50" s="479">
        <v>19.49907</v>
      </c>
      <c r="D50" s="479">
        <v>19.391210000000001</v>
      </c>
      <c r="E50" s="479">
        <v>19.575330000000001</v>
      </c>
      <c r="F50" s="483"/>
    </row>
    <row r="52" spans="1:6" ht="10.5" customHeight="1">
      <c r="A52" s="450" t="s">
        <v>522</v>
      </c>
      <c r="B52" s="653"/>
      <c r="C52" s="452">
        <v>6542.2351099999987</v>
      </c>
      <c r="D52" s="452">
        <v>6400.7671099999989</v>
      </c>
      <c r="E52" s="452">
        <v>6710.6748599999992</v>
      </c>
      <c r="F52" s="655">
        <f t="shared" si="0"/>
        <v>2.2101725866417343E-2</v>
      </c>
    </row>
    <row r="53" spans="1:6" ht="10.5" customHeight="1">
      <c r="A53" s="454" t="s">
        <v>442</v>
      </c>
      <c r="B53" s="455"/>
      <c r="C53" s="452">
        <f>+'8. Max Potencia'!D16</f>
        <v>0</v>
      </c>
      <c r="D53" s="452">
        <f>+'8. Max Potencia'!E16</f>
        <v>0</v>
      </c>
      <c r="E53" s="453">
        <v>0</v>
      </c>
      <c r="F53" s="656">
        <v>0</v>
      </c>
    </row>
    <row r="54" spans="1:6" ht="10.5" customHeight="1">
      <c r="A54" s="458" t="s">
        <v>443</v>
      </c>
      <c r="B54" s="459"/>
      <c r="C54" s="452">
        <f>+'8. Max Potencia'!D17</f>
        <v>0</v>
      </c>
      <c r="D54" s="452">
        <f>+'8. Max Potencia'!E17</f>
        <v>0</v>
      </c>
      <c r="E54" s="453">
        <v>0</v>
      </c>
      <c r="F54" s="656">
        <v>0</v>
      </c>
    </row>
    <row r="56" spans="1:6" ht="11.25" customHeight="1">
      <c r="A56" s="462" t="s">
        <v>572</v>
      </c>
    </row>
    <row r="57" spans="1:6" s="804" customFormat="1" ht="11.25" customHeight="1">
      <c r="A57" s="462" t="s">
        <v>615</v>
      </c>
      <c r="B57" s="462"/>
      <c r="C57" s="462"/>
      <c r="D57" s="462"/>
      <c r="E57" s="462"/>
      <c r="F57" s="462"/>
    </row>
    <row r="58" spans="1:6" ht="11.25" customHeight="1">
      <c r="A58" s="462" t="s">
        <v>616</v>
      </c>
    </row>
    <row r="59" spans="1:6" ht="11.25" customHeight="1">
      <c r="A59" s="462" t="s">
        <v>617</v>
      </c>
    </row>
    <row r="60" spans="1:6" ht="11.25" customHeight="1">
      <c r="A60" s="462" t="s">
        <v>618</v>
      </c>
    </row>
    <row r="61" spans="1:6" ht="11.25" customHeight="1">
      <c r="A61" s="462" t="s">
        <v>619</v>
      </c>
    </row>
    <row r="62" spans="1:6" ht="10.5" customHeight="1">
      <c r="A62" s="462" t="s">
        <v>620</v>
      </c>
    </row>
    <row r="63" spans="1:6">
      <c r="A63" s="462" t="s">
        <v>621</v>
      </c>
    </row>
    <row r="64" spans="1:6">
      <c r="A64" s="462" t="s">
        <v>743</v>
      </c>
    </row>
    <row r="65" spans="1:1">
      <c r="A65" s="462" t="s">
        <v>639</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8"/>
  <sheetViews>
    <sheetView showGridLines="0" view="pageBreakPreview" zoomScale="115" zoomScaleNormal="100" zoomScaleSheetLayoutView="115" zoomScalePageLayoutView="145" workbookViewId="0">
      <selection activeCell="R31" sqref="R31"/>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500" t="s">
        <v>464</v>
      </c>
      <c r="B3" s="498"/>
    </row>
    <row r="4" spans="1:13" s="50" customFormat="1" ht="11.25" customHeight="1">
      <c r="A4" s="409"/>
      <c r="B4" s="498"/>
    </row>
    <row r="5" spans="1:13" s="50" customFormat="1" ht="11.25" customHeight="1">
      <c r="A5" s="499" t="s">
        <v>628</v>
      </c>
      <c r="C5" s="778" t="s">
        <v>648</v>
      </c>
    </row>
    <row r="6" spans="1:13" s="50" customFormat="1" ht="11.25" customHeight="1">
      <c r="A6" s="499" t="s">
        <v>465</v>
      </c>
      <c r="C6" s="618" t="s">
        <v>649</v>
      </c>
    </row>
    <row r="7" spans="1:13" s="50" customFormat="1" ht="11.25" customHeight="1">
      <c r="A7" s="499" t="s">
        <v>466</v>
      </c>
      <c r="C7" s="619" t="s">
        <v>563</v>
      </c>
    </row>
    <row r="8" spans="1:13" s="50" customFormat="1" ht="11.25" customHeight="1"/>
    <row r="9" spans="1:13" s="50" customFormat="1" ht="14.25" customHeight="1">
      <c r="A9" s="984" t="s">
        <v>457</v>
      </c>
      <c r="B9" s="985" t="s">
        <v>458</v>
      </c>
      <c r="C9" s="985"/>
      <c r="D9" s="985"/>
      <c r="E9" s="985"/>
      <c r="F9" s="985"/>
      <c r="G9" s="985" t="s">
        <v>459</v>
      </c>
      <c r="H9" s="985"/>
      <c r="I9" s="985"/>
      <c r="J9" s="985"/>
      <c r="K9" s="985"/>
    </row>
    <row r="10" spans="1:13" s="50" customFormat="1" ht="26.25" customHeight="1">
      <c r="A10" s="984"/>
      <c r="B10" s="493" t="s">
        <v>460</v>
      </c>
      <c r="C10" s="493" t="s">
        <v>215</v>
      </c>
      <c r="D10" s="493" t="s">
        <v>442</v>
      </c>
      <c r="E10" s="493" t="s">
        <v>443</v>
      </c>
      <c r="F10" s="494" t="s">
        <v>463</v>
      </c>
      <c r="G10" s="493" t="s">
        <v>460</v>
      </c>
      <c r="H10" s="493" t="s">
        <v>215</v>
      </c>
      <c r="I10" s="493" t="s">
        <v>442</v>
      </c>
      <c r="J10" s="493" t="s">
        <v>443</v>
      </c>
      <c r="K10" s="494" t="s">
        <v>463</v>
      </c>
      <c r="L10" s="269"/>
      <c r="M10" s="61"/>
    </row>
    <row r="11" spans="1:13" s="50" customFormat="1" ht="11.25" customHeight="1">
      <c r="A11" s="984"/>
      <c r="B11" s="493" t="s">
        <v>461</v>
      </c>
      <c r="C11" s="493" t="s">
        <v>462</v>
      </c>
      <c r="D11" s="493" t="s">
        <v>462</v>
      </c>
      <c r="E11" s="493" t="s">
        <v>462</v>
      </c>
      <c r="F11" s="493" t="s">
        <v>462</v>
      </c>
      <c r="G11" s="493" t="s">
        <v>461</v>
      </c>
      <c r="H11" s="493" t="s">
        <v>462</v>
      </c>
      <c r="I11" s="493" t="s">
        <v>462</v>
      </c>
      <c r="J11" s="493" t="s">
        <v>462</v>
      </c>
      <c r="K11" s="493" t="s">
        <v>462</v>
      </c>
      <c r="L11" s="269"/>
      <c r="M11" s="61"/>
    </row>
    <row r="12" spans="1:13" s="50" customFormat="1" ht="11.25" customHeight="1">
      <c r="A12" s="615" t="s">
        <v>650</v>
      </c>
      <c r="B12" s="616" t="s">
        <v>533</v>
      </c>
      <c r="C12" s="495">
        <v>6256.2542299999996</v>
      </c>
      <c r="D12" s="495">
        <v>0</v>
      </c>
      <c r="E12" s="495">
        <v>0</v>
      </c>
      <c r="F12" s="495">
        <v>6256.2542299999996</v>
      </c>
      <c r="G12" s="616" t="s">
        <v>563</v>
      </c>
      <c r="H12" s="495">
        <v>6426.2896499999997</v>
      </c>
      <c r="I12" s="495">
        <v>0</v>
      </c>
      <c r="J12" s="495">
        <v>0</v>
      </c>
      <c r="K12" s="495">
        <v>6426.2896499999997</v>
      </c>
      <c r="L12" s="281"/>
      <c r="M12" s="61"/>
    </row>
    <row r="13" spans="1:13" s="50" customFormat="1" ht="11.25" customHeight="1">
      <c r="A13" s="615" t="s">
        <v>651</v>
      </c>
      <c r="B13" s="617" t="s">
        <v>528</v>
      </c>
      <c r="C13" s="496">
        <v>6179.2882300000001</v>
      </c>
      <c r="D13" s="496">
        <v>0</v>
      </c>
      <c r="E13" s="496">
        <v>0</v>
      </c>
      <c r="F13" s="496">
        <v>6179.2882300000001</v>
      </c>
      <c r="G13" s="617" t="s">
        <v>563</v>
      </c>
      <c r="H13" s="496">
        <v>6351.3169399999997</v>
      </c>
      <c r="I13" s="496">
        <v>0</v>
      </c>
      <c r="J13" s="496">
        <v>0</v>
      </c>
      <c r="K13" s="496">
        <v>6351.3169399999997</v>
      </c>
      <c r="L13" s="7"/>
    </row>
    <row r="14" spans="1:13" s="50" customFormat="1" ht="11.25" customHeight="1">
      <c r="A14" s="615" t="s">
        <v>652</v>
      </c>
      <c r="B14" s="617" t="s">
        <v>529</v>
      </c>
      <c r="C14" s="496">
        <v>5659.2222899999997</v>
      </c>
      <c r="D14" s="496">
        <v>0</v>
      </c>
      <c r="E14" s="496">
        <v>0</v>
      </c>
      <c r="F14" s="496">
        <v>5659.2222899999997</v>
      </c>
      <c r="G14" s="617" t="s">
        <v>576</v>
      </c>
      <c r="H14" s="496">
        <v>6290.7376400000003</v>
      </c>
      <c r="I14" s="496">
        <v>0</v>
      </c>
      <c r="J14" s="496">
        <v>0</v>
      </c>
      <c r="K14" s="496">
        <v>6290.7376400000003</v>
      </c>
      <c r="L14" s="20"/>
    </row>
    <row r="15" spans="1:13" s="50" customFormat="1" ht="11.25" customHeight="1">
      <c r="A15" s="615" t="s">
        <v>653</v>
      </c>
      <c r="B15" s="617" t="s">
        <v>575</v>
      </c>
      <c r="C15" s="496">
        <v>6288.1875200000004</v>
      </c>
      <c r="D15" s="496">
        <v>0</v>
      </c>
      <c r="E15" s="496">
        <v>0</v>
      </c>
      <c r="F15" s="496">
        <v>6288.1875200000004</v>
      </c>
      <c r="G15" s="617" t="s">
        <v>532</v>
      </c>
      <c r="H15" s="496">
        <v>6402.6999900000001</v>
      </c>
      <c r="I15" s="496">
        <v>0</v>
      </c>
      <c r="J15" s="496">
        <v>0</v>
      </c>
      <c r="K15" s="496">
        <v>6402.6999900000001</v>
      </c>
      <c r="L15" s="16"/>
    </row>
    <row r="16" spans="1:13" s="50" customFormat="1" ht="11.25" customHeight="1">
      <c r="A16" s="615" t="s">
        <v>649</v>
      </c>
      <c r="B16" s="617" t="s">
        <v>575</v>
      </c>
      <c r="C16" s="496">
        <v>6447.3403799999996</v>
      </c>
      <c r="D16" s="496">
        <v>0</v>
      </c>
      <c r="E16" s="496">
        <v>0</v>
      </c>
      <c r="F16" s="496">
        <v>6447.3403799999996</v>
      </c>
      <c r="G16" s="820" t="s">
        <v>563</v>
      </c>
      <c r="H16" s="497">
        <v>6542.2351099999996</v>
      </c>
      <c r="I16" s="497">
        <v>0</v>
      </c>
      <c r="J16" s="497">
        <v>0</v>
      </c>
      <c r="K16" s="497">
        <v>6542.2351099999996</v>
      </c>
      <c r="L16" s="29"/>
    </row>
    <row r="17" spans="1:12" s="50" customFormat="1" ht="11.25" customHeight="1">
      <c r="A17" s="615" t="s">
        <v>654</v>
      </c>
      <c r="B17" s="820" t="s">
        <v>575</v>
      </c>
      <c r="C17" s="497">
        <v>6460.3882700000004</v>
      </c>
      <c r="D17" s="497">
        <v>0</v>
      </c>
      <c r="E17" s="497">
        <v>0</v>
      </c>
      <c r="F17" s="497">
        <v>6460.3882700000004</v>
      </c>
      <c r="G17" s="617" t="s">
        <v>655</v>
      </c>
      <c r="H17" s="496">
        <v>6534.8294999999998</v>
      </c>
      <c r="I17" s="496">
        <v>0</v>
      </c>
      <c r="J17" s="496">
        <v>0</v>
      </c>
      <c r="K17" s="496">
        <v>6534.8294999999998</v>
      </c>
      <c r="L17" s="29"/>
    </row>
    <row r="18" spans="1:12" s="50" customFormat="1" ht="11.25" customHeight="1">
      <c r="A18" s="615" t="s">
        <v>656</v>
      </c>
      <c r="B18" s="617" t="s">
        <v>575</v>
      </c>
      <c r="C18" s="496">
        <v>6340.2269299999998</v>
      </c>
      <c r="D18" s="496">
        <v>0</v>
      </c>
      <c r="E18" s="496">
        <v>0</v>
      </c>
      <c r="F18" s="496">
        <v>6340.2269299999998</v>
      </c>
      <c r="G18" s="617" t="s">
        <v>563</v>
      </c>
      <c r="H18" s="496">
        <v>6516.4777800000002</v>
      </c>
      <c r="I18" s="496">
        <v>0</v>
      </c>
      <c r="J18" s="496">
        <v>0</v>
      </c>
      <c r="K18" s="496">
        <v>6516.4777800000002</v>
      </c>
      <c r="L18" s="29"/>
    </row>
    <row r="19" spans="1:12" s="50" customFormat="1" ht="11.25" customHeight="1">
      <c r="A19" s="615" t="s">
        <v>657</v>
      </c>
      <c r="B19" s="617" t="s">
        <v>528</v>
      </c>
      <c r="C19" s="752">
        <v>6290.3726399999996</v>
      </c>
      <c r="D19" s="752">
        <v>0</v>
      </c>
      <c r="E19" s="752">
        <v>0</v>
      </c>
      <c r="F19" s="752">
        <v>6290.3726399999996</v>
      </c>
      <c r="G19" s="617" t="s">
        <v>532</v>
      </c>
      <c r="H19" s="496">
        <v>6383.3565500000004</v>
      </c>
      <c r="I19" s="496">
        <v>0</v>
      </c>
      <c r="J19" s="496">
        <v>0</v>
      </c>
      <c r="K19" s="496">
        <v>6383.3565500000004</v>
      </c>
      <c r="L19" s="29"/>
    </row>
    <row r="20" spans="1:12" s="50" customFormat="1" ht="11.25" customHeight="1">
      <c r="A20" s="615" t="s">
        <v>658</v>
      </c>
      <c r="B20" s="617" t="s">
        <v>533</v>
      </c>
      <c r="C20" s="752">
        <v>6241.5276199999998</v>
      </c>
      <c r="D20" s="752">
        <v>0</v>
      </c>
      <c r="E20" s="752">
        <v>0</v>
      </c>
      <c r="F20" s="752">
        <v>6241.5276199999998</v>
      </c>
      <c r="G20" s="753" t="s">
        <v>563</v>
      </c>
      <c r="H20" s="752">
        <v>6404.6665700000003</v>
      </c>
      <c r="I20" s="752">
        <v>0</v>
      </c>
      <c r="J20" s="752">
        <v>0</v>
      </c>
      <c r="K20" s="752">
        <v>6404.6665700000003</v>
      </c>
      <c r="L20" s="31"/>
    </row>
    <row r="21" spans="1:12" s="50" customFormat="1" ht="11.25" customHeight="1">
      <c r="A21" s="615" t="s">
        <v>659</v>
      </c>
      <c r="B21" s="617" t="s">
        <v>575</v>
      </c>
      <c r="C21" s="752">
        <v>5646.0337600000003</v>
      </c>
      <c r="D21" s="752">
        <v>0</v>
      </c>
      <c r="E21" s="752">
        <v>0</v>
      </c>
      <c r="F21" s="752">
        <v>5646.0337600000003</v>
      </c>
      <c r="G21" s="753" t="s">
        <v>660</v>
      </c>
      <c r="H21" s="752">
        <v>6168.0136899999998</v>
      </c>
      <c r="I21" s="752">
        <v>0</v>
      </c>
      <c r="J21" s="752">
        <v>0</v>
      </c>
      <c r="K21" s="752">
        <v>6168.0136899999998</v>
      </c>
      <c r="L21" s="29"/>
    </row>
    <row r="22" spans="1:12" s="50" customFormat="1" ht="11.25" customHeight="1">
      <c r="A22" s="615" t="s">
        <v>661</v>
      </c>
      <c r="B22" s="617" t="s">
        <v>575</v>
      </c>
      <c r="C22" s="752">
        <v>6263.2798499999999</v>
      </c>
      <c r="D22" s="752">
        <v>0</v>
      </c>
      <c r="E22" s="752">
        <v>0</v>
      </c>
      <c r="F22" s="752">
        <v>6263.2798499999999</v>
      </c>
      <c r="G22" s="753" t="s">
        <v>576</v>
      </c>
      <c r="H22" s="752">
        <v>6379.2126600000001</v>
      </c>
      <c r="I22" s="752">
        <v>0</v>
      </c>
      <c r="J22" s="752">
        <v>0</v>
      </c>
      <c r="K22" s="752">
        <v>6379.2126600000001</v>
      </c>
      <c r="L22" s="29"/>
    </row>
    <row r="23" spans="1:12" s="50" customFormat="1" ht="11.25" customHeight="1">
      <c r="A23" s="615" t="s">
        <v>662</v>
      </c>
      <c r="B23" s="617" t="s">
        <v>575</v>
      </c>
      <c r="C23" s="752">
        <v>6326.5176300000003</v>
      </c>
      <c r="D23" s="752">
        <v>0</v>
      </c>
      <c r="E23" s="752">
        <v>0</v>
      </c>
      <c r="F23" s="752">
        <v>6326.5176300000003</v>
      </c>
      <c r="G23" s="753" t="s">
        <v>563</v>
      </c>
      <c r="H23" s="752">
        <v>6381.7820199999996</v>
      </c>
      <c r="I23" s="752">
        <v>0</v>
      </c>
      <c r="J23" s="752">
        <v>0</v>
      </c>
      <c r="K23" s="752">
        <v>6381.7820199999996</v>
      </c>
      <c r="L23" s="29"/>
    </row>
    <row r="24" spans="1:12" s="50" customFormat="1" ht="11.25" customHeight="1">
      <c r="A24" s="615" t="s">
        <v>663</v>
      </c>
      <c r="B24" s="617" t="s">
        <v>575</v>
      </c>
      <c r="C24" s="752">
        <v>6430.9064900000003</v>
      </c>
      <c r="D24" s="752">
        <v>0</v>
      </c>
      <c r="E24" s="752">
        <v>0</v>
      </c>
      <c r="F24" s="752">
        <v>6430.9064900000003</v>
      </c>
      <c r="G24" s="753" t="s">
        <v>563</v>
      </c>
      <c r="H24" s="752">
        <v>6450.5017200000002</v>
      </c>
      <c r="I24" s="752">
        <v>0</v>
      </c>
      <c r="J24" s="752">
        <v>0</v>
      </c>
      <c r="K24" s="752">
        <v>6450.5017200000002</v>
      </c>
      <c r="L24" s="29"/>
    </row>
    <row r="25" spans="1:12" s="50" customFormat="1" ht="11.25" customHeight="1">
      <c r="A25" s="615" t="s">
        <v>664</v>
      </c>
      <c r="B25" s="617" t="s">
        <v>531</v>
      </c>
      <c r="C25" s="752">
        <v>6391.7776000000003</v>
      </c>
      <c r="D25" s="752">
        <v>0</v>
      </c>
      <c r="E25" s="752">
        <v>0</v>
      </c>
      <c r="F25" s="752">
        <v>6391.7776000000003</v>
      </c>
      <c r="G25" s="753" t="s">
        <v>527</v>
      </c>
      <c r="H25" s="752">
        <v>6409.20003</v>
      </c>
      <c r="I25" s="752">
        <v>0</v>
      </c>
      <c r="J25" s="752">
        <v>0</v>
      </c>
      <c r="K25" s="752">
        <v>6409.20003</v>
      </c>
      <c r="L25" s="29"/>
    </row>
    <row r="26" spans="1:12" s="50" customFormat="1" ht="11.25" customHeight="1">
      <c r="A26" s="615" t="s">
        <v>665</v>
      </c>
      <c r="B26" s="617" t="s">
        <v>531</v>
      </c>
      <c r="C26" s="752">
        <v>6397.3177500000002</v>
      </c>
      <c r="D26" s="752">
        <v>0</v>
      </c>
      <c r="E26" s="752">
        <v>0</v>
      </c>
      <c r="F26" s="752">
        <v>6397.3177500000002</v>
      </c>
      <c r="G26" s="753" t="s">
        <v>655</v>
      </c>
      <c r="H26" s="752">
        <v>6410.3995500000001</v>
      </c>
      <c r="I26" s="752">
        <v>0</v>
      </c>
      <c r="J26" s="752">
        <v>0</v>
      </c>
      <c r="K26" s="752">
        <v>6410.3995500000001</v>
      </c>
      <c r="L26" s="29"/>
    </row>
    <row r="27" spans="1:12" s="50" customFormat="1" ht="11.25" customHeight="1">
      <c r="A27" s="615" t="s">
        <v>666</v>
      </c>
      <c r="B27" s="617" t="s">
        <v>667</v>
      </c>
      <c r="C27" s="752">
        <v>6093.8557000000001</v>
      </c>
      <c r="D27" s="752">
        <v>0</v>
      </c>
      <c r="E27" s="752">
        <v>0</v>
      </c>
      <c r="F27" s="752">
        <v>6093.8557000000001</v>
      </c>
      <c r="G27" s="753" t="s">
        <v>532</v>
      </c>
      <c r="H27" s="752">
        <v>6181.1300099999999</v>
      </c>
      <c r="I27" s="752">
        <v>0</v>
      </c>
      <c r="J27" s="752">
        <v>0</v>
      </c>
      <c r="K27" s="752">
        <v>6181.1300099999999</v>
      </c>
      <c r="L27" s="29"/>
    </row>
    <row r="28" spans="1:12" s="50" customFormat="1" ht="11.25" customHeight="1">
      <c r="A28" s="615" t="s">
        <v>668</v>
      </c>
      <c r="B28" s="617" t="s">
        <v>564</v>
      </c>
      <c r="C28" s="752">
        <v>5418.2210400000004</v>
      </c>
      <c r="D28" s="752">
        <v>0</v>
      </c>
      <c r="E28" s="752">
        <v>0</v>
      </c>
      <c r="F28" s="752">
        <v>5418.2210400000004</v>
      </c>
      <c r="G28" s="753" t="s">
        <v>562</v>
      </c>
      <c r="H28" s="752">
        <v>5971.1629800000001</v>
      </c>
      <c r="I28" s="752">
        <v>0</v>
      </c>
      <c r="J28" s="752">
        <v>0</v>
      </c>
      <c r="K28" s="752">
        <v>5971.1629800000001</v>
      </c>
      <c r="L28" s="39"/>
    </row>
    <row r="29" spans="1:12" s="50" customFormat="1" ht="11.25" customHeight="1">
      <c r="A29" s="615" t="s">
        <v>669</v>
      </c>
      <c r="B29" s="617" t="s">
        <v>531</v>
      </c>
      <c r="C29" s="752">
        <v>6215.6448300000002</v>
      </c>
      <c r="D29" s="752">
        <v>0</v>
      </c>
      <c r="E29" s="752">
        <v>0</v>
      </c>
      <c r="F29" s="752">
        <v>6215.6448300000002</v>
      </c>
      <c r="G29" s="753" t="s">
        <v>563</v>
      </c>
      <c r="H29" s="752">
        <v>6338.3908899999997</v>
      </c>
      <c r="I29" s="752">
        <v>0</v>
      </c>
      <c r="J29" s="752">
        <v>0</v>
      </c>
      <c r="K29" s="752">
        <v>6338.3908899999997</v>
      </c>
      <c r="L29" s="29"/>
    </row>
    <row r="30" spans="1:12" s="50" customFormat="1" ht="11.25" customHeight="1">
      <c r="A30" s="615" t="s">
        <v>670</v>
      </c>
      <c r="B30" s="617" t="s">
        <v>575</v>
      </c>
      <c r="C30" s="752">
        <v>6305.2378399999998</v>
      </c>
      <c r="D30" s="752">
        <v>0</v>
      </c>
      <c r="E30" s="752">
        <v>0</v>
      </c>
      <c r="F30" s="752">
        <v>6305.2378399999998</v>
      </c>
      <c r="G30" s="753" t="s">
        <v>527</v>
      </c>
      <c r="H30" s="752">
        <v>6365.4294300000001</v>
      </c>
      <c r="I30" s="752">
        <v>0</v>
      </c>
      <c r="J30" s="752">
        <v>0</v>
      </c>
      <c r="K30" s="752">
        <v>6365.4294300000001</v>
      </c>
      <c r="L30" s="29"/>
    </row>
    <row r="31" spans="1:12" s="50" customFormat="1" ht="11.25" customHeight="1">
      <c r="A31" s="615" t="s">
        <v>671</v>
      </c>
      <c r="B31" s="617" t="s">
        <v>575</v>
      </c>
      <c r="C31" s="752">
        <v>6216.6759099999999</v>
      </c>
      <c r="D31" s="752">
        <v>0</v>
      </c>
      <c r="E31" s="752">
        <v>0</v>
      </c>
      <c r="F31" s="752">
        <v>6216.6759099999999</v>
      </c>
      <c r="G31" s="753" t="s">
        <v>563</v>
      </c>
      <c r="H31" s="752">
        <v>6345.5976799999999</v>
      </c>
      <c r="I31" s="752">
        <v>0</v>
      </c>
      <c r="J31" s="752">
        <v>0</v>
      </c>
      <c r="K31" s="752">
        <v>6345.5976799999999</v>
      </c>
      <c r="L31" s="20"/>
    </row>
    <row r="32" spans="1:12" s="50" customFormat="1" ht="11.25" customHeight="1">
      <c r="A32" s="615" t="s">
        <v>672</v>
      </c>
      <c r="B32" s="617" t="s">
        <v>575</v>
      </c>
      <c r="C32" s="752">
        <v>6272.1802200000002</v>
      </c>
      <c r="D32" s="752">
        <v>28.241520000000001</v>
      </c>
      <c r="E32" s="752">
        <v>0</v>
      </c>
      <c r="F32" s="752">
        <v>6300.4217399999998</v>
      </c>
      <c r="G32" s="753" t="s">
        <v>532</v>
      </c>
      <c r="H32" s="752">
        <v>6352.8514699999996</v>
      </c>
      <c r="I32" s="752">
        <v>36.72616</v>
      </c>
      <c r="J32" s="752">
        <v>0</v>
      </c>
      <c r="K32" s="752">
        <v>6389.5776299999998</v>
      </c>
      <c r="L32" s="22"/>
    </row>
    <row r="33" spans="1:12" s="50" customFormat="1" ht="11.25" customHeight="1">
      <c r="A33" s="615" t="s">
        <v>673</v>
      </c>
      <c r="B33" s="617" t="s">
        <v>674</v>
      </c>
      <c r="C33" s="752">
        <v>6333.6672699999999</v>
      </c>
      <c r="D33" s="752">
        <v>0</v>
      </c>
      <c r="E33" s="752">
        <v>0</v>
      </c>
      <c r="F33" s="752">
        <v>6333.6672699999999</v>
      </c>
      <c r="G33" s="753" t="s">
        <v>532</v>
      </c>
      <c r="H33" s="752">
        <v>6379.44956</v>
      </c>
      <c r="I33" s="752">
        <v>0</v>
      </c>
      <c r="J33" s="752">
        <v>0</v>
      </c>
      <c r="K33" s="752">
        <v>6379.44956</v>
      </c>
      <c r="L33" s="20"/>
    </row>
    <row r="34" spans="1:12" s="50" customFormat="1" ht="11.25" customHeight="1">
      <c r="A34" s="615" t="s">
        <v>675</v>
      </c>
      <c r="B34" s="617" t="s">
        <v>533</v>
      </c>
      <c r="C34" s="752">
        <v>6309.4808800000001</v>
      </c>
      <c r="D34" s="752">
        <v>0</v>
      </c>
      <c r="E34" s="752">
        <v>0</v>
      </c>
      <c r="F34" s="752">
        <v>6309.4808800000001</v>
      </c>
      <c r="G34" s="753" t="s">
        <v>563</v>
      </c>
      <c r="H34" s="752">
        <v>6410.5724600000003</v>
      </c>
      <c r="I34" s="752">
        <v>0</v>
      </c>
      <c r="J34" s="752">
        <v>0</v>
      </c>
      <c r="K34" s="752">
        <v>6410.5724600000003</v>
      </c>
      <c r="L34" s="20"/>
    </row>
    <row r="35" spans="1:12" s="50" customFormat="1" ht="11.25" customHeight="1">
      <c r="A35" s="615" t="s">
        <v>676</v>
      </c>
      <c r="B35" s="617" t="s">
        <v>564</v>
      </c>
      <c r="C35" s="752">
        <v>5554.6728700000003</v>
      </c>
      <c r="D35" s="752">
        <v>0</v>
      </c>
      <c r="E35" s="752">
        <v>0</v>
      </c>
      <c r="F35" s="752">
        <v>5554.6728700000003</v>
      </c>
      <c r="G35" s="753" t="s">
        <v>562</v>
      </c>
      <c r="H35" s="752">
        <v>6178.0817299999999</v>
      </c>
      <c r="I35" s="752">
        <v>0</v>
      </c>
      <c r="J35" s="752">
        <v>0</v>
      </c>
      <c r="K35" s="752">
        <v>6178.0817299999999</v>
      </c>
      <c r="L35" s="29"/>
    </row>
    <row r="36" spans="1:12" s="50" customFormat="1" ht="11.25" customHeight="1">
      <c r="A36" s="615" t="s">
        <v>677</v>
      </c>
      <c r="B36" s="617" t="s">
        <v>575</v>
      </c>
      <c r="C36" s="752">
        <v>6284.8792999999996</v>
      </c>
      <c r="D36" s="752">
        <v>0</v>
      </c>
      <c r="E36" s="752">
        <v>0</v>
      </c>
      <c r="F36" s="752">
        <v>6284.8792999999996</v>
      </c>
      <c r="G36" s="753" t="s">
        <v>562</v>
      </c>
      <c r="H36" s="752">
        <v>6405.1318799999999</v>
      </c>
      <c r="I36" s="752">
        <v>0</v>
      </c>
      <c r="J36" s="752">
        <v>0</v>
      </c>
      <c r="K36" s="752">
        <v>6405.1318799999999</v>
      </c>
      <c r="L36" s="29"/>
    </row>
    <row r="37" spans="1:12" s="50" customFormat="1" ht="11.25" customHeight="1">
      <c r="A37" s="615" t="s">
        <v>678</v>
      </c>
      <c r="B37" s="617" t="s">
        <v>575</v>
      </c>
      <c r="C37" s="496">
        <v>6388.2870999999996</v>
      </c>
      <c r="D37" s="496">
        <v>33.869680000000002</v>
      </c>
      <c r="E37" s="496">
        <v>0</v>
      </c>
      <c r="F37" s="496">
        <v>6422.1567800000003</v>
      </c>
      <c r="G37" s="617" t="s">
        <v>532</v>
      </c>
      <c r="H37" s="496">
        <v>6436.76566</v>
      </c>
      <c r="I37" s="496">
        <v>38.48856</v>
      </c>
      <c r="J37" s="496">
        <v>0</v>
      </c>
      <c r="K37" s="496">
        <v>6475.2542199999998</v>
      </c>
      <c r="L37" s="29"/>
    </row>
    <row r="38" spans="1:12" s="50" customFormat="1" ht="11.25" customHeight="1">
      <c r="A38" s="615" t="s">
        <v>679</v>
      </c>
      <c r="B38" s="617" t="s">
        <v>531</v>
      </c>
      <c r="C38" s="496">
        <v>6353.7321599999996</v>
      </c>
      <c r="D38" s="496">
        <v>30.15128</v>
      </c>
      <c r="E38" s="496">
        <v>0</v>
      </c>
      <c r="F38" s="496">
        <v>6383.8834399999996</v>
      </c>
      <c r="G38" s="617" t="s">
        <v>532</v>
      </c>
      <c r="H38" s="496">
        <v>6450.3894300000002</v>
      </c>
      <c r="I38" s="496">
        <v>38.962240000000001</v>
      </c>
      <c r="J38" s="496">
        <v>0</v>
      </c>
      <c r="K38" s="496">
        <v>6489.35167</v>
      </c>
      <c r="L38" s="29"/>
    </row>
    <row r="39" spans="1:12" s="50" customFormat="1" ht="11.25" customHeight="1">
      <c r="A39" s="615" t="s">
        <v>680</v>
      </c>
      <c r="B39" s="617" t="s">
        <v>575</v>
      </c>
      <c r="C39" s="496">
        <v>6342.0526499999996</v>
      </c>
      <c r="D39" s="496">
        <v>0</v>
      </c>
      <c r="E39" s="496">
        <v>0</v>
      </c>
      <c r="F39" s="496">
        <v>6342.0526499999996</v>
      </c>
      <c r="G39" s="617" t="s">
        <v>563</v>
      </c>
      <c r="H39" s="496">
        <v>6405.1889000000001</v>
      </c>
      <c r="I39" s="496">
        <v>0</v>
      </c>
      <c r="J39" s="496">
        <v>0</v>
      </c>
      <c r="K39" s="496">
        <v>6405.1889000000001</v>
      </c>
      <c r="L39" s="29"/>
    </row>
    <row r="40" spans="1:12" s="50" customFormat="1" ht="11.25" customHeight="1">
      <c r="A40" s="615" t="s">
        <v>681</v>
      </c>
      <c r="B40" s="617" t="s">
        <v>531</v>
      </c>
      <c r="C40" s="496">
        <v>5848.8500100000001</v>
      </c>
      <c r="D40" s="496">
        <v>0</v>
      </c>
      <c r="E40" s="496">
        <v>0</v>
      </c>
      <c r="F40" s="496">
        <v>5848.8500100000001</v>
      </c>
      <c r="G40" s="617" t="s">
        <v>530</v>
      </c>
      <c r="H40" s="496">
        <v>6278.2055899999996</v>
      </c>
      <c r="I40" s="496">
        <v>0</v>
      </c>
      <c r="J40" s="496">
        <v>0</v>
      </c>
      <c r="K40" s="496">
        <v>6278.2055899999996</v>
      </c>
      <c r="L40" s="29"/>
    </row>
    <row r="41" spans="1:12" s="50" customFormat="1" ht="11.25" customHeight="1">
      <c r="A41" s="615" t="s">
        <v>682</v>
      </c>
      <c r="B41" s="617" t="s">
        <v>533</v>
      </c>
      <c r="C41" s="496">
        <v>5990.8153700000003</v>
      </c>
      <c r="D41" s="496">
        <v>0</v>
      </c>
      <c r="E41" s="496">
        <v>0</v>
      </c>
      <c r="F41" s="496">
        <v>5990.8153700000003</v>
      </c>
      <c r="G41" s="617" t="s">
        <v>532</v>
      </c>
      <c r="H41" s="496">
        <v>6222.8845799999999</v>
      </c>
      <c r="I41" s="496">
        <v>0</v>
      </c>
      <c r="J41" s="496">
        <v>0</v>
      </c>
      <c r="K41" s="496">
        <v>6222.8845799999999</v>
      </c>
      <c r="L41" s="29"/>
    </row>
    <row r="42" spans="1:12" s="50" customFormat="1" ht="11.25" customHeight="1">
      <c r="A42" s="271"/>
      <c r="B42" s="271"/>
      <c r="C42" s="271"/>
      <c r="D42" s="271"/>
      <c r="E42" s="271"/>
      <c r="F42" s="271"/>
      <c r="G42" s="271"/>
      <c r="H42" s="271"/>
      <c r="I42" s="271"/>
      <c r="J42" s="271"/>
      <c r="K42" s="273"/>
      <c r="L42" s="29"/>
    </row>
    <row r="43" spans="1:12" s="50" customFormat="1" ht="11.25" customHeight="1">
      <c r="A43" s="271"/>
      <c r="B43" s="271"/>
      <c r="C43" s="271"/>
      <c r="D43" s="271"/>
      <c r="E43" s="271"/>
      <c r="F43" s="271"/>
      <c r="G43" s="271"/>
      <c r="H43" s="271"/>
      <c r="I43" s="271"/>
      <c r="J43" s="271"/>
      <c r="K43" s="273"/>
      <c r="L43" s="29"/>
    </row>
    <row r="44" spans="1:12" s="50" customFormat="1" ht="11.25" customHeight="1">
      <c r="A44" s="271"/>
      <c r="B44" s="271"/>
      <c r="C44" s="271"/>
      <c r="D44" s="271"/>
      <c r="E44" s="271"/>
      <c r="F44" s="271"/>
      <c r="G44" s="271"/>
      <c r="H44" s="271"/>
      <c r="I44" s="271"/>
      <c r="J44" s="271"/>
      <c r="K44" s="273"/>
      <c r="L44" s="29"/>
    </row>
    <row r="45" spans="1:12" s="50" customFormat="1" ht="11.25" customHeight="1">
      <c r="A45" s="271"/>
      <c r="B45" s="271"/>
      <c r="C45" s="271"/>
      <c r="D45" s="271"/>
      <c r="E45" s="271"/>
      <c r="F45" s="271"/>
      <c r="G45" s="271"/>
      <c r="H45" s="271"/>
      <c r="I45" s="271"/>
      <c r="J45" s="271"/>
      <c r="K45" s="273"/>
      <c r="L45" s="29"/>
    </row>
    <row r="46" spans="1:12" s="50" customFormat="1" ht="11.25" customHeight="1">
      <c r="A46" s="271"/>
      <c r="B46" s="271"/>
      <c r="C46" s="271"/>
      <c r="D46" s="271"/>
      <c r="E46" s="271"/>
      <c r="F46" s="271"/>
      <c r="G46" s="271"/>
      <c r="H46" s="271"/>
      <c r="I46" s="271"/>
      <c r="J46" s="271"/>
      <c r="K46" s="273"/>
      <c r="L46" s="29"/>
    </row>
    <row r="47" spans="1:12" s="50" customFormat="1" ht="11.25" customHeight="1">
      <c r="A47" s="271"/>
      <c r="B47" s="271"/>
      <c r="C47" s="271"/>
      <c r="D47" s="271"/>
      <c r="E47" s="271"/>
      <c r="F47" s="271"/>
      <c r="G47" s="271"/>
      <c r="H47" s="271"/>
      <c r="I47" s="271"/>
      <c r="J47" s="271"/>
      <c r="K47" s="273"/>
      <c r="L47" s="29"/>
    </row>
    <row r="48" spans="1:12" s="50" customFormat="1" ht="11.25" customHeight="1">
      <c r="A48" s="271"/>
      <c r="B48" s="271"/>
      <c r="C48" s="271"/>
      <c r="D48" s="271"/>
      <c r="E48" s="271"/>
      <c r="F48" s="271"/>
      <c r="G48" s="271"/>
      <c r="H48" s="271"/>
      <c r="I48" s="271"/>
      <c r="J48" s="271"/>
      <c r="K48" s="275"/>
      <c r="L48" s="58"/>
    </row>
    <row r="49" spans="1:12" s="50" customFormat="1" ht="11.25" customHeight="1">
      <c r="A49" s="271"/>
      <c r="B49" s="271"/>
      <c r="C49" s="271"/>
      <c r="D49" s="271"/>
      <c r="E49" s="271"/>
      <c r="F49" s="271"/>
      <c r="G49" s="271"/>
      <c r="H49" s="271"/>
      <c r="I49" s="271"/>
      <c r="J49" s="271"/>
      <c r="K49" s="275"/>
      <c r="L49" s="59"/>
    </row>
    <row r="50" spans="1:12" s="50" customFormat="1" ht="11.25" customHeight="1">
      <c r="A50" s="271"/>
      <c r="B50" s="271"/>
      <c r="C50" s="271"/>
      <c r="D50" s="271"/>
      <c r="E50" s="271"/>
      <c r="F50" s="271"/>
      <c r="G50" s="271"/>
      <c r="H50" s="271"/>
      <c r="I50" s="271"/>
      <c r="J50" s="271"/>
      <c r="K50" s="275"/>
      <c r="L50" s="59"/>
    </row>
    <row r="51" spans="1:12" s="50" customFormat="1" ht="11.25" customHeight="1">
      <c r="A51" s="271"/>
      <c r="B51" s="271"/>
      <c r="C51" s="271"/>
      <c r="D51" s="271"/>
      <c r="E51" s="271"/>
      <c r="F51" s="271"/>
      <c r="G51" s="271"/>
      <c r="H51" s="271"/>
      <c r="I51" s="271"/>
      <c r="J51" s="271"/>
      <c r="K51" s="273"/>
    </row>
    <row r="52" spans="1:12" s="50" customFormat="1" ht="11.25" customHeight="1">
      <c r="A52" s="271"/>
      <c r="B52" s="271"/>
      <c r="C52" s="271"/>
      <c r="D52" s="271"/>
      <c r="E52" s="271"/>
      <c r="F52" s="271"/>
      <c r="G52" s="271"/>
      <c r="H52" s="271"/>
      <c r="I52" s="271"/>
      <c r="J52" s="271"/>
      <c r="K52" s="273"/>
    </row>
    <row r="53" spans="1:12" s="50" customFormat="1" ht="12.75">
      <c r="A53" s="271"/>
      <c r="B53" s="271"/>
      <c r="C53" s="271"/>
      <c r="D53" s="271"/>
      <c r="E53" s="271"/>
      <c r="F53" s="271"/>
      <c r="G53" s="271"/>
      <c r="H53" s="271"/>
      <c r="I53" s="271"/>
      <c r="J53" s="271"/>
      <c r="K53" s="273"/>
    </row>
    <row r="54" spans="1:12" s="50" customFormat="1" ht="12.75">
      <c r="A54" s="271"/>
      <c r="B54" s="271"/>
      <c r="C54" s="271"/>
      <c r="D54" s="271"/>
      <c r="E54" s="271"/>
      <c r="F54" s="271"/>
      <c r="G54" s="271"/>
      <c r="H54" s="271"/>
      <c r="I54" s="271"/>
      <c r="J54" s="271"/>
      <c r="K54" s="273"/>
    </row>
    <row r="55" spans="1:12" s="50" customFormat="1" ht="12.75">
      <c r="A55" s="271"/>
      <c r="B55" s="271"/>
      <c r="C55" s="271"/>
      <c r="D55" s="271"/>
      <c r="E55" s="271"/>
      <c r="F55" s="271"/>
      <c r="G55" s="271"/>
      <c r="H55" s="271"/>
      <c r="I55" s="271"/>
      <c r="J55" s="271"/>
      <c r="K55" s="273"/>
    </row>
    <row r="56" spans="1:12" s="50" customFormat="1" ht="12.75">
      <c r="A56" s="271"/>
      <c r="B56" s="271"/>
      <c r="C56" s="271"/>
      <c r="D56" s="271"/>
      <c r="E56" s="271"/>
      <c r="F56" s="271"/>
      <c r="G56" s="271"/>
      <c r="H56" s="271"/>
      <c r="I56" s="271"/>
      <c r="J56" s="271"/>
      <c r="K56" s="273"/>
    </row>
    <row r="57" spans="1:12" s="50" customFormat="1" ht="12.75">
      <c r="A57" s="271"/>
      <c r="B57" s="271"/>
      <c r="C57" s="271"/>
      <c r="D57" s="271"/>
      <c r="E57" s="271"/>
      <c r="F57" s="271"/>
      <c r="G57" s="271"/>
      <c r="H57" s="271"/>
      <c r="I57" s="271"/>
      <c r="J57" s="271"/>
      <c r="K57" s="273"/>
    </row>
    <row r="58" spans="1:12" s="50" customFormat="1" ht="12.75">
      <c r="A58" s="271"/>
      <c r="B58" s="132"/>
      <c r="C58" s="132"/>
      <c r="D58" s="132"/>
      <c r="E58" s="132"/>
      <c r="F58" s="132"/>
      <c r="G58" s="132"/>
      <c r="H58" s="132"/>
      <c r="I58" s="132"/>
      <c r="J58" s="132"/>
      <c r="K58" s="273"/>
    </row>
    <row r="59" spans="1:12" s="50" customFormat="1" ht="12.75">
      <c r="A59" s="271"/>
      <c r="B59" s="132"/>
      <c r="C59" s="132"/>
      <c r="D59" s="132"/>
      <c r="E59" s="132"/>
      <c r="F59" s="132"/>
      <c r="G59" s="132"/>
      <c r="H59" s="132"/>
      <c r="I59" s="132"/>
      <c r="J59" s="132"/>
      <c r="K59" s="273"/>
    </row>
    <row r="60" spans="1:12" s="50" customFormat="1" ht="12.75">
      <c r="A60" s="271"/>
      <c r="B60" s="132"/>
      <c r="C60" s="132"/>
      <c r="D60" s="132"/>
      <c r="E60" s="132"/>
      <c r="F60" s="132"/>
      <c r="G60" s="132"/>
      <c r="H60" s="132"/>
      <c r="I60" s="132"/>
      <c r="J60" s="132"/>
      <c r="K60" s="273"/>
    </row>
    <row r="61" spans="1:12" s="50" customFormat="1" ht="12.75">
      <c r="A61" s="271"/>
      <c r="B61" s="132"/>
      <c r="C61" s="132"/>
      <c r="D61" s="132"/>
      <c r="E61" s="132"/>
      <c r="F61" s="132"/>
      <c r="G61" s="132"/>
      <c r="H61" s="132"/>
      <c r="I61" s="132"/>
      <c r="J61" s="132"/>
      <c r="K61" s="273"/>
    </row>
    <row r="62" spans="1:12" s="50" customFormat="1" ht="12.75">
      <c r="A62" s="271"/>
      <c r="B62" s="132"/>
      <c r="C62" s="132"/>
      <c r="D62" s="132"/>
      <c r="E62" s="132"/>
      <c r="F62" s="132"/>
      <c r="G62" s="132"/>
      <c r="H62" s="132"/>
      <c r="I62" s="132"/>
      <c r="J62" s="132"/>
      <c r="K62" s="273"/>
    </row>
    <row r="63" spans="1:12" s="50" customFormat="1" ht="12.75">
      <c r="A63" s="271"/>
      <c r="B63" s="272"/>
      <c r="C63" s="272"/>
      <c r="D63" s="272"/>
      <c r="E63" s="272"/>
      <c r="F63" s="272"/>
      <c r="G63" s="272"/>
      <c r="H63" s="272"/>
      <c r="I63" s="272"/>
      <c r="J63" s="272"/>
      <c r="K63" s="273"/>
    </row>
    <row r="64" spans="1:12" s="50" customFormat="1" ht="12.75">
      <c r="A64" s="271"/>
      <c r="B64" s="272"/>
      <c r="C64" s="272"/>
      <c r="D64" s="272"/>
      <c r="E64" s="272"/>
      <c r="F64" s="272"/>
      <c r="G64" s="272"/>
      <c r="H64" s="272"/>
      <c r="I64" s="272"/>
      <c r="J64" s="272"/>
      <c r="K64" s="273"/>
    </row>
    <row r="65" spans="1:11" s="50" customFormat="1" ht="12.75">
      <c r="A65" s="271"/>
      <c r="B65" s="276"/>
      <c r="C65" s="273"/>
      <c r="D65" s="273"/>
      <c r="E65" s="273"/>
      <c r="F65" s="273"/>
      <c r="G65" s="272"/>
      <c r="H65" s="272"/>
      <c r="I65" s="272"/>
      <c r="J65" s="272"/>
      <c r="K65" s="273"/>
    </row>
    <row r="66" spans="1:11" s="50" customFormat="1" ht="12.75">
      <c r="A66" s="277"/>
      <c r="B66" s="278"/>
      <c r="C66" s="278"/>
      <c r="D66" s="278"/>
      <c r="E66" s="278"/>
      <c r="F66" s="278"/>
      <c r="G66" s="278"/>
      <c r="H66" s="272"/>
      <c r="I66" s="272"/>
      <c r="J66" s="272"/>
      <c r="K66" s="273"/>
    </row>
    <row r="67" spans="1:11" s="50" customFormat="1" ht="12.75">
      <c r="A67" s="277"/>
      <c r="B67" s="278"/>
      <c r="C67" s="278"/>
      <c r="D67" s="278"/>
      <c r="E67" s="278"/>
      <c r="F67" s="278"/>
      <c r="G67" s="278"/>
      <c r="H67" s="272"/>
      <c r="I67" s="272"/>
      <c r="J67" s="272"/>
      <c r="K67" s="272"/>
    </row>
    <row r="68" spans="1:11" s="50" customFormat="1" ht="12.75">
      <c r="A68" s="277"/>
      <c r="B68" s="278"/>
      <c r="C68" s="278"/>
      <c r="D68" s="278"/>
      <c r="E68" s="278"/>
      <c r="F68" s="278"/>
      <c r="G68" s="278"/>
      <c r="H68" s="272"/>
      <c r="I68" s="272"/>
      <c r="J68" s="272"/>
      <c r="K68" s="272"/>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1"/>
  <sheetViews>
    <sheetView showGridLines="0" view="pageBreakPreview" zoomScale="145" zoomScaleNormal="100" zoomScaleSheetLayoutView="145" zoomScalePageLayoutView="130" workbookViewId="0">
      <selection activeCell="R31" sqref="R31"/>
    </sheetView>
  </sheetViews>
  <sheetFormatPr defaultRowHeight="9"/>
  <cols>
    <col min="1" max="1" width="16.1640625" style="503" customWidth="1"/>
    <col min="2" max="2" width="19.6640625" style="503" customWidth="1"/>
    <col min="3" max="3" width="12.16406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11.25" customHeight="1">
      <c r="A1" s="501" t="s">
        <v>467</v>
      </c>
      <c r="B1" s="502"/>
      <c r="C1" s="502"/>
      <c r="D1" s="502"/>
      <c r="E1" s="502"/>
      <c r="F1" s="502"/>
    </row>
    <row r="2" spans="1:9" s="503" customFormat="1" ht="30" customHeight="1">
      <c r="A2" s="514" t="s">
        <v>287</v>
      </c>
      <c r="B2" s="515" t="s">
        <v>468</v>
      </c>
      <c r="C2" s="514" t="s">
        <v>457</v>
      </c>
      <c r="D2" s="516" t="s">
        <v>469</v>
      </c>
      <c r="E2" s="517" t="s">
        <v>470</v>
      </c>
      <c r="F2" s="517" t="s">
        <v>471</v>
      </c>
      <c r="G2" s="469"/>
      <c r="H2" s="504"/>
      <c r="I2" s="467"/>
    </row>
    <row r="3" spans="1:9" s="503" customFormat="1" ht="75.75" customHeight="1">
      <c r="A3" s="659" t="s">
        <v>473</v>
      </c>
      <c r="B3" s="659" t="s">
        <v>474</v>
      </c>
      <c r="C3" s="660">
        <v>43254.188888888886</v>
      </c>
      <c r="D3" s="661" t="s">
        <v>683</v>
      </c>
      <c r="E3" s="662">
        <v>5.03</v>
      </c>
      <c r="F3" s="662"/>
      <c r="H3" s="469"/>
      <c r="I3" s="467"/>
    </row>
    <row r="4" spans="1:9" s="503" customFormat="1" ht="72" customHeight="1">
      <c r="A4" s="663" t="s">
        <v>473</v>
      </c>
      <c r="B4" s="663" t="s">
        <v>474</v>
      </c>
      <c r="C4" s="664">
        <v>43254.275000000001</v>
      </c>
      <c r="D4" s="665" t="s">
        <v>684</v>
      </c>
      <c r="E4" s="666">
        <v>6.15</v>
      </c>
      <c r="F4" s="666"/>
      <c r="G4" s="468"/>
      <c r="H4" s="468"/>
      <c r="I4" s="505"/>
    </row>
    <row r="5" spans="1:9" s="503" customFormat="1" ht="127.5" customHeight="1">
      <c r="A5" s="663" t="s">
        <v>101</v>
      </c>
      <c r="B5" s="663" t="s">
        <v>685</v>
      </c>
      <c r="C5" s="664">
        <v>43254.297222222223</v>
      </c>
      <c r="D5" s="665" t="s">
        <v>686</v>
      </c>
      <c r="E5" s="666">
        <v>0.3</v>
      </c>
      <c r="F5" s="666"/>
      <c r="G5" s="468"/>
      <c r="H5" s="468"/>
      <c r="I5" s="506"/>
    </row>
    <row r="6" spans="1:9" s="503" customFormat="1" ht="77.25" customHeight="1">
      <c r="A6" s="663" t="s">
        <v>473</v>
      </c>
      <c r="B6" s="663" t="s">
        <v>687</v>
      </c>
      <c r="C6" s="664">
        <v>43254.342361111114</v>
      </c>
      <c r="D6" s="665" t="s">
        <v>688</v>
      </c>
      <c r="E6" s="666">
        <v>0.68</v>
      </c>
      <c r="F6" s="666"/>
      <c r="G6" s="468"/>
      <c r="H6" s="468"/>
      <c r="I6" s="507"/>
    </row>
    <row r="7" spans="1:9" s="503" customFormat="1" ht="118.5" customHeight="1">
      <c r="A7" s="663" t="s">
        <v>101</v>
      </c>
      <c r="B7" s="663" t="s">
        <v>685</v>
      </c>
      <c r="C7" s="664">
        <v>43254.383333333331</v>
      </c>
      <c r="D7" s="665" t="s">
        <v>689</v>
      </c>
      <c r="E7" s="666">
        <v>0.3</v>
      </c>
      <c r="F7" s="666"/>
      <c r="G7" s="468"/>
      <c r="H7" s="468"/>
      <c r="I7" s="508"/>
    </row>
    <row r="8" spans="1:9" s="503" customFormat="1" ht="63" customHeight="1">
      <c r="A8" s="663" t="s">
        <v>473</v>
      </c>
      <c r="B8" s="663" t="s">
        <v>474</v>
      </c>
      <c r="C8" s="664">
        <v>43254.398611111108</v>
      </c>
      <c r="D8" s="665" t="s">
        <v>690</v>
      </c>
      <c r="E8" s="666">
        <v>6.07</v>
      </c>
      <c r="F8" s="666"/>
      <c r="G8" s="468"/>
      <c r="H8" s="468"/>
      <c r="I8" s="507"/>
    </row>
    <row r="9" spans="1:9" s="503" customFormat="1" ht="77.25" customHeight="1">
      <c r="A9" s="663" t="s">
        <v>473</v>
      </c>
      <c r="B9" s="663" t="s">
        <v>474</v>
      </c>
      <c r="C9" s="664">
        <v>43254.506249999999</v>
      </c>
      <c r="D9" s="665" t="s">
        <v>691</v>
      </c>
      <c r="E9" s="666">
        <v>2.6</v>
      </c>
      <c r="F9" s="666"/>
      <c r="G9" s="468"/>
      <c r="H9" s="468"/>
      <c r="I9" s="507"/>
    </row>
    <row r="10" spans="1:9" s="503" customFormat="1" ht="73.5" customHeight="1">
      <c r="A10" s="663" t="s">
        <v>473</v>
      </c>
      <c r="B10" s="663" t="s">
        <v>474</v>
      </c>
      <c r="C10" s="664">
        <v>43254.552083333336</v>
      </c>
      <c r="D10" s="665" t="s">
        <v>692</v>
      </c>
      <c r="E10" s="666">
        <v>4.7</v>
      </c>
      <c r="F10" s="666"/>
      <c r="G10" s="468"/>
      <c r="H10" s="468"/>
      <c r="I10" s="507"/>
    </row>
    <row r="11" spans="1:9">
      <c r="E11" s="513"/>
      <c r="F11" s="513"/>
    </row>
    <row r="12" spans="1:9">
      <c r="E12" s="513"/>
      <c r="F12" s="513"/>
    </row>
    <row r="13" spans="1:9">
      <c r="E13" s="513"/>
      <c r="F13" s="513"/>
    </row>
    <row r="14" spans="1:9">
      <c r="E14" s="513"/>
      <c r="F14" s="513"/>
    </row>
    <row r="15" spans="1:9">
      <c r="E15" s="513"/>
      <c r="F15" s="513"/>
    </row>
    <row r="16" spans="1:9">
      <c r="E16" s="513"/>
      <c r="F16" s="513"/>
    </row>
    <row r="17" spans="5:6">
      <c r="E17" s="513"/>
      <c r="F17" s="513"/>
    </row>
    <row r="18" spans="5:6">
      <c r="E18" s="513"/>
      <c r="F18" s="513"/>
    </row>
    <row r="19" spans="5:6">
      <c r="E19" s="513"/>
      <c r="F19" s="513"/>
    </row>
    <row r="20" spans="5:6">
      <c r="E20" s="513"/>
      <c r="F20" s="513"/>
    </row>
    <row r="21" spans="5:6">
      <c r="E21" s="513"/>
      <c r="F21" s="513"/>
    </row>
    <row r="22" spans="5:6">
      <c r="E22" s="513"/>
      <c r="F22" s="513"/>
    </row>
    <row r="23" spans="5:6">
      <c r="E23" s="513"/>
      <c r="F23" s="513"/>
    </row>
    <row r="24" spans="5:6">
      <c r="E24" s="513"/>
      <c r="F24" s="513"/>
    </row>
    <row r="25" spans="5:6">
      <c r="E25" s="513"/>
      <c r="F25" s="513"/>
    </row>
    <row r="26" spans="5:6">
      <c r="E26" s="513"/>
      <c r="F26" s="513"/>
    </row>
    <row r="27" spans="5:6">
      <c r="E27" s="513"/>
      <c r="F27" s="513"/>
    </row>
    <row r="28" spans="5:6">
      <c r="E28" s="513"/>
      <c r="F28" s="513"/>
    </row>
    <row r="29" spans="5:6">
      <c r="E29" s="513"/>
      <c r="F29" s="513"/>
    </row>
    <row r="30" spans="5:6">
      <c r="E30" s="513"/>
      <c r="F30" s="513"/>
    </row>
    <row r="31" spans="5:6">
      <c r="E31" s="513"/>
      <c r="F31" s="513"/>
    </row>
    <row r="32" spans="5:6">
      <c r="E32" s="513"/>
      <c r="F32" s="513"/>
    </row>
    <row r="33" spans="5:6">
      <c r="E33" s="513"/>
      <c r="F33" s="513"/>
    </row>
    <row r="34" spans="5:6">
      <c r="E34" s="513"/>
      <c r="F34" s="513"/>
    </row>
    <row r="35" spans="5:6">
      <c r="E35" s="513"/>
      <c r="F35" s="513"/>
    </row>
    <row r="36" spans="5:6">
      <c r="E36" s="513"/>
      <c r="F36" s="513"/>
    </row>
    <row r="37" spans="5:6">
      <c r="E37" s="513"/>
      <c r="F37" s="513"/>
    </row>
    <row r="38" spans="5:6">
      <c r="E38" s="513"/>
      <c r="F38" s="513"/>
    </row>
    <row r="39" spans="5:6">
      <c r="E39" s="513"/>
      <c r="F39" s="513"/>
    </row>
    <row r="40" spans="5:6">
      <c r="E40" s="513"/>
      <c r="F40" s="513"/>
    </row>
    <row r="41" spans="5:6">
      <c r="E41" s="513"/>
      <c r="F41" s="513"/>
    </row>
    <row r="42" spans="5:6">
      <c r="E42" s="513"/>
      <c r="F42" s="513"/>
    </row>
    <row r="43" spans="5:6">
      <c r="E43" s="513"/>
      <c r="F43" s="513"/>
    </row>
    <row r="44" spans="5:6">
      <c r="E44" s="513"/>
      <c r="F44" s="513"/>
    </row>
    <row r="45" spans="5:6">
      <c r="E45" s="513"/>
      <c r="F45" s="513"/>
    </row>
    <row r="46" spans="5:6">
      <c r="E46" s="513"/>
      <c r="F46" s="513"/>
    </row>
    <row r="47" spans="5:6">
      <c r="E47" s="513"/>
      <c r="F47" s="513"/>
    </row>
    <row r="48" spans="5:6">
      <c r="E48" s="513"/>
      <c r="F48" s="513"/>
    </row>
    <row r="49" spans="5:6">
      <c r="E49" s="513"/>
      <c r="F49" s="513"/>
    </row>
    <row r="50" spans="5:6">
      <c r="E50" s="513"/>
      <c r="F50" s="513"/>
    </row>
    <row r="51" spans="5:6">
      <c r="E51" s="513"/>
      <c r="F51" s="513"/>
    </row>
    <row r="52" spans="5:6">
      <c r="E52" s="513"/>
      <c r="F52" s="513"/>
    </row>
    <row r="53" spans="5:6">
      <c r="E53" s="513"/>
      <c r="F53" s="513"/>
    </row>
    <row r="54" spans="5:6">
      <c r="E54" s="513"/>
      <c r="F54" s="513"/>
    </row>
    <row r="55" spans="5:6">
      <c r="E55" s="513"/>
      <c r="F55" s="513"/>
    </row>
    <row r="56" spans="5:6">
      <c r="E56" s="513"/>
      <c r="F56" s="513"/>
    </row>
    <row r="57" spans="5:6">
      <c r="E57" s="513"/>
      <c r="F57" s="513"/>
    </row>
    <row r="58" spans="5:6">
      <c r="E58" s="513"/>
      <c r="F58" s="513"/>
    </row>
    <row r="59" spans="5:6">
      <c r="E59" s="513"/>
      <c r="F59" s="513"/>
    </row>
    <row r="60" spans="5:6">
      <c r="E60" s="513"/>
      <c r="F60" s="513"/>
    </row>
    <row r="61" spans="5:6">
      <c r="E61" s="513"/>
      <c r="F61" s="513"/>
    </row>
    <row r="62" spans="5:6">
      <c r="E62" s="513"/>
      <c r="F62" s="513"/>
    </row>
    <row r="63" spans="5:6">
      <c r="E63" s="513"/>
      <c r="F63" s="513"/>
    </row>
    <row r="64" spans="5:6">
      <c r="E64" s="513"/>
      <c r="F64" s="513"/>
    </row>
    <row r="65" spans="5:6">
      <c r="E65" s="513"/>
      <c r="F65" s="513"/>
    </row>
    <row r="66" spans="5:6">
      <c r="E66" s="513"/>
      <c r="F66" s="513"/>
    </row>
    <row r="67" spans="5:6">
      <c r="E67" s="513"/>
      <c r="F67" s="513"/>
    </row>
    <row r="68" spans="5:6">
      <c r="E68" s="513"/>
      <c r="F68" s="513"/>
    </row>
    <row r="69" spans="5:6">
      <c r="E69" s="513"/>
      <c r="F69" s="513"/>
    </row>
    <row r="70" spans="5:6">
      <c r="E70" s="513"/>
      <c r="F70" s="513"/>
    </row>
    <row r="71" spans="5:6">
      <c r="E71" s="513"/>
      <c r="F71" s="513"/>
    </row>
    <row r="72" spans="5:6">
      <c r="E72" s="513"/>
      <c r="F72" s="513"/>
    </row>
    <row r="73" spans="5:6">
      <c r="E73" s="513"/>
      <c r="F73" s="513"/>
    </row>
    <row r="74" spans="5:6">
      <c r="E74" s="513"/>
      <c r="F74" s="513"/>
    </row>
    <row r="75" spans="5:6">
      <c r="E75" s="513"/>
      <c r="F75" s="513"/>
    </row>
    <row r="76" spans="5:6">
      <c r="E76" s="513"/>
      <c r="F76" s="513"/>
    </row>
    <row r="77" spans="5:6">
      <c r="E77" s="513"/>
      <c r="F77" s="513"/>
    </row>
    <row r="78" spans="5:6">
      <c r="E78" s="513"/>
      <c r="F78" s="513"/>
    </row>
    <row r="79" spans="5:6">
      <c r="E79" s="513"/>
      <c r="F79" s="513"/>
    </row>
    <row r="80" spans="5:6">
      <c r="E80" s="513"/>
      <c r="F80" s="513"/>
    </row>
    <row r="81" spans="5:6">
      <c r="E81" s="513"/>
      <c r="F81" s="513"/>
    </row>
    <row r="82" spans="5:6">
      <c r="E82" s="513"/>
      <c r="F82" s="513"/>
    </row>
    <row r="83" spans="5:6">
      <c r="E83" s="513"/>
      <c r="F83" s="513"/>
    </row>
    <row r="84" spans="5:6">
      <c r="E84" s="513"/>
      <c r="F84" s="513"/>
    </row>
    <row r="85" spans="5:6">
      <c r="E85" s="513"/>
      <c r="F85" s="513"/>
    </row>
    <row r="86" spans="5:6">
      <c r="E86" s="513"/>
      <c r="F86" s="513"/>
    </row>
    <row r="87" spans="5:6">
      <c r="E87" s="513"/>
      <c r="F87" s="513"/>
    </row>
    <row r="88" spans="5:6">
      <c r="E88" s="513"/>
      <c r="F88" s="513"/>
    </row>
    <row r="89" spans="5:6">
      <c r="E89" s="513"/>
      <c r="F89" s="513"/>
    </row>
    <row r="90" spans="5:6">
      <c r="E90" s="513"/>
      <c r="F90" s="513"/>
    </row>
    <row r="91" spans="5:6">
      <c r="E91" s="513"/>
      <c r="F91" s="513"/>
    </row>
    <row r="92" spans="5:6">
      <c r="E92" s="513"/>
      <c r="F92" s="513"/>
    </row>
    <row r="93" spans="5:6">
      <c r="E93" s="513"/>
      <c r="F93" s="513"/>
    </row>
    <row r="94" spans="5:6">
      <c r="E94" s="513"/>
      <c r="F94" s="513"/>
    </row>
    <row r="95" spans="5:6">
      <c r="E95" s="513"/>
      <c r="F95" s="513"/>
    </row>
    <row r="96" spans="5:6">
      <c r="E96" s="513"/>
      <c r="F96" s="513"/>
    </row>
    <row r="97" spans="5:6">
      <c r="E97" s="513"/>
      <c r="F97" s="513"/>
    </row>
    <row r="98" spans="5:6">
      <c r="E98" s="513"/>
      <c r="F98" s="513"/>
    </row>
    <row r="99" spans="5:6">
      <c r="E99" s="513"/>
      <c r="F99" s="513"/>
    </row>
    <row r="100" spans="5:6">
      <c r="E100" s="513"/>
      <c r="F100" s="513"/>
    </row>
    <row r="101" spans="5:6">
      <c r="E101" s="513"/>
      <c r="F101" s="513"/>
    </row>
    <row r="102" spans="5:6">
      <c r="E102" s="513"/>
      <c r="F102" s="513"/>
    </row>
    <row r="103" spans="5:6">
      <c r="E103" s="513"/>
      <c r="F103" s="513"/>
    </row>
    <row r="104" spans="5:6">
      <c r="E104" s="513"/>
      <c r="F104" s="513"/>
    </row>
    <row r="105" spans="5:6">
      <c r="E105" s="513"/>
      <c r="F105" s="513"/>
    </row>
    <row r="106" spans="5:6">
      <c r="E106" s="513"/>
      <c r="F106" s="513"/>
    </row>
    <row r="107" spans="5:6">
      <c r="E107" s="513"/>
      <c r="F107" s="513"/>
    </row>
    <row r="108" spans="5:6">
      <c r="E108" s="513"/>
      <c r="F108" s="513"/>
    </row>
    <row r="109" spans="5:6">
      <c r="E109" s="513"/>
      <c r="F109" s="513"/>
    </row>
    <row r="110" spans="5:6">
      <c r="E110" s="513"/>
      <c r="F110" s="513"/>
    </row>
    <row r="111" spans="5:6">
      <c r="E111" s="513"/>
      <c r="F111" s="513"/>
    </row>
    <row r="112" spans="5:6">
      <c r="E112" s="513"/>
      <c r="F112" s="513"/>
    </row>
    <row r="113" spans="5:6">
      <c r="E113" s="513"/>
      <c r="F113" s="513"/>
    </row>
    <row r="114" spans="5:6">
      <c r="E114" s="513"/>
      <c r="F114" s="513"/>
    </row>
    <row r="115" spans="5:6">
      <c r="E115" s="513"/>
      <c r="F115" s="513"/>
    </row>
    <row r="116" spans="5:6">
      <c r="E116" s="513"/>
      <c r="F116" s="513"/>
    </row>
    <row r="117" spans="5:6">
      <c r="E117" s="513"/>
      <c r="F117" s="513"/>
    </row>
    <row r="118" spans="5:6">
      <c r="E118" s="513"/>
      <c r="F118" s="513"/>
    </row>
    <row r="119" spans="5:6">
      <c r="E119" s="513"/>
      <c r="F119" s="513"/>
    </row>
    <row r="120" spans="5:6">
      <c r="E120" s="513"/>
      <c r="F120" s="513"/>
    </row>
    <row r="121" spans="5:6">
      <c r="E121" s="513"/>
      <c r="F121" s="513"/>
    </row>
    <row r="122" spans="5:6">
      <c r="E122" s="513"/>
      <c r="F122" s="513"/>
    </row>
    <row r="123" spans="5:6">
      <c r="E123" s="513"/>
      <c r="F123" s="513"/>
    </row>
    <row r="124" spans="5:6">
      <c r="E124" s="513"/>
      <c r="F124" s="513"/>
    </row>
    <row r="125" spans="5:6">
      <c r="E125" s="513"/>
      <c r="F125" s="513"/>
    </row>
    <row r="126" spans="5:6">
      <c r="E126" s="513"/>
      <c r="F126" s="513"/>
    </row>
    <row r="127" spans="5:6">
      <c r="E127" s="513"/>
      <c r="F127" s="513"/>
    </row>
    <row r="128" spans="5:6">
      <c r="E128" s="513"/>
      <c r="F128" s="513"/>
    </row>
    <row r="129" spans="5:6">
      <c r="E129" s="513"/>
      <c r="F129" s="513"/>
    </row>
    <row r="130" spans="5:6">
      <c r="E130" s="513"/>
      <c r="F130" s="513"/>
    </row>
    <row r="131" spans="5:6">
      <c r="E131" s="513"/>
      <c r="F131" s="513"/>
    </row>
    <row r="132" spans="5:6">
      <c r="E132" s="513"/>
      <c r="F132" s="513"/>
    </row>
    <row r="133" spans="5:6">
      <c r="E133" s="513"/>
      <c r="F133" s="513"/>
    </row>
    <row r="134" spans="5:6">
      <c r="E134" s="513"/>
      <c r="F134" s="513"/>
    </row>
    <row r="135" spans="5:6">
      <c r="E135" s="513"/>
      <c r="F135" s="513"/>
    </row>
    <row r="136" spans="5:6">
      <c r="E136" s="513"/>
      <c r="F136" s="513"/>
    </row>
    <row r="137" spans="5:6">
      <c r="E137" s="513"/>
      <c r="F137" s="513"/>
    </row>
    <row r="138" spans="5:6">
      <c r="E138" s="513"/>
      <c r="F138" s="513"/>
    </row>
    <row r="139" spans="5:6">
      <c r="E139" s="513"/>
      <c r="F139" s="513"/>
    </row>
    <row r="140" spans="5:6">
      <c r="E140" s="513"/>
      <c r="F140" s="513"/>
    </row>
    <row r="141" spans="5:6">
      <c r="E141" s="513"/>
      <c r="F141" s="513"/>
    </row>
    <row r="142" spans="5:6">
      <c r="E142" s="513"/>
      <c r="F142" s="513"/>
    </row>
    <row r="143" spans="5:6">
      <c r="E143" s="513"/>
      <c r="F143" s="513"/>
    </row>
    <row r="144" spans="5:6">
      <c r="E144" s="513"/>
      <c r="F144" s="513"/>
    </row>
    <row r="145" spans="5:6">
      <c r="E145" s="513"/>
      <c r="F145" s="513"/>
    </row>
    <row r="146" spans="5:6">
      <c r="E146" s="513"/>
      <c r="F146" s="513"/>
    </row>
    <row r="147" spans="5:6">
      <c r="E147" s="513"/>
      <c r="F147" s="513"/>
    </row>
    <row r="148" spans="5:6">
      <c r="E148" s="513"/>
      <c r="F148" s="513"/>
    </row>
    <row r="149" spans="5:6">
      <c r="E149" s="513"/>
      <c r="F149" s="513"/>
    </row>
    <row r="150" spans="5:6">
      <c r="E150" s="513"/>
      <c r="F150" s="513"/>
    </row>
    <row r="151" spans="5:6">
      <c r="E151" s="513"/>
      <c r="F151" s="513"/>
    </row>
    <row r="152" spans="5:6">
      <c r="E152" s="513"/>
      <c r="F152" s="513"/>
    </row>
    <row r="153" spans="5:6">
      <c r="E153" s="513"/>
      <c r="F153" s="513"/>
    </row>
    <row r="154" spans="5:6">
      <c r="E154" s="513"/>
      <c r="F154" s="513"/>
    </row>
    <row r="155" spans="5:6">
      <c r="E155" s="513"/>
      <c r="F155" s="513"/>
    </row>
    <row r="156" spans="5:6">
      <c r="E156" s="513"/>
      <c r="F156" s="513"/>
    </row>
    <row r="157" spans="5:6">
      <c r="E157" s="513"/>
      <c r="F157" s="513"/>
    </row>
    <row r="158" spans="5:6">
      <c r="E158" s="513"/>
      <c r="F158" s="513"/>
    </row>
    <row r="159" spans="5:6">
      <c r="E159" s="513"/>
      <c r="F159" s="513"/>
    </row>
    <row r="160" spans="5:6">
      <c r="E160" s="513"/>
      <c r="F160" s="513"/>
    </row>
    <row r="161" spans="5:6">
      <c r="E161" s="513"/>
      <c r="F161" s="513"/>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7"/>
  <sheetViews>
    <sheetView showGridLines="0" view="pageBreakPreview" zoomScale="145" zoomScaleNormal="100" zoomScaleSheetLayoutView="145" zoomScalePageLayoutView="145" workbookViewId="0">
      <selection activeCell="R31" sqref="R31"/>
    </sheetView>
  </sheetViews>
  <sheetFormatPr defaultRowHeight="9"/>
  <cols>
    <col min="1" max="1" width="16.1640625" style="503" customWidth="1"/>
    <col min="2" max="2" width="19.6640625" style="503" customWidth="1"/>
    <col min="3" max="3" width="12.16406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65.25" customHeight="1">
      <c r="A2" s="518" t="s">
        <v>473</v>
      </c>
      <c r="B2" s="518" t="s">
        <v>474</v>
      </c>
      <c r="C2" s="519">
        <v>43254.724305555559</v>
      </c>
      <c r="D2" s="665" t="s">
        <v>693</v>
      </c>
      <c r="E2" s="520">
        <v>1.49</v>
      </c>
      <c r="F2" s="520"/>
      <c r="G2" s="468"/>
      <c r="H2" s="468"/>
      <c r="I2" s="507"/>
    </row>
    <row r="3" spans="1:9" s="503" customFormat="1" ht="153.75" customHeight="1">
      <c r="A3" s="518" t="s">
        <v>694</v>
      </c>
      <c r="B3" s="518" t="s">
        <v>695</v>
      </c>
      <c r="C3" s="519">
        <v>43255.984027777777</v>
      </c>
      <c r="D3" s="665" t="s">
        <v>696</v>
      </c>
      <c r="E3" s="520"/>
      <c r="F3" s="520">
        <v>111.17</v>
      </c>
      <c r="G3" s="468"/>
      <c r="H3" s="468"/>
      <c r="I3" s="507"/>
    </row>
    <row r="4" spans="1:9" s="503" customFormat="1" ht="99" customHeight="1">
      <c r="A4" s="518" t="s">
        <v>477</v>
      </c>
      <c r="B4" s="518" t="s">
        <v>697</v>
      </c>
      <c r="C4" s="519">
        <v>43256.534722222219</v>
      </c>
      <c r="D4" s="665" t="s">
        <v>698</v>
      </c>
      <c r="E4" s="520">
        <v>6.71</v>
      </c>
      <c r="F4" s="520"/>
      <c r="G4" s="468"/>
      <c r="H4" s="468"/>
      <c r="I4" s="507"/>
    </row>
    <row r="5" spans="1:9" s="503" customFormat="1" ht="78.75" customHeight="1">
      <c r="A5" s="518" t="s">
        <v>96</v>
      </c>
      <c r="B5" s="518" t="s">
        <v>699</v>
      </c>
      <c r="C5" s="519">
        <v>43258.390972222223</v>
      </c>
      <c r="D5" s="665" t="s">
        <v>700</v>
      </c>
      <c r="E5" s="520">
        <v>0.3</v>
      </c>
      <c r="F5" s="520"/>
      <c r="G5" s="468"/>
      <c r="H5" s="468"/>
      <c r="I5" s="508"/>
    </row>
    <row r="6" spans="1:9" s="503" customFormat="1" ht="77.25" customHeight="1">
      <c r="A6" s="518" t="s">
        <v>96</v>
      </c>
      <c r="B6" s="518" t="s">
        <v>699</v>
      </c>
      <c r="C6" s="519">
        <v>43258.405555555553</v>
      </c>
      <c r="D6" s="665" t="s">
        <v>701</v>
      </c>
      <c r="E6" s="520">
        <v>0.2</v>
      </c>
      <c r="F6" s="520"/>
      <c r="G6" s="468"/>
      <c r="H6" s="468"/>
      <c r="I6" s="507"/>
    </row>
    <row r="7" spans="1:9" s="503" customFormat="1" ht="134.25" customHeight="1">
      <c r="A7" s="518" t="s">
        <v>477</v>
      </c>
      <c r="B7" s="518" t="s">
        <v>702</v>
      </c>
      <c r="C7" s="519">
        <v>43259.361805555556</v>
      </c>
      <c r="D7" s="665" t="s">
        <v>703</v>
      </c>
      <c r="E7" s="520"/>
      <c r="F7" s="520">
        <v>35.49</v>
      </c>
      <c r="G7" s="468"/>
      <c r="H7" s="468"/>
      <c r="I7" s="507"/>
    </row>
    <row r="8" spans="1:9" s="503" customFormat="1" ht="63.75" customHeight="1">
      <c r="A8" s="518" t="s">
        <v>478</v>
      </c>
      <c r="B8" s="518" t="s">
        <v>704</v>
      </c>
      <c r="C8" s="519">
        <v>43262.700694444444</v>
      </c>
      <c r="D8" s="665" t="s">
        <v>705</v>
      </c>
      <c r="E8" s="520">
        <v>2.9</v>
      </c>
      <c r="F8" s="520"/>
      <c r="G8" s="468"/>
      <c r="H8" s="468"/>
      <c r="I8" s="507"/>
    </row>
    <row r="9" spans="1:9" s="503" customFormat="1" ht="40.5" customHeight="1">
      <c r="A9" s="821"/>
      <c r="B9" s="821"/>
      <c r="C9" s="822"/>
      <c r="D9" s="823"/>
      <c r="E9" s="824"/>
      <c r="F9" s="824"/>
      <c r="G9" s="468"/>
      <c r="H9" s="468"/>
      <c r="I9" s="507"/>
    </row>
    <row r="10" spans="1:9" ht="80.25" customHeight="1">
      <c r="A10" s="724"/>
      <c r="B10" s="724"/>
      <c r="C10" s="725"/>
      <c r="D10" s="726"/>
      <c r="E10" s="727"/>
      <c r="F10" s="727"/>
    </row>
    <row r="11" spans="1:9">
      <c r="A11" s="511"/>
      <c r="B11" s="511"/>
      <c r="C11" s="511"/>
      <c r="D11" s="511"/>
      <c r="E11" s="510"/>
      <c r="F11" s="510"/>
    </row>
    <row r="12" spans="1:9">
      <c r="A12" s="511"/>
      <c r="B12" s="511"/>
      <c r="C12" s="511"/>
      <c r="D12" s="511"/>
      <c r="E12" s="510"/>
      <c r="F12" s="510"/>
    </row>
    <row r="13" spans="1:9">
      <c r="A13" s="511"/>
      <c r="B13" s="511"/>
      <c r="C13" s="511"/>
      <c r="D13" s="511"/>
      <c r="E13" s="510"/>
      <c r="F13" s="510"/>
    </row>
    <row r="14" spans="1:9">
      <c r="A14" s="511"/>
      <c r="B14" s="511"/>
      <c r="C14" s="511"/>
      <c r="D14" s="511"/>
      <c r="E14" s="510"/>
      <c r="F14" s="510"/>
    </row>
    <row r="15" spans="1:9">
      <c r="E15" s="513"/>
      <c r="F15" s="513"/>
    </row>
    <row r="16" spans="1:9">
      <c r="E16" s="513"/>
      <c r="F16" s="513"/>
    </row>
    <row r="17" spans="5:6">
      <c r="E17" s="513"/>
      <c r="F17" s="513"/>
    </row>
    <row r="18" spans="5:6">
      <c r="E18" s="513"/>
      <c r="F18" s="513"/>
    </row>
    <row r="19" spans="5:6">
      <c r="E19" s="513"/>
      <c r="F19" s="513"/>
    </row>
    <row r="20" spans="5:6">
      <c r="E20" s="513"/>
      <c r="F20" s="513"/>
    </row>
    <row r="21" spans="5:6">
      <c r="E21" s="513"/>
      <c r="F21" s="513"/>
    </row>
    <row r="22" spans="5:6">
      <c r="E22" s="513"/>
      <c r="F22" s="513"/>
    </row>
    <row r="23" spans="5:6">
      <c r="E23" s="513"/>
      <c r="F23" s="513"/>
    </row>
    <row r="24" spans="5:6">
      <c r="E24" s="513"/>
      <c r="F24" s="513"/>
    </row>
    <row r="25" spans="5:6">
      <c r="E25" s="513"/>
      <c r="F25" s="513"/>
    </row>
    <row r="26" spans="5:6">
      <c r="E26" s="513"/>
      <c r="F26" s="513"/>
    </row>
    <row r="27" spans="5:6">
      <c r="E27" s="513"/>
      <c r="F27" s="513"/>
    </row>
    <row r="28" spans="5:6">
      <c r="E28" s="513"/>
      <c r="F28" s="513"/>
    </row>
    <row r="29" spans="5:6">
      <c r="E29" s="513"/>
      <c r="F29" s="513"/>
    </row>
    <row r="30" spans="5:6">
      <c r="E30" s="513"/>
      <c r="F30" s="513"/>
    </row>
    <row r="31" spans="5:6">
      <c r="E31" s="513"/>
      <c r="F31" s="513"/>
    </row>
    <row r="32" spans="5:6">
      <c r="E32" s="513"/>
      <c r="F32" s="513"/>
    </row>
    <row r="33" spans="5:6">
      <c r="E33" s="513"/>
      <c r="F33" s="513"/>
    </row>
    <row r="34" spans="5:6">
      <c r="E34" s="513"/>
      <c r="F34" s="513"/>
    </row>
    <row r="35" spans="5:6">
      <c r="E35" s="513"/>
      <c r="F35" s="513"/>
    </row>
    <row r="36" spans="5:6">
      <c r="E36" s="513"/>
      <c r="F36" s="513"/>
    </row>
    <row r="37" spans="5:6">
      <c r="E37" s="513"/>
      <c r="F37" s="513"/>
    </row>
    <row r="38" spans="5:6">
      <c r="E38" s="513"/>
      <c r="F38" s="513"/>
    </row>
    <row r="39" spans="5:6">
      <c r="E39" s="513"/>
      <c r="F39" s="513"/>
    </row>
    <row r="40" spans="5:6">
      <c r="E40" s="513"/>
      <c r="F40" s="513"/>
    </row>
    <row r="41" spans="5:6">
      <c r="E41" s="513"/>
      <c r="F41" s="513"/>
    </row>
    <row r="42" spans="5:6">
      <c r="E42" s="513"/>
      <c r="F42" s="513"/>
    </row>
    <row r="43" spans="5:6">
      <c r="E43" s="513"/>
      <c r="F43" s="513"/>
    </row>
    <row r="44" spans="5:6">
      <c r="E44" s="513"/>
      <c r="F44" s="513"/>
    </row>
    <row r="45" spans="5:6">
      <c r="E45" s="513"/>
      <c r="F45" s="513"/>
    </row>
    <row r="46" spans="5:6">
      <c r="E46" s="513"/>
      <c r="F46" s="513"/>
    </row>
    <row r="47" spans="5:6">
      <c r="E47" s="513"/>
      <c r="F47" s="513"/>
    </row>
    <row r="48" spans="5:6">
      <c r="E48" s="513"/>
      <c r="F48" s="513"/>
    </row>
    <row r="49" spans="5:6">
      <c r="E49" s="513"/>
      <c r="F49" s="513"/>
    </row>
    <row r="50" spans="5:6">
      <c r="E50" s="513"/>
      <c r="F50" s="513"/>
    </row>
    <row r="51" spans="5:6">
      <c r="E51" s="513"/>
      <c r="F51" s="513"/>
    </row>
    <row r="52" spans="5:6">
      <c r="E52" s="513"/>
      <c r="F52" s="513"/>
    </row>
    <row r="53" spans="5:6">
      <c r="E53" s="513"/>
      <c r="F53" s="513"/>
    </row>
    <row r="54" spans="5:6">
      <c r="E54" s="513"/>
      <c r="F54" s="513"/>
    </row>
    <row r="55" spans="5:6">
      <c r="E55" s="513"/>
      <c r="F55" s="513"/>
    </row>
    <row r="56" spans="5:6">
      <c r="E56" s="513"/>
      <c r="F56" s="513"/>
    </row>
    <row r="57" spans="5:6">
      <c r="E57" s="513"/>
      <c r="F57" s="513"/>
    </row>
    <row r="58" spans="5:6">
      <c r="E58" s="513"/>
      <c r="F58" s="513"/>
    </row>
    <row r="59" spans="5:6">
      <c r="E59" s="513"/>
      <c r="F59" s="513"/>
    </row>
    <row r="60" spans="5:6">
      <c r="E60" s="513"/>
      <c r="F60" s="513"/>
    </row>
    <row r="61" spans="5:6">
      <c r="E61" s="513"/>
      <c r="F61" s="513"/>
    </row>
    <row r="62" spans="5:6">
      <c r="E62" s="513"/>
      <c r="F62" s="513"/>
    </row>
    <row r="63" spans="5:6">
      <c r="E63" s="513"/>
      <c r="F63" s="513"/>
    </row>
    <row r="64" spans="5:6">
      <c r="E64" s="513"/>
      <c r="F64" s="513"/>
    </row>
    <row r="65" spans="5:6">
      <c r="E65" s="513"/>
      <c r="F65" s="513"/>
    </row>
    <row r="66" spans="5:6">
      <c r="E66" s="513"/>
      <c r="F66" s="513"/>
    </row>
    <row r="67" spans="5:6">
      <c r="E67" s="513"/>
      <c r="F67" s="513"/>
    </row>
    <row r="68" spans="5:6">
      <c r="E68" s="513"/>
      <c r="F68" s="513"/>
    </row>
    <row r="69" spans="5:6">
      <c r="E69" s="513"/>
      <c r="F69" s="513"/>
    </row>
    <row r="70" spans="5:6">
      <c r="E70" s="513"/>
      <c r="F70" s="513"/>
    </row>
    <row r="71" spans="5:6">
      <c r="E71" s="513"/>
      <c r="F71" s="513"/>
    </row>
    <row r="72" spans="5:6">
      <c r="E72" s="513"/>
      <c r="F72" s="513"/>
    </row>
    <row r="73" spans="5:6">
      <c r="E73" s="513"/>
      <c r="F73" s="513"/>
    </row>
    <row r="74" spans="5:6">
      <c r="E74" s="513"/>
      <c r="F74" s="513"/>
    </row>
    <row r="75" spans="5:6">
      <c r="E75" s="513"/>
      <c r="F75" s="513"/>
    </row>
    <row r="76" spans="5:6">
      <c r="E76" s="513"/>
      <c r="F76" s="513"/>
    </row>
    <row r="77" spans="5:6">
      <c r="E77" s="513"/>
      <c r="F77" s="513"/>
    </row>
    <row r="78" spans="5:6">
      <c r="E78" s="513"/>
      <c r="F78" s="513"/>
    </row>
    <row r="79" spans="5:6">
      <c r="E79" s="513"/>
      <c r="F79" s="513"/>
    </row>
    <row r="80" spans="5:6">
      <c r="E80" s="513"/>
      <c r="F80" s="513"/>
    </row>
    <row r="81" spans="5:6">
      <c r="E81" s="513"/>
      <c r="F81" s="513"/>
    </row>
    <row r="82" spans="5:6">
      <c r="E82" s="513"/>
      <c r="F82" s="513"/>
    </row>
    <row r="83" spans="5:6">
      <c r="E83" s="513"/>
      <c r="F83" s="513"/>
    </row>
    <row r="84" spans="5:6">
      <c r="E84" s="513"/>
      <c r="F84" s="513"/>
    </row>
    <row r="85" spans="5:6">
      <c r="E85" s="513"/>
      <c r="F85" s="513"/>
    </row>
    <row r="86" spans="5:6">
      <c r="E86" s="513"/>
      <c r="F86" s="513"/>
    </row>
    <row r="87" spans="5:6">
      <c r="E87" s="513"/>
      <c r="F87" s="513"/>
    </row>
    <row r="88" spans="5:6">
      <c r="E88" s="513"/>
      <c r="F88" s="513"/>
    </row>
    <row r="89" spans="5:6">
      <c r="E89" s="513"/>
      <c r="F89" s="513"/>
    </row>
    <row r="90" spans="5:6">
      <c r="E90" s="513"/>
      <c r="F90" s="513"/>
    </row>
    <row r="91" spans="5:6">
      <c r="E91" s="513"/>
      <c r="F91" s="513"/>
    </row>
    <row r="92" spans="5:6">
      <c r="E92" s="513"/>
      <c r="F92" s="513"/>
    </row>
    <row r="93" spans="5:6">
      <c r="E93" s="513"/>
      <c r="F93" s="513"/>
    </row>
    <row r="94" spans="5:6">
      <c r="E94" s="513"/>
      <c r="F94" s="513"/>
    </row>
    <row r="95" spans="5:6">
      <c r="E95" s="513"/>
      <c r="F95" s="513"/>
    </row>
    <row r="96" spans="5:6">
      <c r="E96" s="513"/>
      <c r="F96" s="513"/>
    </row>
    <row r="97" spans="5:6">
      <c r="E97" s="513"/>
      <c r="F97" s="513"/>
    </row>
    <row r="98" spans="5:6">
      <c r="E98" s="513"/>
      <c r="F98" s="513"/>
    </row>
    <row r="99" spans="5:6">
      <c r="E99" s="513"/>
      <c r="F99" s="513"/>
    </row>
    <row r="100" spans="5:6">
      <c r="E100" s="513"/>
      <c r="F100" s="513"/>
    </row>
    <row r="101" spans="5:6">
      <c r="E101" s="513"/>
      <c r="F101" s="513"/>
    </row>
    <row r="102" spans="5:6">
      <c r="E102" s="513"/>
      <c r="F102" s="513"/>
    </row>
    <row r="103" spans="5:6">
      <c r="E103" s="513"/>
      <c r="F103" s="513"/>
    </row>
    <row r="104" spans="5:6">
      <c r="E104" s="513"/>
      <c r="F104" s="513"/>
    </row>
    <row r="105" spans="5:6">
      <c r="E105" s="513"/>
      <c r="F105" s="513"/>
    </row>
    <row r="106" spans="5:6">
      <c r="E106" s="513"/>
      <c r="F106" s="513"/>
    </row>
    <row r="107" spans="5:6">
      <c r="E107" s="513"/>
      <c r="F107" s="513"/>
    </row>
    <row r="108" spans="5:6">
      <c r="E108" s="513"/>
      <c r="F108" s="513"/>
    </row>
    <row r="109" spans="5:6">
      <c r="E109" s="513"/>
      <c r="F109" s="513"/>
    </row>
    <row r="110" spans="5:6">
      <c r="E110" s="513"/>
      <c r="F110" s="513"/>
    </row>
    <row r="111" spans="5:6">
      <c r="E111" s="513"/>
      <c r="F111" s="513"/>
    </row>
    <row r="112" spans="5:6">
      <c r="E112" s="513"/>
      <c r="F112" s="513"/>
    </row>
    <row r="113" spans="5:6">
      <c r="E113" s="513"/>
      <c r="F113" s="513"/>
    </row>
    <row r="114" spans="5:6">
      <c r="E114" s="513"/>
      <c r="F114" s="513"/>
    </row>
    <row r="115" spans="5:6">
      <c r="E115" s="513"/>
      <c r="F115" s="513"/>
    </row>
    <row r="116" spans="5:6">
      <c r="E116" s="513"/>
      <c r="F116" s="513"/>
    </row>
    <row r="117" spans="5:6">
      <c r="E117" s="513"/>
      <c r="F117" s="513"/>
    </row>
    <row r="118" spans="5:6">
      <c r="E118" s="513"/>
      <c r="F118" s="513"/>
    </row>
    <row r="119" spans="5:6">
      <c r="E119" s="513"/>
      <c r="F119" s="513"/>
    </row>
    <row r="120" spans="5:6">
      <c r="E120" s="513"/>
      <c r="F120" s="513"/>
    </row>
    <row r="121" spans="5:6">
      <c r="E121" s="513"/>
      <c r="F121" s="513"/>
    </row>
    <row r="122" spans="5:6">
      <c r="E122" s="513"/>
      <c r="F122" s="513"/>
    </row>
    <row r="123" spans="5:6">
      <c r="E123" s="513"/>
      <c r="F123" s="513"/>
    </row>
    <row r="124" spans="5:6">
      <c r="E124" s="513"/>
      <c r="F124" s="513"/>
    </row>
    <row r="125" spans="5:6">
      <c r="E125" s="513"/>
      <c r="F125" s="513"/>
    </row>
    <row r="126" spans="5:6">
      <c r="E126" s="513"/>
      <c r="F126" s="513"/>
    </row>
    <row r="127" spans="5:6">
      <c r="E127" s="513"/>
      <c r="F127" s="513"/>
    </row>
    <row r="128" spans="5:6">
      <c r="E128" s="513"/>
      <c r="F128" s="513"/>
    </row>
    <row r="129" spans="5:6">
      <c r="E129" s="513"/>
      <c r="F129" s="513"/>
    </row>
    <row r="130" spans="5:6">
      <c r="E130" s="513"/>
      <c r="F130" s="513"/>
    </row>
    <row r="131" spans="5:6">
      <c r="E131" s="513"/>
      <c r="F131" s="513"/>
    </row>
    <row r="132" spans="5:6">
      <c r="E132" s="513"/>
      <c r="F132" s="513"/>
    </row>
    <row r="133" spans="5:6">
      <c r="E133" s="513"/>
      <c r="F133" s="513"/>
    </row>
    <row r="134" spans="5:6">
      <c r="E134" s="513"/>
      <c r="F134" s="513"/>
    </row>
    <row r="135" spans="5:6">
      <c r="E135" s="513"/>
      <c r="F135" s="513"/>
    </row>
    <row r="136" spans="5:6">
      <c r="E136" s="513"/>
      <c r="F136" s="513"/>
    </row>
    <row r="137" spans="5:6">
      <c r="E137" s="513"/>
      <c r="F137" s="513"/>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9"/>
  <sheetViews>
    <sheetView showGridLines="0" view="pageBreakPreview" zoomScale="160" zoomScaleNormal="100" zoomScaleSheetLayoutView="160" zoomScalePageLayoutView="130" workbookViewId="0">
      <selection activeCell="R31" sqref="R31"/>
    </sheetView>
  </sheetViews>
  <sheetFormatPr defaultRowHeight="9"/>
  <cols>
    <col min="1" max="1" width="16.1640625" style="503" customWidth="1"/>
    <col min="2" max="2" width="19.6640625" style="503" customWidth="1"/>
    <col min="3" max="3" width="12.16406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83.25" customHeight="1">
      <c r="A2" s="518" t="s">
        <v>478</v>
      </c>
      <c r="B2" s="518" t="s">
        <v>704</v>
      </c>
      <c r="C2" s="519">
        <v>43262.706944444442</v>
      </c>
      <c r="D2" s="665" t="s">
        <v>706</v>
      </c>
      <c r="E2" s="520">
        <v>1.9</v>
      </c>
      <c r="F2" s="520"/>
      <c r="G2" s="468"/>
      <c r="H2" s="468"/>
      <c r="I2" s="507"/>
    </row>
    <row r="3" spans="1:9" s="503" customFormat="1" ht="104.25" customHeight="1">
      <c r="A3" s="518" t="s">
        <v>475</v>
      </c>
      <c r="B3" s="518" t="s">
        <v>707</v>
      </c>
      <c r="C3" s="519">
        <v>43263.911805555559</v>
      </c>
      <c r="D3" s="665" t="s">
        <v>708</v>
      </c>
      <c r="E3" s="520">
        <v>2.5499999999999998</v>
      </c>
      <c r="F3" s="520"/>
      <c r="G3" s="468"/>
      <c r="H3" s="468"/>
      <c r="I3" s="507"/>
    </row>
    <row r="4" spans="1:9" s="503" customFormat="1" ht="94.5" customHeight="1">
      <c r="A4" s="518" t="s">
        <v>570</v>
      </c>
      <c r="B4" s="518" t="s">
        <v>571</v>
      </c>
      <c r="C4" s="519">
        <v>43264.345138888886</v>
      </c>
      <c r="D4" s="665" t="s">
        <v>709</v>
      </c>
      <c r="E4" s="520">
        <v>17.12</v>
      </c>
      <c r="F4" s="520"/>
      <c r="G4" s="468"/>
      <c r="H4" s="468"/>
      <c r="I4" s="507"/>
    </row>
    <row r="5" spans="1:9" s="503" customFormat="1" ht="140.25" customHeight="1">
      <c r="A5" s="518" t="s">
        <v>475</v>
      </c>
      <c r="B5" s="518" t="s">
        <v>710</v>
      </c>
      <c r="C5" s="519">
        <v>43265.070833333331</v>
      </c>
      <c r="D5" s="665" t="s">
        <v>711</v>
      </c>
      <c r="E5" s="520">
        <v>12.4</v>
      </c>
      <c r="F5" s="520"/>
      <c r="G5" s="468"/>
      <c r="H5" s="468"/>
      <c r="I5" s="507"/>
    </row>
    <row r="6" spans="1:9" s="503" customFormat="1" ht="78" customHeight="1">
      <c r="A6" s="518" t="s">
        <v>534</v>
      </c>
      <c r="B6" s="518" t="s">
        <v>712</v>
      </c>
      <c r="C6" s="519">
        <v>43266.256944444445</v>
      </c>
      <c r="D6" s="665" t="s">
        <v>713</v>
      </c>
      <c r="E6" s="520">
        <v>76.17</v>
      </c>
      <c r="F6" s="520"/>
      <c r="G6" s="468"/>
      <c r="H6" s="468"/>
      <c r="I6" s="509"/>
    </row>
    <row r="7" spans="1:9" s="503" customFormat="1" ht="88.5" customHeight="1">
      <c r="A7" s="518" t="s">
        <v>570</v>
      </c>
      <c r="B7" s="518" t="s">
        <v>714</v>
      </c>
      <c r="C7" s="519">
        <v>43267.998611111114</v>
      </c>
      <c r="D7" s="665" t="s">
        <v>715</v>
      </c>
      <c r="E7" s="520">
        <v>14.35</v>
      </c>
      <c r="F7" s="520"/>
      <c r="G7" s="468"/>
      <c r="H7" s="468"/>
      <c r="I7" s="507"/>
    </row>
    <row r="8" spans="1:9" ht="126.75" customHeight="1">
      <c r="A8" s="518" t="s">
        <v>477</v>
      </c>
      <c r="B8" s="518" t="s">
        <v>479</v>
      </c>
      <c r="C8" s="519">
        <v>43268.748611111114</v>
      </c>
      <c r="D8" s="665" t="s">
        <v>717</v>
      </c>
      <c r="E8" s="520">
        <v>7.3</v>
      </c>
      <c r="F8" s="520"/>
      <c r="G8" s="511"/>
      <c r="H8" s="511"/>
    </row>
    <row r="9" spans="1:9">
      <c r="E9" s="513"/>
      <c r="F9" s="513"/>
    </row>
    <row r="10" spans="1:9">
      <c r="E10" s="513"/>
      <c r="F10" s="513"/>
    </row>
    <row r="11" spans="1:9">
      <c r="E11" s="513"/>
      <c r="F11" s="513"/>
    </row>
    <row r="12" spans="1:9">
      <c r="E12" s="513"/>
      <c r="F12" s="513"/>
    </row>
    <row r="13" spans="1:9">
      <c r="E13" s="513"/>
      <c r="F13" s="513"/>
    </row>
    <row r="14" spans="1:9">
      <c r="E14" s="513"/>
      <c r="F14" s="513"/>
    </row>
    <row r="15" spans="1:9">
      <c r="E15" s="513"/>
      <c r="F15" s="513"/>
    </row>
    <row r="16" spans="1:9">
      <c r="E16" s="513"/>
      <c r="F16" s="513"/>
    </row>
    <row r="17" spans="5:6">
      <c r="E17" s="513"/>
      <c r="F17" s="513"/>
    </row>
    <row r="18" spans="5:6">
      <c r="E18" s="513"/>
      <c r="F18" s="513"/>
    </row>
    <row r="19" spans="5:6">
      <c r="E19" s="513"/>
      <c r="F19" s="513"/>
    </row>
    <row r="20" spans="5:6">
      <c r="E20" s="513"/>
      <c r="F20" s="513"/>
    </row>
    <row r="21" spans="5:6">
      <c r="E21" s="513"/>
      <c r="F21" s="513"/>
    </row>
    <row r="22" spans="5:6">
      <c r="E22" s="513"/>
      <c r="F22" s="513"/>
    </row>
    <row r="23" spans="5:6">
      <c r="E23" s="513"/>
      <c r="F23" s="513"/>
    </row>
    <row r="24" spans="5:6">
      <c r="E24" s="513"/>
      <c r="F24" s="513"/>
    </row>
    <row r="25" spans="5:6">
      <c r="E25" s="513"/>
      <c r="F25" s="513"/>
    </row>
    <row r="26" spans="5:6">
      <c r="E26" s="513"/>
      <c r="F26" s="513"/>
    </row>
    <row r="27" spans="5:6">
      <c r="E27" s="513"/>
      <c r="F27" s="513"/>
    </row>
    <row r="28" spans="5:6">
      <c r="E28" s="513"/>
      <c r="F28" s="513"/>
    </row>
    <row r="29" spans="5:6">
      <c r="E29" s="513"/>
      <c r="F29" s="513"/>
    </row>
    <row r="30" spans="5:6">
      <c r="E30" s="513"/>
      <c r="F30" s="513"/>
    </row>
    <row r="31" spans="5:6">
      <c r="E31" s="513"/>
      <c r="F31" s="513"/>
    </row>
    <row r="32" spans="5:6">
      <c r="E32" s="513"/>
      <c r="F32" s="513"/>
    </row>
    <row r="33" spans="5:6">
      <c r="E33" s="513"/>
      <c r="F33" s="513"/>
    </row>
    <row r="34" spans="5:6">
      <c r="E34" s="513"/>
      <c r="F34" s="513"/>
    </row>
    <row r="35" spans="5:6">
      <c r="E35" s="513"/>
      <c r="F35" s="513"/>
    </row>
    <row r="36" spans="5:6">
      <c r="E36" s="513"/>
      <c r="F36" s="513"/>
    </row>
    <row r="37" spans="5:6">
      <c r="E37" s="513"/>
      <c r="F37" s="513"/>
    </row>
    <row r="38" spans="5:6">
      <c r="E38" s="513"/>
      <c r="F38" s="513"/>
    </row>
    <row r="39" spans="5:6">
      <c r="E39" s="513"/>
      <c r="F39" s="513"/>
    </row>
    <row r="40" spans="5:6">
      <c r="E40" s="513"/>
      <c r="F40" s="513"/>
    </row>
    <row r="41" spans="5:6">
      <c r="E41" s="513"/>
      <c r="F41" s="513"/>
    </row>
    <row r="42" spans="5:6">
      <c r="E42" s="513"/>
      <c r="F42" s="513"/>
    </row>
    <row r="43" spans="5:6">
      <c r="E43" s="513"/>
      <c r="F43" s="513"/>
    </row>
    <row r="44" spans="5:6">
      <c r="E44" s="513"/>
      <c r="F44" s="513"/>
    </row>
    <row r="45" spans="5:6">
      <c r="E45" s="513"/>
      <c r="F45" s="513"/>
    </row>
    <row r="46" spans="5:6">
      <c r="E46" s="513"/>
      <c r="F46" s="513"/>
    </row>
    <row r="47" spans="5:6">
      <c r="E47" s="513"/>
      <c r="F47" s="513"/>
    </row>
    <row r="48" spans="5:6">
      <c r="E48" s="513"/>
      <c r="F48" s="513"/>
    </row>
    <row r="49" spans="5:6">
      <c r="E49" s="513"/>
      <c r="F49" s="513"/>
    </row>
    <row r="50" spans="5:6">
      <c r="E50" s="513"/>
      <c r="F50" s="513"/>
    </row>
    <row r="51" spans="5:6">
      <c r="E51" s="513"/>
      <c r="F51" s="513"/>
    </row>
    <row r="52" spans="5:6">
      <c r="E52" s="513"/>
      <c r="F52" s="513"/>
    </row>
    <row r="53" spans="5:6">
      <c r="E53" s="513"/>
      <c r="F53" s="513"/>
    </row>
    <row r="54" spans="5:6">
      <c r="E54" s="513"/>
      <c r="F54" s="513"/>
    </row>
    <row r="55" spans="5:6">
      <c r="E55" s="513"/>
      <c r="F55" s="513"/>
    </row>
    <row r="56" spans="5:6">
      <c r="E56" s="513"/>
      <c r="F56" s="513"/>
    </row>
    <row r="57" spans="5:6">
      <c r="E57" s="513"/>
      <c r="F57" s="513"/>
    </row>
    <row r="58" spans="5:6">
      <c r="E58" s="513"/>
      <c r="F58" s="513"/>
    </row>
    <row r="59" spans="5:6">
      <c r="E59" s="513"/>
      <c r="F59" s="513"/>
    </row>
    <row r="60" spans="5:6">
      <c r="E60" s="513"/>
      <c r="F60" s="513"/>
    </row>
    <row r="61" spans="5:6">
      <c r="E61" s="513"/>
      <c r="F61" s="513"/>
    </row>
    <row r="62" spans="5:6">
      <c r="E62" s="513"/>
      <c r="F62" s="513"/>
    </row>
    <row r="63" spans="5:6">
      <c r="E63" s="513"/>
      <c r="F63" s="513"/>
    </row>
    <row r="64" spans="5:6">
      <c r="E64" s="513"/>
      <c r="F64" s="513"/>
    </row>
    <row r="65" spans="5:6">
      <c r="E65" s="513"/>
      <c r="F65" s="513"/>
    </row>
    <row r="66" spans="5:6">
      <c r="E66" s="513"/>
      <c r="F66" s="513"/>
    </row>
    <row r="67" spans="5:6">
      <c r="E67" s="513"/>
      <c r="F67" s="513"/>
    </row>
    <row r="68" spans="5:6">
      <c r="E68" s="513"/>
      <c r="F68" s="513"/>
    </row>
    <row r="69" spans="5:6">
      <c r="E69" s="513"/>
      <c r="F69" s="513"/>
    </row>
    <row r="70" spans="5:6">
      <c r="E70" s="513"/>
      <c r="F70" s="513"/>
    </row>
    <row r="71" spans="5:6">
      <c r="E71" s="513"/>
      <c r="F71" s="513"/>
    </row>
    <row r="72" spans="5:6">
      <c r="E72" s="513"/>
      <c r="F72" s="513"/>
    </row>
    <row r="73" spans="5:6">
      <c r="E73" s="513"/>
      <c r="F73" s="513"/>
    </row>
    <row r="74" spans="5:6">
      <c r="E74" s="513"/>
      <c r="F74" s="513"/>
    </row>
    <row r="75" spans="5:6">
      <c r="E75" s="513"/>
      <c r="F75" s="513"/>
    </row>
    <row r="76" spans="5:6">
      <c r="E76" s="513"/>
      <c r="F76" s="513"/>
    </row>
    <row r="77" spans="5:6">
      <c r="E77" s="513"/>
      <c r="F77" s="513"/>
    </row>
    <row r="78" spans="5:6">
      <c r="E78" s="513"/>
      <c r="F78" s="513"/>
    </row>
    <row r="79" spans="5:6">
      <c r="E79" s="513"/>
      <c r="F79" s="513"/>
    </row>
    <row r="80" spans="5:6">
      <c r="E80" s="513"/>
      <c r="F80" s="513"/>
    </row>
    <row r="81" spans="5:6">
      <c r="E81" s="513"/>
      <c r="F81" s="513"/>
    </row>
    <row r="82" spans="5:6">
      <c r="E82" s="513"/>
      <c r="F82" s="513"/>
    </row>
    <row r="83" spans="5:6">
      <c r="E83" s="513"/>
      <c r="F83" s="513"/>
    </row>
    <row r="84" spans="5:6">
      <c r="E84" s="513"/>
      <c r="F84" s="513"/>
    </row>
    <row r="85" spans="5:6">
      <c r="E85" s="513"/>
      <c r="F85" s="513"/>
    </row>
    <row r="86" spans="5:6">
      <c r="E86" s="513"/>
      <c r="F86" s="513"/>
    </row>
    <row r="87" spans="5:6">
      <c r="E87" s="513"/>
      <c r="F87" s="513"/>
    </row>
    <row r="88" spans="5:6">
      <c r="E88" s="513"/>
      <c r="F88" s="513"/>
    </row>
    <row r="89" spans="5:6">
      <c r="E89" s="513"/>
      <c r="F89" s="513"/>
    </row>
    <row r="90" spans="5:6">
      <c r="E90" s="513"/>
      <c r="F90" s="513"/>
    </row>
    <row r="91" spans="5:6">
      <c r="E91" s="513"/>
      <c r="F91" s="513"/>
    </row>
    <row r="92" spans="5:6">
      <c r="E92" s="513"/>
      <c r="F92" s="513"/>
    </row>
    <row r="93" spans="5:6">
      <c r="E93" s="513"/>
      <c r="F93" s="513"/>
    </row>
    <row r="94" spans="5:6">
      <c r="E94" s="513"/>
      <c r="F94" s="513"/>
    </row>
    <row r="95" spans="5:6">
      <c r="E95" s="513"/>
      <c r="F95" s="513"/>
    </row>
    <row r="96" spans="5:6">
      <c r="E96" s="513"/>
      <c r="F96" s="513"/>
    </row>
    <row r="97" spans="5:6">
      <c r="E97" s="513"/>
      <c r="F97" s="513"/>
    </row>
    <row r="98" spans="5:6">
      <c r="E98" s="513"/>
      <c r="F98" s="513"/>
    </row>
    <row r="99" spans="5:6">
      <c r="E99" s="513"/>
      <c r="F99" s="513"/>
    </row>
    <row r="100" spans="5:6">
      <c r="E100" s="513"/>
      <c r="F100" s="513"/>
    </row>
    <row r="101" spans="5:6">
      <c r="E101" s="513"/>
      <c r="F101" s="513"/>
    </row>
    <row r="102" spans="5:6">
      <c r="E102" s="513"/>
      <c r="F102" s="513"/>
    </row>
    <row r="103" spans="5:6">
      <c r="E103" s="513"/>
      <c r="F103" s="513"/>
    </row>
    <row r="104" spans="5:6">
      <c r="E104" s="513"/>
      <c r="F104" s="513"/>
    </row>
    <row r="105" spans="5:6">
      <c r="E105" s="513"/>
      <c r="F105" s="513"/>
    </row>
    <row r="106" spans="5:6">
      <c r="E106" s="513"/>
      <c r="F106" s="513"/>
    </row>
    <row r="107" spans="5:6">
      <c r="E107" s="513"/>
      <c r="F107" s="513"/>
    </row>
    <row r="108" spans="5:6">
      <c r="E108" s="513"/>
      <c r="F108" s="513"/>
    </row>
    <row r="109" spans="5:6">
      <c r="E109" s="513"/>
      <c r="F109" s="513"/>
    </row>
    <row r="110" spans="5:6">
      <c r="E110" s="513"/>
      <c r="F110" s="513"/>
    </row>
    <row r="111" spans="5:6">
      <c r="E111" s="513"/>
      <c r="F111" s="513"/>
    </row>
    <row r="112" spans="5:6">
      <c r="E112" s="513"/>
      <c r="F112" s="513"/>
    </row>
    <row r="113" spans="5:6">
      <c r="E113" s="513"/>
      <c r="F113" s="513"/>
    </row>
    <row r="114" spans="5:6">
      <c r="E114" s="513"/>
      <c r="F114" s="513"/>
    </row>
    <row r="115" spans="5:6">
      <c r="E115" s="513"/>
      <c r="F115" s="513"/>
    </row>
    <row r="116" spans="5:6">
      <c r="E116" s="513"/>
      <c r="F116" s="513"/>
    </row>
    <row r="117" spans="5:6">
      <c r="E117" s="513"/>
      <c r="F117" s="513"/>
    </row>
    <row r="118" spans="5:6">
      <c r="E118" s="513"/>
      <c r="F118" s="513"/>
    </row>
    <row r="119" spans="5:6">
      <c r="E119" s="513"/>
      <c r="F119" s="513"/>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R31" sqref="R31"/>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525"/>
    <col min="15" max="16" width="10.1640625" style="571" bestFit="1" customWidth="1"/>
    <col min="17" max="17" width="11.5" style="571" customWidth="1"/>
    <col min="18" max="23" width="9.33203125" style="571"/>
    <col min="24" max="16384" width="9.33203125" style="61"/>
  </cols>
  <sheetData>
    <row r="1" spans="1:20" ht="27.75" customHeight="1">
      <c r="A1" s="862" t="s">
        <v>22</v>
      </c>
      <c r="B1" s="862"/>
      <c r="C1" s="862"/>
      <c r="D1" s="862"/>
      <c r="E1" s="862"/>
      <c r="F1" s="862"/>
      <c r="G1" s="862"/>
      <c r="H1" s="862"/>
      <c r="I1" s="862"/>
      <c r="J1" s="862"/>
      <c r="K1" s="862"/>
      <c r="L1" s="862"/>
      <c r="M1" s="862"/>
      <c r="N1" s="524"/>
      <c r="O1" s="570"/>
      <c r="P1" s="570"/>
      <c r="Q1" s="570"/>
    </row>
    <row r="2" spans="1:20" ht="11.25" customHeight="1">
      <c r="A2" s="52"/>
      <c r="B2" s="53"/>
      <c r="C2" s="82"/>
      <c r="D2" s="82"/>
      <c r="E2" s="82"/>
      <c r="F2" s="82"/>
      <c r="G2" s="82"/>
      <c r="H2" s="82"/>
      <c r="I2" s="82"/>
      <c r="J2" s="82"/>
      <c r="K2" s="53"/>
      <c r="L2" s="53"/>
      <c r="M2" s="53"/>
      <c r="N2" s="526"/>
      <c r="O2" s="572"/>
      <c r="P2" s="572"/>
      <c r="Q2" s="572"/>
    </row>
    <row r="3" spans="1:20" ht="21.75" customHeight="1">
      <c r="A3" s="53"/>
      <c r="B3" s="54"/>
      <c r="C3" s="869" t="str">
        <f>+UPPER(Q4)&amp;" "&amp;Q5</f>
        <v>JUNIO 2018</v>
      </c>
      <c r="D3" s="862"/>
      <c r="E3" s="862"/>
      <c r="F3" s="862"/>
      <c r="G3" s="862"/>
      <c r="H3" s="862"/>
      <c r="I3" s="862"/>
      <c r="J3" s="862"/>
      <c r="K3" s="53"/>
      <c r="L3" s="53"/>
      <c r="M3" s="53"/>
      <c r="N3" s="526"/>
      <c r="O3" s="572"/>
      <c r="P3" s="572"/>
      <c r="Q3" s="572"/>
      <c r="R3" s="573"/>
      <c r="S3" s="573"/>
      <c r="T3" s="573"/>
    </row>
    <row r="4" spans="1:20" ht="11.25" customHeight="1">
      <c r="A4" s="51"/>
      <c r="B4" s="54"/>
      <c r="C4" s="51"/>
      <c r="D4" s="51"/>
      <c r="E4" s="51"/>
      <c r="F4" s="51"/>
      <c r="G4" s="51"/>
      <c r="H4" s="51"/>
      <c r="I4" s="51"/>
      <c r="J4" s="51"/>
      <c r="K4" s="51"/>
      <c r="L4" s="51"/>
      <c r="M4" s="51"/>
      <c r="N4" s="527"/>
      <c r="O4" s="574"/>
      <c r="P4" s="570" t="s">
        <v>228</v>
      </c>
      <c r="Q4" s="575" t="s">
        <v>630</v>
      </c>
      <c r="R4" s="573"/>
      <c r="S4" s="573"/>
      <c r="T4" s="573"/>
    </row>
    <row r="5" spans="1:20" ht="11.25" customHeight="1">
      <c r="A5" s="62"/>
      <c r="B5" s="63"/>
      <c r="C5" s="64"/>
      <c r="D5" s="64"/>
      <c r="E5" s="64"/>
      <c r="F5" s="64"/>
      <c r="G5" s="64"/>
      <c r="H5" s="64"/>
      <c r="I5" s="64"/>
      <c r="J5" s="64"/>
      <c r="K5" s="64"/>
      <c r="L5" s="64"/>
      <c r="M5" s="51"/>
      <c r="N5" s="527"/>
      <c r="O5" s="574"/>
      <c r="P5" s="570" t="s">
        <v>229</v>
      </c>
      <c r="Q5" s="574">
        <v>2018</v>
      </c>
      <c r="R5" s="573"/>
      <c r="S5" s="573"/>
      <c r="T5" s="573"/>
    </row>
    <row r="6" spans="1:20" ht="17.25" customHeight="1">
      <c r="A6" s="77" t="s">
        <v>517</v>
      </c>
      <c r="B6" s="51"/>
      <c r="C6" s="51"/>
      <c r="D6" s="51"/>
      <c r="E6" s="51"/>
      <c r="F6" s="51"/>
      <c r="G6" s="51"/>
      <c r="H6" s="51"/>
      <c r="I6" s="51"/>
      <c r="J6" s="51"/>
      <c r="K6" s="51"/>
      <c r="L6" s="51"/>
      <c r="M6" s="51"/>
      <c r="N6" s="524"/>
      <c r="O6" s="570"/>
      <c r="P6" s="570"/>
      <c r="Q6" s="584">
        <v>43252</v>
      </c>
      <c r="R6" s="573"/>
      <c r="S6" s="573"/>
      <c r="T6" s="573"/>
    </row>
    <row r="7" spans="1:20" ht="11.25" customHeight="1">
      <c r="A7" s="51"/>
      <c r="B7" s="51"/>
      <c r="C7" s="51"/>
      <c r="D7" s="51"/>
      <c r="E7" s="51"/>
      <c r="F7" s="51"/>
      <c r="G7" s="51"/>
      <c r="H7" s="51"/>
      <c r="I7" s="51"/>
      <c r="J7" s="51"/>
      <c r="K7" s="51"/>
      <c r="L7" s="51"/>
      <c r="M7" s="51"/>
      <c r="N7" s="524"/>
      <c r="O7" s="570"/>
      <c r="P7" s="570"/>
      <c r="Q7" s="570">
        <v>30</v>
      </c>
      <c r="R7" s="573"/>
      <c r="S7" s="573"/>
      <c r="T7" s="573"/>
    </row>
    <row r="8" spans="1:20" ht="11.25" customHeight="1">
      <c r="A8" s="55"/>
      <c r="B8" s="55"/>
      <c r="C8" s="55"/>
      <c r="D8" s="55"/>
      <c r="E8" s="55"/>
      <c r="F8" s="55"/>
      <c r="G8" s="55"/>
      <c r="H8" s="55"/>
      <c r="I8" s="55"/>
      <c r="J8" s="55"/>
      <c r="K8" s="55"/>
      <c r="L8" s="55"/>
      <c r="M8" s="55"/>
      <c r="N8" s="528"/>
      <c r="O8" s="576"/>
      <c r="P8" s="576"/>
      <c r="Q8" s="576"/>
      <c r="R8" s="573"/>
      <c r="S8" s="573"/>
      <c r="T8" s="573"/>
    </row>
    <row r="9" spans="1:20" ht="11.25" customHeight="1">
      <c r="A9" s="53" t="str">
        <f>"1.1. Producción de energía eléctrica en "&amp;LOWER(Q4)&amp;" "&amp;Q5&amp;" en comparación al mismo mes del año anterior"</f>
        <v>1.1. Producción de energía eléctrica en junio 2018 en comparación al mismo mes del año anterior</v>
      </c>
      <c r="B9" s="53"/>
      <c r="C9" s="53"/>
      <c r="D9" s="53"/>
      <c r="E9" s="53"/>
      <c r="F9" s="53"/>
      <c r="G9" s="53"/>
      <c r="H9" s="53"/>
      <c r="I9" s="53"/>
      <c r="J9" s="53"/>
      <c r="K9" s="53"/>
      <c r="L9" s="53"/>
      <c r="M9" s="53"/>
      <c r="N9" s="526"/>
      <c r="O9" s="572"/>
      <c r="P9" s="572"/>
      <c r="Q9" s="572"/>
      <c r="R9" s="573"/>
      <c r="S9" s="573"/>
      <c r="T9" s="573"/>
    </row>
    <row r="10" spans="1:20" ht="11.25" customHeight="1">
      <c r="A10" s="62"/>
      <c r="B10" s="56"/>
      <c r="C10" s="56"/>
      <c r="D10" s="56"/>
      <c r="E10" s="56"/>
      <c r="F10" s="56"/>
      <c r="G10" s="56"/>
      <c r="H10" s="56"/>
      <c r="I10" s="56"/>
      <c r="J10" s="56"/>
      <c r="K10" s="56"/>
      <c r="L10" s="56"/>
      <c r="M10" s="56"/>
      <c r="N10" s="527"/>
      <c r="O10" s="574"/>
      <c r="P10" s="574"/>
      <c r="Q10" s="574"/>
      <c r="R10" s="573"/>
      <c r="S10" s="573"/>
      <c r="T10" s="573"/>
    </row>
    <row r="11" spans="1:20" ht="11.25" customHeight="1">
      <c r="A11" s="65"/>
      <c r="B11" s="65"/>
      <c r="C11" s="65"/>
      <c r="D11" s="65"/>
      <c r="E11" s="65"/>
      <c r="F11" s="65"/>
      <c r="G11" s="65"/>
      <c r="H11" s="65"/>
      <c r="I11" s="65"/>
      <c r="J11" s="65"/>
      <c r="K11" s="65"/>
      <c r="L11" s="65"/>
      <c r="M11" s="65"/>
      <c r="N11" s="529"/>
      <c r="O11" s="577"/>
      <c r="P11" s="577"/>
      <c r="Q11" s="577"/>
    </row>
    <row r="12" spans="1:20" ht="26.25" customHeight="1">
      <c r="A12" s="79" t="s">
        <v>23</v>
      </c>
      <c r="B12" s="868" t="s">
        <v>747</v>
      </c>
      <c r="C12" s="868"/>
      <c r="D12" s="868"/>
      <c r="E12" s="868"/>
      <c r="F12" s="868"/>
      <c r="G12" s="868"/>
      <c r="H12" s="868"/>
      <c r="I12" s="868"/>
      <c r="J12" s="868"/>
      <c r="K12" s="868"/>
      <c r="L12" s="868"/>
      <c r="M12" s="868"/>
      <c r="N12" s="527"/>
      <c r="O12" s="574"/>
      <c r="P12" s="574"/>
      <c r="Q12" s="574"/>
    </row>
    <row r="13" spans="1:20" ht="12.75" customHeight="1">
      <c r="A13" s="51"/>
      <c r="B13" s="81"/>
      <c r="C13" s="81"/>
      <c r="D13" s="81"/>
      <c r="E13" s="81"/>
      <c r="F13" s="81"/>
      <c r="G13" s="81"/>
      <c r="H13" s="81"/>
      <c r="I13" s="81"/>
      <c r="J13" s="81"/>
      <c r="K13" s="81"/>
      <c r="L13" s="81"/>
      <c r="M13" s="56"/>
      <c r="N13" s="527"/>
      <c r="O13" s="574"/>
      <c r="P13" s="574"/>
      <c r="Q13" s="574"/>
    </row>
    <row r="14" spans="1:20" ht="28.5" customHeight="1">
      <c r="A14" s="79" t="s">
        <v>23</v>
      </c>
      <c r="B14" s="868" t="s">
        <v>748</v>
      </c>
      <c r="C14" s="868"/>
      <c r="D14" s="868"/>
      <c r="E14" s="868"/>
      <c r="F14" s="868"/>
      <c r="G14" s="868"/>
      <c r="H14" s="868"/>
      <c r="I14" s="868"/>
      <c r="J14" s="868"/>
      <c r="K14" s="868"/>
      <c r="L14" s="868"/>
      <c r="M14" s="868"/>
      <c r="N14" s="527"/>
      <c r="O14" s="574"/>
      <c r="P14" s="574"/>
      <c r="Q14" s="574"/>
    </row>
    <row r="15" spans="1:20" ht="15" customHeight="1">
      <c r="A15" s="80"/>
      <c r="B15" s="81"/>
      <c r="C15" s="81"/>
      <c r="D15" s="81"/>
      <c r="E15" s="81"/>
      <c r="F15" s="81"/>
      <c r="G15" s="81"/>
      <c r="H15" s="81"/>
      <c r="I15" s="81"/>
      <c r="J15" s="81"/>
      <c r="K15" s="81"/>
      <c r="L15" s="81"/>
      <c r="M15" s="56"/>
      <c r="N15" s="527"/>
      <c r="O15" s="574"/>
      <c r="P15" s="574"/>
      <c r="Q15" s="574"/>
    </row>
    <row r="16" spans="1:20" ht="57" customHeight="1">
      <c r="A16" s="79" t="s">
        <v>23</v>
      </c>
      <c r="B16" s="868" t="s">
        <v>749</v>
      </c>
      <c r="C16" s="868"/>
      <c r="D16" s="868"/>
      <c r="E16" s="868"/>
      <c r="F16" s="868"/>
      <c r="G16" s="868"/>
      <c r="H16" s="868"/>
      <c r="I16" s="868"/>
      <c r="J16" s="868"/>
      <c r="K16" s="868"/>
      <c r="L16" s="868"/>
      <c r="M16" s="868"/>
      <c r="N16" s="527"/>
      <c r="O16" s="574"/>
      <c r="P16" s="574"/>
      <c r="Q16" s="574"/>
    </row>
    <row r="17" spans="1:18" ht="17.25" customHeight="1">
      <c r="A17" s="56"/>
      <c r="B17" s="56"/>
      <c r="C17" s="56"/>
      <c r="D17" s="56"/>
      <c r="E17" s="56"/>
      <c r="F17" s="56"/>
      <c r="G17" s="56"/>
      <c r="H17" s="56"/>
      <c r="I17" s="56"/>
      <c r="J17" s="56"/>
      <c r="K17" s="56"/>
      <c r="L17" s="56"/>
      <c r="M17" s="56"/>
      <c r="N17" s="527"/>
      <c r="O17" s="574"/>
      <c r="P17" s="574"/>
      <c r="Q17" s="574"/>
    </row>
    <row r="18" spans="1:18" ht="25.5" customHeight="1">
      <c r="A18" s="78" t="s">
        <v>23</v>
      </c>
      <c r="B18" s="867" t="s">
        <v>750</v>
      </c>
      <c r="C18" s="867"/>
      <c r="D18" s="867"/>
      <c r="E18" s="867"/>
      <c r="F18" s="867"/>
      <c r="G18" s="867"/>
      <c r="H18" s="867"/>
      <c r="I18" s="867"/>
      <c r="J18" s="867"/>
      <c r="K18" s="867"/>
      <c r="L18" s="867"/>
      <c r="M18" s="867"/>
      <c r="N18" s="527"/>
      <c r="O18" s="574"/>
      <c r="P18" s="574"/>
      <c r="Q18" s="574"/>
    </row>
    <row r="19" spans="1:18" ht="11.25" customHeight="1">
      <c r="A19" s="56"/>
      <c r="B19" s="56"/>
      <c r="C19" s="56"/>
      <c r="D19" s="56"/>
      <c r="E19" s="56"/>
      <c r="F19" s="56"/>
      <c r="G19" s="56"/>
      <c r="H19" s="56"/>
      <c r="I19" s="56"/>
      <c r="J19" s="56"/>
      <c r="K19" s="56"/>
      <c r="L19" s="56"/>
      <c r="M19" s="56"/>
      <c r="N19" s="527"/>
      <c r="O19" s="574"/>
      <c r="P19" s="574"/>
      <c r="Q19" s="574"/>
    </row>
    <row r="20" spans="1:18" ht="15.75" customHeight="1">
      <c r="A20" s="56"/>
      <c r="B20" s="56"/>
      <c r="C20" s="864" t="str">
        <f>+UPPER(Q4)&amp;" "&amp;Q5</f>
        <v>JUNIO 2018</v>
      </c>
      <c r="D20" s="865"/>
      <c r="E20" s="51"/>
      <c r="F20" s="51"/>
      <c r="G20" s="51"/>
      <c r="H20" s="51"/>
      <c r="I20" s="864" t="str">
        <f>+UPPER(Q4)&amp;" "&amp;Q5-1</f>
        <v>JUNIO 2017</v>
      </c>
      <c r="J20" s="864"/>
      <c r="K20" s="864"/>
      <c r="L20" s="56"/>
      <c r="M20" s="56"/>
      <c r="Q20" s="574"/>
    </row>
    <row r="21" spans="1:18" ht="11.25" customHeight="1">
      <c r="A21" s="56"/>
      <c r="B21" s="56"/>
      <c r="C21" s="56"/>
      <c r="D21" s="56"/>
      <c r="E21" s="56"/>
      <c r="F21" s="56"/>
      <c r="G21" s="56"/>
      <c r="H21" s="56"/>
      <c r="I21" s="56"/>
      <c r="J21" s="56"/>
      <c r="K21" s="56"/>
      <c r="L21" s="56"/>
      <c r="M21" s="56"/>
      <c r="Q21" s="574"/>
    </row>
    <row r="22" spans="1:18" ht="11.25" customHeight="1">
      <c r="A22" s="66"/>
      <c r="B22" s="67"/>
      <c r="C22" s="67"/>
      <c r="D22" s="67"/>
      <c r="E22" s="67"/>
      <c r="F22" s="67"/>
      <c r="G22" s="67"/>
      <c r="H22" s="67"/>
      <c r="I22" s="67"/>
      <c r="J22" s="67"/>
      <c r="K22" s="67"/>
      <c r="L22" s="67"/>
      <c r="M22" s="67"/>
      <c r="N22" s="620" t="s">
        <v>31</v>
      </c>
      <c r="O22" s="578">
        <v>43252</v>
      </c>
      <c r="P22" s="578">
        <v>42887</v>
      </c>
    </row>
    <row r="23" spans="1:18" ht="11.25" customHeight="1">
      <c r="A23" s="66"/>
      <c r="B23" s="67"/>
      <c r="C23" s="67"/>
      <c r="D23" s="67"/>
      <c r="E23" s="67"/>
      <c r="F23" s="67"/>
      <c r="G23" s="67"/>
      <c r="H23" s="67"/>
      <c r="I23" s="67"/>
      <c r="J23" s="67"/>
      <c r="K23" s="67"/>
      <c r="L23" s="67"/>
      <c r="M23" s="67"/>
      <c r="N23" s="620" t="s">
        <v>24</v>
      </c>
      <c r="O23" s="579">
        <v>2113.6878663950001</v>
      </c>
      <c r="P23" s="579">
        <v>2162.770216430361</v>
      </c>
      <c r="Q23" s="580"/>
    </row>
    <row r="24" spans="1:18" ht="11.25" customHeight="1">
      <c r="A24" s="56"/>
      <c r="B24" s="56"/>
      <c r="C24" s="56"/>
      <c r="D24" s="56"/>
      <c r="E24" s="60"/>
      <c r="F24" s="68"/>
      <c r="G24" s="68"/>
      <c r="H24" s="68"/>
      <c r="I24" s="68"/>
      <c r="J24" s="68"/>
      <c r="K24" s="68"/>
      <c r="L24" s="68"/>
      <c r="M24" s="60"/>
      <c r="N24" s="621" t="s">
        <v>25</v>
      </c>
      <c r="O24" s="581">
        <v>1828.9602865424999</v>
      </c>
      <c r="P24" s="581">
        <v>1553.11433762206</v>
      </c>
      <c r="Q24" s="579"/>
      <c r="R24" s="579"/>
    </row>
    <row r="25" spans="1:18" ht="11.25" customHeight="1">
      <c r="A25" s="56"/>
      <c r="B25" s="56"/>
      <c r="C25" s="56"/>
      <c r="D25" s="56"/>
      <c r="E25" s="56"/>
      <c r="F25" s="56"/>
      <c r="G25" s="56"/>
      <c r="H25" s="56"/>
      <c r="I25" s="56"/>
      <c r="J25" s="69"/>
      <c r="K25" s="69"/>
      <c r="L25" s="56"/>
      <c r="M25" s="56"/>
      <c r="N25" s="621" t="s">
        <v>26</v>
      </c>
      <c r="O25" s="581">
        <v>0</v>
      </c>
      <c r="P25" s="581">
        <v>79.400688477227078</v>
      </c>
      <c r="Q25" s="582"/>
    </row>
    <row r="26" spans="1:18" ht="11.25" customHeight="1">
      <c r="A26" s="56"/>
      <c r="B26" s="56"/>
      <c r="C26" s="56"/>
      <c r="D26" s="56"/>
      <c r="E26" s="56"/>
      <c r="F26" s="56"/>
      <c r="G26" s="56"/>
      <c r="H26" s="56"/>
      <c r="I26" s="56"/>
      <c r="J26" s="69"/>
      <c r="K26" s="69"/>
      <c r="L26" s="56"/>
      <c r="M26" s="56"/>
      <c r="N26" s="622" t="s">
        <v>27</v>
      </c>
      <c r="O26" s="579">
        <v>7.0902351625000009</v>
      </c>
      <c r="P26" s="579">
        <v>92.382639279961353</v>
      </c>
      <c r="Q26" s="582"/>
    </row>
    <row r="27" spans="1:18" ht="11.25" customHeight="1">
      <c r="A27" s="56"/>
      <c r="B27" s="56"/>
      <c r="C27" s="56"/>
      <c r="D27" s="56"/>
      <c r="E27" s="56"/>
      <c r="F27" s="56"/>
      <c r="G27" s="56"/>
      <c r="H27" s="56"/>
      <c r="I27" s="56"/>
      <c r="J27" s="69"/>
      <c r="K27" s="56"/>
      <c r="L27" s="56"/>
      <c r="M27" s="56"/>
      <c r="N27" s="620" t="s">
        <v>28</v>
      </c>
      <c r="O27" s="579">
        <v>9.8846493975000005</v>
      </c>
      <c r="P27" s="579">
        <v>10.988658842913875</v>
      </c>
      <c r="Q27" s="582"/>
    </row>
    <row r="28" spans="1:18" ht="11.25" customHeight="1">
      <c r="A28" s="56"/>
      <c r="B28" s="56"/>
      <c r="C28" s="69"/>
      <c r="D28" s="69"/>
      <c r="E28" s="69"/>
      <c r="F28" s="69"/>
      <c r="G28" s="69"/>
      <c r="H28" s="69"/>
      <c r="I28" s="69"/>
      <c r="J28" s="69"/>
      <c r="K28" s="69"/>
      <c r="L28" s="56"/>
      <c r="M28" s="56"/>
      <c r="N28" s="620" t="s">
        <v>29</v>
      </c>
      <c r="O28" s="579">
        <v>128.59335152</v>
      </c>
      <c r="P28" s="579">
        <v>84.876053974485671</v>
      </c>
      <c r="Q28" s="582"/>
    </row>
    <row r="29" spans="1:18" ht="11.25" customHeight="1">
      <c r="A29" s="56"/>
      <c r="B29" s="56"/>
      <c r="C29" s="69"/>
      <c r="D29" s="69"/>
      <c r="E29" s="69"/>
      <c r="F29" s="69"/>
      <c r="G29" s="69"/>
      <c r="H29" s="69"/>
      <c r="I29" s="69"/>
      <c r="J29" s="69"/>
      <c r="K29" s="69"/>
      <c r="L29" s="56"/>
      <c r="M29" s="56"/>
      <c r="N29" s="620" t="s">
        <v>30</v>
      </c>
      <c r="O29" s="579">
        <v>46.704256437500007</v>
      </c>
      <c r="P29" s="579">
        <v>15.855395925284</v>
      </c>
      <c r="Q29" s="582"/>
    </row>
    <row r="30" spans="1:18" ht="11.25" customHeight="1">
      <c r="A30" s="56"/>
      <c r="B30" s="56"/>
      <c r="C30" s="69"/>
      <c r="D30" s="69"/>
      <c r="E30" s="69"/>
      <c r="F30" s="69"/>
      <c r="G30" s="69"/>
      <c r="H30" s="69"/>
      <c r="I30" s="69"/>
      <c r="J30" s="69"/>
      <c r="K30" s="69"/>
      <c r="L30" s="56"/>
      <c r="M30" s="56"/>
      <c r="N30" s="623"/>
      <c r="O30" s="583"/>
      <c r="P30" s="583"/>
      <c r="Q30" s="582"/>
    </row>
    <row r="31" spans="1:18" ht="11.25" customHeight="1">
      <c r="A31" s="56"/>
      <c r="B31" s="56"/>
      <c r="C31" s="69"/>
      <c r="D31" s="69"/>
      <c r="E31" s="69"/>
      <c r="F31" s="69"/>
      <c r="G31" s="69"/>
      <c r="H31" s="69"/>
      <c r="I31" s="69"/>
      <c r="J31" s="69"/>
      <c r="K31" s="69"/>
      <c r="L31" s="56"/>
      <c r="M31" s="56"/>
      <c r="O31" s="657"/>
      <c r="P31" s="657"/>
      <c r="Q31" s="658"/>
    </row>
    <row r="32" spans="1:18" ht="11.25" customHeight="1">
      <c r="A32" s="56"/>
      <c r="B32" s="56"/>
      <c r="C32" s="69"/>
      <c r="D32" s="69"/>
      <c r="E32" s="69"/>
      <c r="F32" s="69"/>
      <c r="G32" s="69"/>
      <c r="H32" s="69"/>
      <c r="I32" s="69"/>
      <c r="J32" s="69"/>
      <c r="K32" s="69"/>
      <c r="L32" s="56"/>
      <c r="M32" s="56"/>
      <c r="Q32" s="574"/>
    </row>
    <row r="33" spans="1:17" ht="11.25" customHeight="1">
      <c r="A33" s="56"/>
      <c r="B33" s="56"/>
      <c r="C33" s="69"/>
      <c r="D33" s="69"/>
      <c r="E33" s="69"/>
      <c r="F33" s="69"/>
      <c r="G33" s="69"/>
      <c r="H33" s="69"/>
      <c r="I33" s="69"/>
      <c r="J33" s="69"/>
      <c r="K33" s="69"/>
      <c r="L33" s="56"/>
      <c r="M33" s="56"/>
      <c r="Q33" s="574"/>
    </row>
    <row r="34" spans="1:17" ht="11.25" customHeight="1">
      <c r="A34" s="56"/>
      <c r="B34" s="56"/>
      <c r="C34" s="69"/>
      <c r="D34" s="69"/>
      <c r="E34" s="69"/>
      <c r="F34" s="69"/>
      <c r="G34" s="69"/>
      <c r="H34" s="69"/>
      <c r="I34" s="69"/>
      <c r="J34" s="69"/>
      <c r="K34" s="69"/>
      <c r="L34" s="56"/>
      <c r="M34" s="56"/>
      <c r="Q34" s="574"/>
    </row>
    <row r="35" spans="1:17" ht="11.25" customHeight="1">
      <c r="A35" s="70"/>
      <c r="B35" s="70"/>
      <c r="C35" s="71"/>
      <c r="D35" s="71"/>
      <c r="E35" s="71"/>
      <c r="F35" s="71"/>
      <c r="G35" s="71"/>
      <c r="H35" s="71"/>
      <c r="I35" s="71"/>
      <c r="J35" s="70"/>
      <c r="K35" s="70"/>
      <c r="L35" s="70"/>
      <c r="M35" s="70"/>
      <c r="Q35" s="574"/>
    </row>
    <row r="36" spans="1:17" ht="11.25" customHeight="1">
      <c r="A36" s="70"/>
      <c r="B36" s="70"/>
      <c r="C36" s="71"/>
      <c r="D36" s="71"/>
      <c r="E36" s="71"/>
      <c r="F36" s="71"/>
      <c r="G36" s="71"/>
      <c r="H36" s="71"/>
      <c r="I36" s="71"/>
      <c r="J36" s="70"/>
      <c r="K36" s="70"/>
      <c r="L36" s="70"/>
      <c r="M36" s="70"/>
      <c r="Q36" s="574"/>
    </row>
    <row r="37" spans="1:17" ht="11.25" customHeight="1">
      <c r="A37" s="70"/>
      <c r="B37" s="70"/>
      <c r="C37" s="71"/>
      <c r="D37" s="71"/>
      <c r="E37" s="71"/>
      <c r="F37" s="71"/>
      <c r="G37" s="71"/>
      <c r="H37" s="71"/>
      <c r="I37" s="71"/>
      <c r="J37" s="70"/>
      <c r="K37" s="70"/>
      <c r="L37" s="70"/>
      <c r="M37" s="70"/>
      <c r="N37" s="527"/>
      <c r="O37" s="574"/>
      <c r="P37" s="574"/>
      <c r="Q37" s="574"/>
    </row>
    <row r="38" spans="1:17" ht="11.25" customHeight="1">
      <c r="A38" s="70"/>
      <c r="B38" s="70"/>
      <c r="C38" s="71"/>
      <c r="D38" s="71"/>
      <c r="E38" s="71"/>
      <c r="F38" s="71"/>
      <c r="G38" s="71"/>
      <c r="H38" s="71"/>
      <c r="I38" s="71"/>
      <c r="J38" s="70"/>
      <c r="K38" s="70"/>
      <c r="L38" s="70"/>
      <c r="M38" s="70"/>
      <c r="N38" s="527"/>
      <c r="O38" s="574"/>
      <c r="P38" s="574"/>
      <c r="Q38" s="574"/>
    </row>
    <row r="39" spans="1:17" ht="11.25" customHeight="1">
      <c r="A39" s="70"/>
      <c r="B39" s="70"/>
      <c r="C39" s="71"/>
      <c r="D39" s="71"/>
      <c r="E39" s="71"/>
      <c r="F39" s="71"/>
      <c r="G39" s="71"/>
      <c r="H39" s="71"/>
      <c r="I39" s="71"/>
      <c r="J39" s="70"/>
      <c r="K39" s="70"/>
      <c r="L39" s="70"/>
      <c r="M39" s="70"/>
      <c r="N39" s="527"/>
      <c r="O39" s="574"/>
      <c r="P39" s="574"/>
      <c r="Q39" s="574"/>
    </row>
    <row r="40" spans="1:17" ht="11.25" customHeight="1">
      <c r="A40" s="70"/>
      <c r="B40" s="70"/>
      <c r="C40" s="71"/>
      <c r="D40" s="71"/>
      <c r="E40" s="71"/>
      <c r="F40" s="71"/>
      <c r="G40" s="71"/>
      <c r="H40" s="71"/>
      <c r="I40" s="71"/>
      <c r="J40" s="70"/>
      <c r="K40" s="70"/>
      <c r="L40" s="70"/>
      <c r="M40" s="70"/>
      <c r="N40" s="527"/>
      <c r="O40" s="574"/>
      <c r="P40" s="574"/>
      <c r="Q40" s="574"/>
    </row>
    <row r="41" spans="1:17" ht="11.25" customHeight="1">
      <c r="A41" s="70"/>
      <c r="B41" s="70"/>
      <c r="C41" s="70"/>
      <c r="D41" s="71"/>
      <c r="E41" s="71"/>
      <c r="F41" s="71"/>
      <c r="G41" s="71"/>
      <c r="H41" s="70"/>
      <c r="I41" s="70"/>
      <c r="J41" s="70"/>
      <c r="K41" s="70"/>
      <c r="L41" s="70"/>
      <c r="M41" s="70"/>
      <c r="N41" s="527"/>
      <c r="O41" s="574"/>
      <c r="P41" s="574"/>
      <c r="Q41" s="574"/>
    </row>
    <row r="42" spans="1:17" ht="11.25" customHeight="1">
      <c r="A42" s="70"/>
      <c r="B42" s="70"/>
      <c r="C42" s="71"/>
      <c r="D42" s="71"/>
      <c r="E42" s="71"/>
      <c r="F42" s="71"/>
      <c r="G42" s="71"/>
      <c r="H42" s="71"/>
      <c r="I42" s="71"/>
      <c r="J42" s="70"/>
      <c r="K42" s="70"/>
      <c r="L42" s="70"/>
      <c r="M42" s="70"/>
      <c r="N42" s="527"/>
      <c r="O42" s="574"/>
      <c r="P42" s="574"/>
      <c r="Q42" s="574"/>
    </row>
    <row r="43" spans="1:17" ht="11.25" customHeight="1">
      <c r="A43" s="70"/>
      <c r="B43" s="70"/>
      <c r="C43" s="71"/>
      <c r="D43" s="71"/>
      <c r="E43" s="71"/>
      <c r="F43" s="71"/>
      <c r="G43" s="71"/>
      <c r="H43" s="71"/>
      <c r="I43" s="71"/>
      <c r="J43" s="70"/>
      <c r="K43" s="70"/>
      <c r="L43" s="70"/>
      <c r="M43" s="70"/>
      <c r="N43" s="527"/>
      <c r="O43" s="574"/>
      <c r="P43" s="574"/>
      <c r="Q43" s="574"/>
    </row>
    <row r="44" spans="1:17" ht="11.25" customHeight="1">
      <c r="A44" s="70"/>
      <c r="B44" s="70"/>
      <c r="C44" s="71"/>
      <c r="D44" s="71"/>
      <c r="E44" s="71"/>
      <c r="F44" s="71"/>
      <c r="G44" s="71"/>
      <c r="H44" s="71"/>
      <c r="I44" s="71"/>
      <c r="J44" s="70"/>
      <c r="K44" s="70"/>
      <c r="L44" s="70"/>
      <c r="M44" s="70"/>
      <c r="N44" s="527"/>
      <c r="O44" s="574"/>
      <c r="P44" s="574"/>
      <c r="Q44" s="574"/>
    </row>
    <row r="45" spans="1:17" ht="11.25" customHeight="1">
      <c r="A45" s="70"/>
      <c r="B45" s="70"/>
      <c r="C45" s="71"/>
      <c r="D45" s="71"/>
      <c r="E45" s="71"/>
      <c r="F45" s="71"/>
      <c r="G45" s="71"/>
      <c r="H45" s="71"/>
      <c r="I45" s="71"/>
      <c r="J45" s="70"/>
      <c r="K45" s="70"/>
      <c r="L45" s="70"/>
      <c r="M45" s="70"/>
      <c r="N45" s="527"/>
      <c r="O45" s="574"/>
      <c r="P45" s="574"/>
      <c r="Q45" s="574"/>
    </row>
    <row r="46" spans="1:17" ht="11.25" customHeight="1">
      <c r="A46" s="70"/>
      <c r="B46" s="70"/>
      <c r="C46" s="70"/>
      <c r="D46" s="70"/>
      <c r="E46" s="70"/>
      <c r="F46" s="70"/>
      <c r="G46" s="70"/>
      <c r="H46" s="70"/>
      <c r="I46" s="70"/>
      <c r="J46" s="70"/>
      <c r="K46" s="70"/>
      <c r="L46" s="70"/>
      <c r="M46" s="70"/>
      <c r="N46" s="527"/>
      <c r="O46" s="574"/>
      <c r="P46" s="574"/>
      <c r="Q46" s="574"/>
    </row>
    <row r="47" spans="1:17" ht="16.5" customHeight="1">
      <c r="A47" s="70"/>
      <c r="B47" s="866" t="str">
        <f>"Total = "&amp;TEXT(ROUND(SUM(O23:O29),2),"0 000,00")&amp;" GWh"</f>
        <v>Total = 4 134,92 GWh</v>
      </c>
      <c r="C47" s="866"/>
      <c r="D47" s="866"/>
      <c r="E47" s="866"/>
      <c r="F47" s="70"/>
      <c r="G47" s="70"/>
      <c r="H47" s="866" t="str">
        <f>"Total = "&amp;TEXT(ROUND(SUM(P23:P29),2),"0 000,00")&amp;" GWh"</f>
        <v>Total = 3 999,39 GWh</v>
      </c>
      <c r="I47" s="866"/>
      <c r="J47" s="866"/>
      <c r="K47" s="866"/>
      <c r="L47" s="70"/>
      <c r="M47" s="70"/>
      <c r="N47" s="527"/>
      <c r="O47" s="574"/>
      <c r="P47" s="574"/>
      <c r="Q47" s="574"/>
    </row>
    <row r="48" spans="1:17" ht="11.25" customHeight="1">
      <c r="H48" s="70"/>
      <c r="I48" s="70"/>
      <c r="J48" s="70"/>
      <c r="K48" s="70"/>
      <c r="L48" s="70"/>
      <c r="M48" s="70"/>
      <c r="N48" s="527"/>
      <c r="O48" s="574"/>
      <c r="P48" s="574"/>
      <c r="Q48" s="574"/>
    </row>
    <row r="49" spans="1:17" ht="11.25" customHeight="1">
      <c r="B49" s="863" t="str">
        <f>"Gráfico 1: Comparación de producción mensual de electricidad en "&amp;Q4&amp;" por tipo de recurso energético"</f>
        <v>Gráfico 1: Comparación de producción mensual de electricidad en junio por tipo de recurso energético</v>
      </c>
      <c r="C49" s="863"/>
      <c r="D49" s="863"/>
      <c r="E49" s="863"/>
      <c r="F49" s="863"/>
      <c r="G49" s="863"/>
      <c r="H49" s="863"/>
      <c r="I49" s="863"/>
      <c r="J49" s="863"/>
      <c r="K49" s="863"/>
      <c r="L49" s="863"/>
      <c r="M49" s="340"/>
      <c r="N49" s="530"/>
      <c r="O49" s="574"/>
      <c r="P49" s="574"/>
      <c r="Q49" s="574"/>
    </row>
    <row r="50" spans="1:17" ht="11.25" customHeight="1">
      <c r="A50" s="70"/>
      <c r="B50" s="70"/>
      <c r="C50" s="57"/>
      <c r="D50" s="57"/>
      <c r="E50" s="70"/>
      <c r="F50" s="70"/>
      <c r="G50" s="70"/>
      <c r="H50" s="70"/>
      <c r="I50" s="70"/>
      <c r="J50" s="70"/>
      <c r="K50" s="70"/>
      <c r="L50" s="70"/>
      <c r="M50" s="70"/>
      <c r="N50" s="527"/>
      <c r="O50" s="574"/>
      <c r="P50" s="574"/>
      <c r="Q50" s="574"/>
    </row>
    <row r="51" spans="1:17" ht="11.25" customHeight="1">
      <c r="A51" s="70"/>
      <c r="B51" s="70"/>
      <c r="C51" s="70"/>
      <c r="D51" s="70"/>
      <c r="E51" s="70"/>
      <c r="F51" s="70"/>
      <c r="G51" s="70"/>
      <c r="H51" s="70"/>
      <c r="I51" s="70"/>
      <c r="J51" s="70"/>
      <c r="K51" s="70"/>
      <c r="L51" s="70"/>
      <c r="M51" s="70"/>
      <c r="N51" s="527"/>
      <c r="O51" s="574"/>
      <c r="P51" s="574"/>
      <c r="Q51" s="574"/>
    </row>
    <row r="52" spans="1:17" ht="11.25" customHeight="1">
      <c r="A52" s="70"/>
      <c r="B52" s="70"/>
      <c r="C52" s="70"/>
      <c r="D52" s="70"/>
      <c r="E52" s="70"/>
      <c r="F52" s="70"/>
      <c r="G52" s="70"/>
      <c r="H52" s="70"/>
      <c r="I52" s="70"/>
      <c r="J52" s="70"/>
      <c r="K52" s="70"/>
      <c r="L52" s="70"/>
      <c r="M52" s="70"/>
      <c r="N52" s="527"/>
      <c r="O52" s="574"/>
      <c r="P52" s="574"/>
      <c r="Q52" s="574"/>
    </row>
    <row r="53" spans="1:17" ht="11.25" customHeight="1">
      <c r="A53" s="70"/>
      <c r="B53" s="70"/>
      <c r="C53" s="70"/>
      <c r="D53" s="70"/>
      <c r="E53" s="70"/>
      <c r="F53" s="70"/>
      <c r="G53" s="70"/>
      <c r="H53" s="70"/>
      <c r="I53" s="70"/>
      <c r="J53" s="70"/>
      <c r="K53" s="70"/>
      <c r="L53" s="70"/>
      <c r="M53" s="70"/>
      <c r="N53" s="527"/>
      <c r="O53" s="574"/>
      <c r="P53" s="574"/>
      <c r="Q53" s="574"/>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Junio 2018
INFSGI-MES-06-2018
10/07/2018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8"/>
  <sheetViews>
    <sheetView showGridLines="0" view="pageBreakPreview" zoomScaleNormal="100" zoomScaleSheetLayoutView="100" zoomScalePageLayoutView="145" workbookViewId="0">
      <selection activeCell="R31" sqref="R31"/>
    </sheetView>
  </sheetViews>
  <sheetFormatPr defaultRowHeight="9"/>
  <cols>
    <col min="1" max="1" width="16.1640625" style="503" customWidth="1"/>
    <col min="2" max="2" width="19.6640625" style="503" customWidth="1"/>
    <col min="3" max="3" width="12.16406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177" customHeight="1">
      <c r="A2" s="518" t="s">
        <v>477</v>
      </c>
      <c r="B2" s="518" t="s">
        <v>479</v>
      </c>
      <c r="C2" s="519">
        <v>43268.480555555558</v>
      </c>
      <c r="D2" s="665" t="s">
        <v>716</v>
      </c>
      <c r="E2" s="520">
        <v>8.06</v>
      </c>
      <c r="F2" s="520"/>
      <c r="G2" s="468"/>
      <c r="H2" s="468"/>
      <c r="I2" s="509"/>
    </row>
    <row r="3" spans="1:9" s="503" customFormat="1" ht="94.5" customHeight="1">
      <c r="A3" s="518" t="s">
        <v>718</v>
      </c>
      <c r="B3" s="518" t="s">
        <v>719</v>
      </c>
      <c r="C3" s="519">
        <v>43269.366666666669</v>
      </c>
      <c r="D3" s="665" t="s">
        <v>720</v>
      </c>
      <c r="E3" s="520">
        <v>76.95</v>
      </c>
      <c r="F3" s="520"/>
      <c r="G3" s="468"/>
      <c r="H3" s="468"/>
      <c r="I3" s="507"/>
    </row>
    <row r="4" spans="1:9" s="503" customFormat="1" ht="84.75" customHeight="1">
      <c r="A4" s="518" t="s">
        <v>721</v>
      </c>
      <c r="B4" s="518" t="s">
        <v>722</v>
      </c>
      <c r="C4" s="519">
        <v>43269.521527777775</v>
      </c>
      <c r="D4" s="665" t="s">
        <v>723</v>
      </c>
      <c r="E4" s="520">
        <v>16.079999999999998</v>
      </c>
      <c r="F4" s="520"/>
      <c r="G4" s="468"/>
      <c r="H4" s="468"/>
      <c r="I4" s="507"/>
    </row>
    <row r="5" spans="1:9" s="503" customFormat="1" ht="322.5" customHeight="1">
      <c r="A5" s="518" t="s">
        <v>534</v>
      </c>
      <c r="B5" s="518" t="s">
        <v>724</v>
      </c>
      <c r="C5" s="519">
        <v>43271.509722222225</v>
      </c>
      <c r="D5" s="665" t="s">
        <v>725</v>
      </c>
      <c r="E5" s="520">
        <v>169.46</v>
      </c>
      <c r="F5" s="520"/>
      <c r="G5" s="468"/>
      <c r="H5" s="468"/>
      <c r="I5" s="507"/>
    </row>
    <row r="6" spans="1:9" s="503" customFormat="1" ht="27" customHeight="1">
      <c r="A6" s="821"/>
      <c r="B6" s="821"/>
      <c r="C6" s="822"/>
      <c r="D6" s="823"/>
      <c r="E6" s="824"/>
      <c r="F6" s="824"/>
      <c r="G6" s="468"/>
      <c r="H6" s="468"/>
      <c r="I6" s="507"/>
    </row>
    <row r="7" spans="1:9" s="503" customFormat="1" ht="104.25" customHeight="1">
      <c r="A7" s="724"/>
      <c r="B7" s="724"/>
      <c r="C7" s="725"/>
      <c r="D7" s="726"/>
      <c r="E7" s="727"/>
      <c r="F7" s="727"/>
      <c r="G7" s="468"/>
      <c r="H7" s="474"/>
      <c r="I7" s="507"/>
    </row>
    <row r="8" spans="1:9" ht="60.75" customHeight="1">
      <c r="A8" s="724"/>
      <c r="B8" s="724"/>
      <c r="C8" s="725"/>
      <c r="D8" s="726"/>
      <c r="E8" s="727"/>
      <c r="F8" s="727"/>
    </row>
    <row r="9" spans="1:9" ht="63.75" customHeight="1">
      <c r="A9" s="724"/>
      <c r="B9" s="724"/>
      <c r="C9" s="725"/>
      <c r="D9" s="726"/>
      <c r="E9" s="727"/>
      <c r="F9" s="727"/>
    </row>
    <row r="10" spans="1:9">
      <c r="E10" s="513"/>
      <c r="F10" s="513"/>
    </row>
    <row r="11" spans="1:9">
      <c r="E11" s="513"/>
      <c r="F11" s="513"/>
    </row>
    <row r="12" spans="1:9">
      <c r="E12" s="513"/>
      <c r="F12" s="513"/>
    </row>
    <row r="13" spans="1:9">
      <c r="E13" s="513"/>
      <c r="F13" s="513"/>
    </row>
    <row r="14" spans="1:9">
      <c r="E14" s="513"/>
      <c r="F14" s="513"/>
    </row>
    <row r="15" spans="1:9">
      <c r="E15" s="513"/>
      <c r="F15" s="513"/>
    </row>
    <row r="16" spans="1:9">
      <c r="E16" s="513"/>
      <c r="F16" s="513"/>
    </row>
    <row r="17" spans="5:6">
      <c r="E17" s="513"/>
      <c r="F17" s="513"/>
    </row>
    <row r="18" spans="5:6">
      <c r="E18" s="513"/>
      <c r="F18" s="513"/>
    </row>
    <row r="19" spans="5:6">
      <c r="E19" s="513"/>
      <c r="F19" s="513"/>
    </row>
    <row r="20" spans="5:6">
      <c r="E20" s="513"/>
      <c r="F20" s="513"/>
    </row>
    <row r="21" spans="5:6">
      <c r="E21" s="513"/>
      <c r="F21" s="513"/>
    </row>
    <row r="22" spans="5:6">
      <c r="E22" s="513"/>
      <c r="F22" s="513"/>
    </row>
    <row r="23" spans="5:6">
      <c r="E23" s="513"/>
      <c r="F23" s="513"/>
    </row>
    <row r="24" spans="5:6">
      <c r="E24" s="513"/>
      <c r="F24" s="513"/>
    </row>
    <row r="25" spans="5:6">
      <c r="E25" s="513"/>
      <c r="F25" s="513"/>
    </row>
    <row r="26" spans="5:6">
      <c r="E26" s="513"/>
      <c r="F26" s="513"/>
    </row>
    <row r="27" spans="5:6">
      <c r="E27" s="513"/>
      <c r="F27" s="513"/>
    </row>
    <row r="28" spans="5:6">
      <c r="E28" s="513"/>
      <c r="F28" s="513"/>
    </row>
    <row r="29" spans="5:6">
      <c r="E29" s="513"/>
      <c r="F29" s="513"/>
    </row>
    <row r="30" spans="5:6">
      <c r="E30" s="513"/>
      <c r="F30" s="513"/>
    </row>
    <row r="31" spans="5:6">
      <c r="E31" s="513"/>
      <c r="F31" s="513"/>
    </row>
    <row r="32" spans="5:6">
      <c r="E32" s="513"/>
      <c r="F32" s="513"/>
    </row>
    <row r="33" spans="5:6">
      <c r="E33" s="513"/>
      <c r="F33" s="513"/>
    </row>
    <row r="34" spans="5:6">
      <c r="E34" s="513"/>
      <c r="F34" s="513"/>
    </row>
    <row r="35" spans="5:6">
      <c r="E35" s="513"/>
      <c r="F35" s="513"/>
    </row>
    <row r="36" spans="5:6">
      <c r="E36" s="513"/>
      <c r="F36" s="513"/>
    </row>
    <row r="37" spans="5:6">
      <c r="E37" s="513"/>
      <c r="F37" s="513"/>
    </row>
    <row r="38" spans="5:6">
      <c r="E38" s="513"/>
      <c r="F38" s="513"/>
    </row>
    <row r="39" spans="5:6">
      <c r="E39" s="513"/>
      <c r="F39" s="513"/>
    </row>
    <row r="40" spans="5:6">
      <c r="E40" s="513"/>
      <c r="F40" s="513"/>
    </row>
    <row r="41" spans="5:6">
      <c r="E41" s="513"/>
      <c r="F41" s="513"/>
    </row>
    <row r="42" spans="5:6">
      <c r="E42" s="513"/>
      <c r="F42" s="513"/>
    </row>
    <row r="43" spans="5:6">
      <c r="E43" s="513"/>
      <c r="F43" s="513"/>
    </row>
    <row r="44" spans="5:6">
      <c r="E44" s="513"/>
      <c r="F44" s="513"/>
    </row>
    <row r="45" spans="5:6">
      <c r="E45" s="513"/>
      <c r="F45" s="513"/>
    </row>
    <row r="46" spans="5:6">
      <c r="E46" s="513"/>
      <c r="F46" s="513"/>
    </row>
    <row r="47" spans="5:6">
      <c r="E47" s="513"/>
      <c r="F47" s="513"/>
    </row>
    <row r="48" spans="5:6">
      <c r="E48" s="513"/>
      <c r="F48" s="513"/>
    </row>
    <row r="49" spans="5:6">
      <c r="E49" s="513"/>
      <c r="F49" s="513"/>
    </row>
    <row r="50" spans="5:6">
      <c r="E50" s="513"/>
      <c r="F50" s="513"/>
    </row>
    <row r="51" spans="5:6">
      <c r="E51" s="513"/>
      <c r="F51" s="513"/>
    </row>
    <row r="52" spans="5:6">
      <c r="E52" s="513"/>
      <c r="F52" s="513"/>
    </row>
    <row r="53" spans="5:6">
      <c r="E53" s="513"/>
      <c r="F53" s="513"/>
    </row>
    <row r="54" spans="5:6">
      <c r="E54" s="513"/>
      <c r="F54" s="513"/>
    </row>
    <row r="55" spans="5:6">
      <c r="E55" s="513"/>
      <c r="F55" s="513"/>
    </row>
    <row r="56" spans="5:6">
      <c r="E56" s="513"/>
      <c r="F56" s="513"/>
    </row>
    <row r="57" spans="5:6">
      <c r="E57" s="513"/>
      <c r="F57" s="513"/>
    </row>
    <row r="58" spans="5:6">
      <c r="E58" s="513"/>
      <c r="F58" s="513"/>
    </row>
    <row r="59" spans="5:6">
      <c r="E59" s="513"/>
      <c r="F59" s="513"/>
    </row>
    <row r="60" spans="5:6">
      <c r="E60" s="513"/>
      <c r="F60" s="513"/>
    </row>
    <row r="61" spans="5:6">
      <c r="E61" s="513"/>
      <c r="F61" s="513"/>
    </row>
    <row r="62" spans="5:6">
      <c r="E62" s="513"/>
      <c r="F62" s="513"/>
    </row>
    <row r="63" spans="5:6">
      <c r="E63" s="513"/>
      <c r="F63" s="513"/>
    </row>
    <row r="64" spans="5:6">
      <c r="E64" s="513"/>
      <c r="F64" s="513"/>
    </row>
    <row r="65" spans="5:6">
      <c r="E65" s="513"/>
      <c r="F65" s="513"/>
    </row>
    <row r="66" spans="5:6">
      <c r="E66" s="513"/>
      <c r="F66" s="513"/>
    </row>
    <row r="67" spans="5:6">
      <c r="E67" s="513"/>
      <c r="F67" s="513"/>
    </row>
    <row r="68" spans="5:6">
      <c r="E68" s="513"/>
      <c r="F68" s="513"/>
    </row>
    <row r="69" spans="5:6">
      <c r="E69" s="513"/>
      <c r="F69" s="513"/>
    </row>
    <row r="70" spans="5:6">
      <c r="E70" s="513"/>
      <c r="F70" s="513"/>
    </row>
    <row r="71" spans="5:6">
      <c r="E71" s="513"/>
      <c r="F71" s="513"/>
    </row>
    <row r="72" spans="5:6">
      <c r="E72" s="513"/>
      <c r="F72" s="513"/>
    </row>
    <row r="73" spans="5:6">
      <c r="E73" s="513"/>
      <c r="F73" s="513"/>
    </row>
    <row r="74" spans="5:6">
      <c r="E74" s="513"/>
      <c r="F74" s="513"/>
    </row>
    <row r="75" spans="5:6">
      <c r="E75" s="513"/>
      <c r="F75" s="513"/>
    </row>
    <row r="76" spans="5:6">
      <c r="E76" s="513"/>
      <c r="F76" s="513"/>
    </row>
    <row r="77" spans="5:6">
      <c r="E77" s="513"/>
      <c r="F77" s="513"/>
    </row>
    <row r="78" spans="5:6">
      <c r="E78" s="513"/>
      <c r="F78" s="513"/>
    </row>
    <row r="79" spans="5:6">
      <c r="E79" s="513"/>
      <c r="F79" s="513"/>
    </row>
    <row r="80" spans="5:6">
      <c r="E80" s="513"/>
      <c r="F80" s="513"/>
    </row>
    <row r="81" spans="5:6">
      <c r="E81" s="513"/>
      <c r="F81" s="513"/>
    </row>
    <row r="82" spans="5:6">
      <c r="E82" s="513"/>
      <c r="F82" s="513"/>
    </row>
    <row r="83" spans="5:6">
      <c r="E83" s="513"/>
      <c r="F83" s="513"/>
    </row>
    <row r="84" spans="5:6">
      <c r="E84" s="513"/>
      <c r="F84" s="513"/>
    </row>
    <row r="85" spans="5:6">
      <c r="E85" s="513"/>
      <c r="F85" s="513"/>
    </row>
    <row r="86" spans="5:6">
      <c r="E86" s="513"/>
      <c r="F86" s="513"/>
    </row>
    <row r="87" spans="5:6">
      <c r="E87" s="513"/>
      <c r="F87" s="513"/>
    </row>
    <row r="88" spans="5:6">
      <c r="E88" s="513"/>
      <c r="F88" s="513"/>
    </row>
    <row r="89" spans="5:6">
      <c r="E89" s="513"/>
      <c r="F89" s="513"/>
    </row>
    <row r="90" spans="5:6">
      <c r="E90" s="513"/>
      <c r="F90" s="513"/>
    </row>
    <row r="91" spans="5:6">
      <c r="E91" s="513"/>
      <c r="F91" s="513"/>
    </row>
    <row r="92" spans="5:6">
      <c r="E92" s="513"/>
      <c r="F92" s="513"/>
    </row>
    <row r="93" spans="5:6">
      <c r="E93" s="513"/>
      <c r="F93" s="513"/>
    </row>
    <row r="94" spans="5:6">
      <c r="E94" s="513"/>
      <c r="F94" s="513"/>
    </row>
    <row r="95" spans="5:6">
      <c r="E95" s="513"/>
      <c r="F95" s="513"/>
    </row>
    <row r="96" spans="5:6">
      <c r="E96" s="513"/>
      <c r="F96" s="513"/>
    </row>
    <row r="97" spans="5:6">
      <c r="E97" s="513"/>
      <c r="F97" s="513"/>
    </row>
    <row r="98" spans="5:6">
      <c r="E98" s="513"/>
      <c r="F98" s="513"/>
    </row>
    <row r="99" spans="5:6">
      <c r="E99" s="513"/>
      <c r="F99" s="513"/>
    </row>
    <row r="100" spans="5:6">
      <c r="E100" s="513"/>
      <c r="F100" s="513"/>
    </row>
    <row r="101" spans="5:6">
      <c r="E101" s="513"/>
      <c r="F101" s="513"/>
    </row>
    <row r="102" spans="5:6">
      <c r="E102" s="513"/>
      <c r="F102" s="513"/>
    </row>
    <row r="103" spans="5:6">
      <c r="E103" s="513"/>
      <c r="F103" s="513"/>
    </row>
    <row r="104" spans="5:6">
      <c r="E104" s="513"/>
      <c r="F104" s="513"/>
    </row>
    <row r="105" spans="5:6">
      <c r="E105" s="513"/>
      <c r="F105" s="513"/>
    </row>
    <row r="106" spans="5:6">
      <c r="E106" s="513"/>
      <c r="F106" s="513"/>
    </row>
    <row r="107" spans="5:6">
      <c r="E107" s="513"/>
      <c r="F107" s="513"/>
    </row>
    <row r="108" spans="5:6">
      <c r="E108" s="513"/>
      <c r="F108" s="513"/>
    </row>
    <row r="109" spans="5:6">
      <c r="E109" s="513"/>
      <c r="F109" s="513"/>
    </row>
    <row r="110" spans="5:6">
      <c r="E110" s="513"/>
      <c r="F110" s="513"/>
    </row>
    <row r="111" spans="5:6">
      <c r="E111" s="513"/>
      <c r="F111" s="513"/>
    </row>
    <row r="112" spans="5:6">
      <c r="E112" s="513"/>
      <c r="F112" s="513"/>
    </row>
    <row r="113" spans="5:6">
      <c r="E113" s="513"/>
      <c r="F113" s="513"/>
    </row>
    <row r="114" spans="5:6">
      <c r="E114" s="513"/>
      <c r="F114" s="513"/>
    </row>
    <row r="115" spans="5:6">
      <c r="E115" s="513"/>
      <c r="F115" s="513"/>
    </row>
    <row r="116" spans="5:6">
      <c r="E116" s="513"/>
      <c r="F116" s="513"/>
    </row>
    <row r="117" spans="5:6">
      <c r="E117" s="513"/>
      <c r="F117" s="513"/>
    </row>
    <row r="118" spans="5:6">
      <c r="E118" s="513"/>
      <c r="F118" s="513"/>
    </row>
    <row r="119" spans="5:6">
      <c r="E119" s="513"/>
      <c r="F119" s="513"/>
    </row>
    <row r="120" spans="5:6">
      <c r="E120" s="513"/>
      <c r="F120" s="513"/>
    </row>
    <row r="121" spans="5:6">
      <c r="E121" s="513"/>
      <c r="F121" s="513"/>
    </row>
    <row r="122" spans="5:6">
      <c r="E122" s="513"/>
      <c r="F122" s="513"/>
    </row>
    <row r="123" spans="5:6">
      <c r="E123" s="513"/>
      <c r="F123" s="513"/>
    </row>
    <row r="124" spans="5:6">
      <c r="E124" s="513"/>
      <c r="F124" s="513"/>
    </row>
    <row r="125" spans="5:6">
      <c r="E125" s="513"/>
      <c r="F125" s="513"/>
    </row>
    <row r="126" spans="5:6">
      <c r="E126" s="513"/>
      <c r="F126" s="513"/>
    </row>
    <row r="127" spans="5:6">
      <c r="E127" s="513"/>
      <c r="F127" s="513"/>
    </row>
    <row r="128" spans="5:6">
      <c r="E128" s="513"/>
      <c r="F128" s="513"/>
    </row>
    <row r="129" spans="5:6">
      <c r="E129" s="513"/>
      <c r="F129" s="513"/>
    </row>
    <row r="130" spans="5:6">
      <c r="E130" s="513"/>
      <c r="F130" s="513"/>
    </row>
    <row r="131" spans="5:6">
      <c r="E131" s="513"/>
      <c r="F131" s="513"/>
    </row>
    <row r="132" spans="5:6">
      <c r="E132" s="513"/>
      <c r="F132" s="513"/>
    </row>
    <row r="133" spans="5:6">
      <c r="E133" s="513"/>
      <c r="F133" s="513"/>
    </row>
    <row r="134" spans="5:6">
      <c r="E134" s="513"/>
      <c r="F134" s="513"/>
    </row>
    <row r="135" spans="5:6">
      <c r="E135" s="513"/>
      <c r="F135" s="513"/>
    </row>
    <row r="136" spans="5:6">
      <c r="E136" s="513"/>
      <c r="F136" s="513"/>
    </row>
    <row r="137" spans="5:6">
      <c r="E137" s="513"/>
      <c r="F137" s="513"/>
    </row>
    <row r="138" spans="5:6">
      <c r="E138" s="513"/>
      <c r="F138" s="513"/>
    </row>
    <row r="139" spans="5:6">
      <c r="E139" s="513"/>
      <c r="F139" s="513"/>
    </row>
    <row r="140" spans="5:6">
      <c r="E140" s="513"/>
      <c r="F140" s="513"/>
    </row>
    <row r="141" spans="5:6">
      <c r="E141" s="513"/>
      <c r="F141" s="513"/>
    </row>
    <row r="142" spans="5:6">
      <c r="E142" s="513"/>
      <c r="F142" s="513"/>
    </row>
    <row r="143" spans="5:6">
      <c r="E143" s="513"/>
      <c r="F143" s="513"/>
    </row>
    <row r="144" spans="5:6">
      <c r="E144" s="513"/>
      <c r="F144" s="513"/>
    </row>
    <row r="145" spans="5:6">
      <c r="E145" s="513"/>
      <c r="F145" s="513"/>
    </row>
    <row r="146" spans="5:6">
      <c r="E146" s="513"/>
      <c r="F146" s="513"/>
    </row>
    <row r="147" spans="5:6">
      <c r="E147" s="513"/>
      <c r="F147" s="513"/>
    </row>
    <row r="148" spans="5:6">
      <c r="E148" s="513"/>
      <c r="F148" s="513"/>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30" workbookViewId="0">
      <selection activeCell="R31" sqref="R31"/>
    </sheetView>
  </sheetViews>
  <sheetFormatPr defaultRowHeight="9"/>
  <cols>
    <col min="1" max="1" width="16.1640625" style="503" customWidth="1"/>
    <col min="2" max="2" width="19.6640625" style="503" customWidth="1"/>
    <col min="3" max="3" width="12.16406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254.25" customHeight="1">
      <c r="A2" s="518" t="s">
        <v>472</v>
      </c>
      <c r="B2" s="518" t="s">
        <v>569</v>
      </c>
      <c r="C2" s="519">
        <v>43272.109027777777</v>
      </c>
      <c r="D2" s="665" t="s">
        <v>726</v>
      </c>
      <c r="E2" s="520">
        <v>98.72</v>
      </c>
      <c r="F2" s="520">
        <v>19.22</v>
      </c>
      <c r="G2" s="468"/>
      <c r="H2" s="474"/>
      <c r="I2" s="507"/>
    </row>
    <row r="3" spans="1:9" s="503" customFormat="1" ht="112.5" customHeight="1">
      <c r="A3" s="518" t="s">
        <v>558</v>
      </c>
      <c r="B3" s="518" t="s">
        <v>727</v>
      </c>
      <c r="C3" s="519">
        <v>43272.611805555556</v>
      </c>
      <c r="D3" s="665" t="s">
        <v>728</v>
      </c>
      <c r="E3" s="520">
        <v>60.33</v>
      </c>
      <c r="F3" s="520"/>
      <c r="G3" s="468"/>
      <c r="H3" s="474"/>
      <c r="I3" s="507"/>
    </row>
    <row r="4" spans="1:9" s="503" customFormat="1" ht="78.75" customHeight="1">
      <c r="A4" s="518" t="s">
        <v>478</v>
      </c>
      <c r="B4" s="518" t="s">
        <v>729</v>
      </c>
      <c r="C4" s="519">
        <v>43275.440972222219</v>
      </c>
      <c r="D4" s="665" t="s">
        <v>730</v>
      </c>
      <c r="E4" s="520">
        <v>3.69</v>
      </c>
      <c r="F4" s="520"/>
      <c r="G4" s="468"/>
      <c r="H4" s="474"/>
      <c r="I4" s="507"/>
    </row>
    <row r="5" spans="1:9" s="503" customFormat="1" ht="85.5" customHeight="1">
      <c r="A5" s="518" t="s">
        <v>731</v>
      </c>
      <c r="B5" s="518" t="s">
        <v>732</v>
      </c>
      <c r="C5" s="519">
        <v>43278.998611111114</v>
      </c>
      <c r="D5" s="665" t="s">
        <v>733</v>
      </c>
      <c r="E5" s="520">
        <v>28.35</v>
      </c>
      <c r="F5" s="520"/>
      <c r="G5" s="468"/>
      <c r="H5" s="474"/>
      <c r="I5" s="507"/>
    </row>
    <row r="6" spans="1:9" s="503" customFormat="1" ht="70.5" customHeight="1">
      <c r="A6" s="821"/>
      <c r="B6" s="821"/>
      <c r="C6" s="822"/>
      <c r="D6" s="823"/>
      <c r="E6" s="824"/>
      <c r="F6" s="824"/>
      <c r="G6" s="468"/>
      <c r="H6" s="474"/>
      <c r="I6" s="510"/>
    </row>
    <row r="7" spans="1:9" s="503" customFormat="1" ht="106.5" customHeight="1">
      <c r="A7" s="724"/>
      <c r="B7" s="724"/>
      <c r="C7" s="725"/>
      <c r="D7" s="726"/>
      <c r="E7" s="727"/>
      <c r="F7" s="727"/>
      <c r="G7" s="468"/>
      <c r="H7" s="474"/>
      <c r="I7" s="507"/>
    </row>
    <row r="8" spans="1:9" ht="107.25" customHeight="1">
      <c r="A8" s="724"/>
      <c r="B8" s="724"/>
      <c r="C8" s="725"/>
      <c r="D8" s="726"/>
      <c r="E8" s="727"/>
      <c r="F8" s="727"/>
    </row>
    <row r="9" spans="1:9" ht="83.25" customHeight="1">
      <c r="A9" s="724"/>
      <c r="B9" s="724"/>
      <c r="C9" s="725"/>
      <c r="D9" s="726"/>
      <c r="E9" s="727"/>
      <c r="F9" s="727"/>
    </row>
    <row r="10" spans="1:9">
      <c r="A10" s="511"/>
      <c r="B10" s="511"/>
      <c r="C10" s="511"/>
      <c r="D10" s="511"/>
      <c r="E10" s="510"/>
      <c r="F10" s="510"/>
    </row>
    <row r="11" spans="1:9">
      <c r="A11" s="511"/>
      <c r="B11" s="511"/>
      <c r="C11" s="511"/>
      <c r="D11" s="511"/>
      <c r="E11" s="510"/>
      <c r="F11" s="510"/>
    </row>
    <row r="12" spans="1:9">
      <c r="A12" s="511"/>
      <c r="B12" s="511"/>
      <c r="C12" s="511"/>
      <c r="D12" s="511"/>
      <c r="E12" s="510"/>
      <c r="F12" s="510"/>
    </row>
    <row r="13" spans="1:9">
      <c r="A13" s="511"/>
      <c r="B13" s="511"/>
      <c r="C13" s="511"/>
      <c r="D13" s="511"/>
      <c r="E13" s="510"/>
      <c r="F13" s="510"/>
    </row>
    <row r="14" spans="1:9">
      <c r="A14" s="511"/>
      <c r="B14" s="511"/>
      <c r="C14" s="511"/>
      <c r="D14" s="511"/>
      <c r="E14" s="510"/>
      <c r="F14" s="510"/>
    </row>
    <row r="15" spans="1:9">
      <c r="A15" s="511"/>
      <c r="B15" s="511"/>
      <c r="C15" s="511"/>
      <c r="D15" s="511"/>
      <c r="E15" s="510"/>
      <c r="F15" s="510"/>
    </row>
    <row r="16" spans="1:9">
      <c r="A16" s="511"/>
      <c r="B16" s="511"/>
      <c r="C16" s="511"/>
      <c r="D16" s="511"/>
      <c r="E16" s="510"/>
      <c r="F16" s="510"/>
    </row>
    <row r="17" spans="1:6">
      <c r="A17" s="511"/>
      <c r="B17" s="511"/>
      <c r="C17" s="511"/>
      <c r="D17" s="511"/>
      <c r="E17" s="510"/>
      <c r="F17" s="510"/>
    </row>
    <row r="18" spans="1:6">
      <c r="A18" s="511"/>
      <c r="B18" s="511"/>
      <c r="C18" s="511"/>
      <c r="D18" s="511"/>
      <c r="E18" s="510"/>
      <c r="F18" s="510"/>
    </row>
    <row r="19" spans="1:6">
      <c r="A19" s="511"/>
      <c r="B19" s="511"/>
      <c r="C19" s="511"/>
      <c r="D19" s="511"/>
      <c r="E19" s="510"/>
      <c r="F19" s="510"/>
    </row>
    <row r="20" spans="1:6">
      <c r="E20" s="513"/>
      <c r="F20" s="513"/>
    </row>
    <row r="21" spans="1:6">
      <c r="E21" s="513"/>
      <c r="F21" s="513"/>
    </row>
    <row r="22" spans="1:6">
      <c r="E22" s="513"/>
      <c r="F22" s="513"/>
    </row>
    <row r="23" spans="1:6">
      <c r="E23" s="513"/>
      <c r="F23" s="513"/>
    </row>
    <row r="24" spans="1:6">
      <c r="E24" s="513"/>
      <c r="F24" s="513"/>
    </row>
    <row r="25" spans="1:6">
      <c r="E25" s="513"/>
      <c r="F25" s="513"/>
    </row>
    <row r="26" spans="1:6">
      <c r="E26" s="513"/>
      <c r="F26" s="513"/>
    </row>
    <row r="27" spans="1:6">
      <c r="E27" s="513"/>
      <c r="F27" s="513"/>
    </row>
    <row r="28" spans="1:6">
      <c r="E28" s="513"/>
      <c r="F28" s="513"/>
    </row>
    <row r="29" spans="1:6">
      <c r="E29" s="513"/>
      <c r="F29" s="513"/>
    </row>
    <row r="30" spans="1:6">
      <c r="E30" s="513"/>
      <c r="F30" s="513"/>
    </row>
    <row r="31" spans="1:6">
      <c r="E31" s="513"/>
      <c r="F31" s="513"/>
    </row>
    <row r="32" spans="1:6">
      <c r="E32" s="513"/>
      <c r="F32" s="513"/>
    </row>
    <row r="33" spans="5:6">
      <c r="E33" s="513"/>
      <c r="F33" s="513"/>
    </row>
    <row r="34" spans="5:6">
      <c r="E34" s="513"/>
      <c r="F34" s="513"/>
    </row>
    <row r="35" spans="5:6">
      <c r="E35" s="513"/>
      <c r="F35" s="513"/>
    </row>
    <row r="36" spans="5:6">
      <c r="E36" s="513"/>
      <c r="F36" s="513"/>
    </row>
    <row r="37" spans="5:6">
      <c r="E37" s="513"/>
      <c r="F37" s="513"/>
    </row>
    <row r="38" spans="5:6">
      <c r="E38" s="513"/>
      <c r="F38" s="513"/>
    </row>
    <row r="39" spans="5:6">
      <c r="E39" s="513"/>
      <c r="F39" s="513"/>
    </row>
    <row r="40" spans="5:6">
      <c r="E40" s="513"/>
      <c r="F40" s="513"/>
    </row>
    <row r="41" spans="5:6">
      <c r="E41" s="513"/>
      <c r="F41" s="513"/>
    </row>
    <row r="42" spans="5:6">
      <c r="E42" s="513"/>
      <c r="F42" s="513"/>
    </row>
    <row r="43" spans="5:6">
      <c r="E43" s="513"/>
      <c r="F43" s="513"/>
    </row>
    <row r="44" spans="5:6">
      <c r="E44" s="513"/>
      <c r="F44" s="513"/>
    </row>
    <row r="45" spans="5:6">
      <c r="E45" s="513"/>
      <c r="F45" s="513"/>
    </row>
    <row r="46" spans="5:6">
      <c r="E46" s="513"/>
      <c r="F46" s="513"/>
    </row>
    <row r="47" spans="5:6">
      <c r="E47" s="513"/>
      <c r="F47" s="513"/>
    </row>
    <row r="48" spans="5:6">
      <c r="E48" s="513"/>
      <c r="F48" s="513"/>
    </row>
    <row r="49" spans="5:6">
      <c r="E49" s="513"/>
      <c r="F49" s="513"/>
    </row>
    <row r="50" spans="5:6">
      <c r="E50" s="513"/>
      <c r="F50" s="513"/>
    </row>
    <row r="51" spans="5:6">
      <c r="E51" s="513"/>
      <c r="F51" s="513"/>
    </row>
    <row r="52" spans="5:6">
      <c r="E52" s="513"/>
      <c r="F52" s="513"/>
    </row>
    <row r="53" spans="5:6">
      <c r="E53" s="513"/>
      <c r="F53" s="513"/>
    </row>
    <row r="54" spans="5:6">
      <c r="E54" s="513"/>
      <c r="F54" s="513"/>
    </row>
    <row r="55" spans="5:6">
      <c r="E55" s="513"/>
      <c r="F55" s="513"/>
    </row>
    <row r="56" spans="5:6">
      <c r="E56" s="513"/>
      <c r="F56" s="513"/>
    </row>
    <row r="57" spans="5:6">
      <c r="E57" s="513"/>
      <c r="F57" s="513"/>
    </row>
    <row r="58" spans="5:6">
      <c r="E58" s="513"/>
      <c r="F58" s="513"/>
    </row>
    <row r="59" spans="5:6">
      <c r="E59" s="513"/>
      <c r="F59" s="513"/>
    </row>
    <row r="60" spans="5:6">
      <c r="E60" s="513"/>
      <c r="F60" s="513"/>
    </row>
    <row r="61" spans="5:6">
      <c r="E61" s="513"/>
      <c r="F61" s="513"/>
    </row>
    <row r="62" spans="5:6">
      <c r="E62" s="513"/>
      <c r="F62" s="513"/>
    </row>
    <row r="63" spans="5:6">
      <c r="E63" s="513"/>
      <c r="F63" s="513"/>
    </row>
    <row r="64" spans="5:6">
      <c r="E64" s="513"/>
      <c r="F64" s="513"/>
    </row>
    <row r="65" spans="5:6">
      <c r="E65" s="513"/>
      <c r="F65" s="513"/>
    </row>
    <row r="66" spans="5:6">
      <c r="E66" s="513"/>
      <c r="F66" s="513"/>
    </row>
    <row r="67" spans="5:6">
      <c r="E67" s="513"/>
      <c r="F67" s="513"/>
    </row>
    <row r="68" spans="5:6">
      <c r="E68" s="513"/>
      <c r="F68" s="513"/>
    </row>
    <row r="69" spans="5:6">
      <c r="E69" s="513"/>
      <c r="F69" s="513"/>
    </row>
    <row r="70" spans="5:6">
      <c r="E70" s="513"/>
      <c r="F70" s="513"/>
    </row>
    <row r="71" spans="5:6">
      <c r="E71" s="513"/>
      <c r="F71" s="513"/>
    </row>
    <row r="72" spans="5:6">
      <c r="E72" s="513"/>
      <c r="F72" s="513"/>
    </row>
    <row r="73" spans="5:6">
      <c r="E73" s="513"/>
      <c r="F73" s="513"/>
    </row>
    <row r="74" spans="5:6">
      <c r="E74" s="513"/>
      <c r="F74" s="513"/>
    </row>
    <row r="75" spans="5:6">
      <c r="E75" s="513"/>
      <c r="F75" s="513"/>
    </row>
    <row r="76" spans="5:6">
      <c r="E76" s="513"/>
      <c r="F76" s="513"/>
    </row>
    <row r="77" spans="5:6">
      <c r="E77" s="513"/>
      <c r="F77" s="513"/>
    </row>
    <row r="78" spans="5:6">
      <c r="E78" s="513"/>
      <c r="F78" s="513"/>
    </row>
    <row r="79" spans="5:6">
      <c r="E79" s="513"/>
      <c r="F79" s="513"/>
    </row>
    <row r="80" spans="5:6">
      <c r="E80" s="513"/>
      <c r="F80" s="513"/>
    </row>
    <row r="81" spans="5:6">
      <c r="E81" s="513"/>
      <c r="F81" s="513"/>
    </row>
    <row r="82" spans="5:6">
      <c r="E82" s="513"/>
      <c r="F82" s="513"/>
    </row>
    <row r="83" spans="5:6">
      <c r="E83" s="513"/>
      <c r="F83" s="513"/>
    </row>
    <row r="84" spans="5:6">
      <c r="E84" s="513"/>
      <c r="F84" s="513"/>
    </row>
    <row r="85" spans="5:6">
      <c r="E85" s="513"/>
      <c r="F85" s="513"/>
    </row>
    <row r="86" spans="5:6">
      <c r="E86" s="513"/>
      <c r="F86" s="513"/>
    </row>
    <row r="87" spans="5:6">
      <c r="E87" s="513"/>
      <c r="F87" s="513"/>
    </row>
    <row r="88" spans="5:6">
      <c r="E88" s="513"/>
      <c r="F88" s="513"/>
    </row>
    <row r="89" spans="5:6">
      <c r="E89" s="513"/>
      <c r="F89" s="513"/>
    </row>
    <row r="90" spans="5:6">
      <c r="E90" s="513"/>
      <c r="F90" s="513"/>
    </row>
    <row r="91" spans="5:6">
      <c r="E91" s="513"/>
      <c r="F91" s="513"/>
    </row>
    <row r="92" spans="5:6">
      <c r="E92" s="513"/>
      <c r="F92" s="513"/>
    </row>
    <row r="93" spans="5:6">
      <c r="E93" s="513"/>
      <c r="F93" s="513"/>
    </row>
    <row r="94" spans="5:6">
      <c r="E94" s="513"/>
      <c r="F94" s="513"/>
    </row>
    <row r="95" spans="5:6">
      <c r="E95" s="513"/>
      <c r="F95" s="513"/>
    </row>
    <row r="96" spans="5:6">
      <c r="E96" s="513"/>
      <c r="F96" s="513"/>
    </row>
    <row r="97" spans="5:6">
      <c r="E97" s="513"/>
      <c r="F97" s="513"/>
    </row>
    <row r="98" spans="5:6">
      <c r="E98" s="513"/>
      <c r="F98" s="513"/>
    </row>
    <row r="99" spans="5:6">
      <c r="E99" s="513"/>
      <c r="F99" s="513"/>
    </row>
    <row r="100" spans="5:6">
      <c r="E100" s="513"/>
      <c r="F100" s="513"/>
    </row>
    <row r="101" spans="5:6">
      <c r="E101" s="513"/>
      <c r="F101" s="513"/>
    </row>
    <row r="102" spans="5:6">
      <c r="E102" s="513"/>
      <c r="F102" s="513"/>
    </row>
    <row r="103" spans="5:6">
      <c r="E103" s="513"/>
      <c r="F103" s="513"/>
    </row>
    <row r="104" spans="5:6">
      <c r="E104" s="513"/>
      <c r="F104" s="513"/>
    </row>
    <row r="105" spans="5:6">
      <c r="E105" s="513"/>
      <c r="F105" s="513"/>
    </row>
    <row r="106" spans="5:6">
      <c r="E106" s="513"/>
      <c r="F106" s="513"/>
    </row>
    <row r="107" spans="5:6">
      <c r="E107" s="513"/>
      <c r="F107" s="513"/>
    </row>
    <row r="108" spans="5:6">
      <c r="E108" s="513"/>
      <c r="F108" s="513"/>
    </row>
    <row r="109" spans="5:6">
      <c r="E109" s="513"/>
      <c r="F109" s="513"/>
    </row>
    <row r="110" spans="5:6">
      <c r="E110" s="513"/>
      <c r="F110" s="513"/>
    </row>
    <row r="111" spans="5:6">
      <c r="E111" s="513"/>
      <c r="F111" s="513"/>
    </row>
    <row r="112" spans="5:6">
      <c r="E112" s="513"/>
      <c r="F112" s="513"/>
    </row>
    <row r="113" spans="5:6">
      <c r="E113" s="513"/>
      <c r="F113" s="513"/>
    </row>
    <row r="114" spans="5:6">
      <c r="E114" s="513"/>
      <c r="F114" s="513"/>
    </row>
    <row r="115" spans="5:6">
      <c r="E115" s="513"/>
      <c r="F115" s="513"/>
    </row>
    <row r="116" spans="5:6">
      <c r="E116" s="513"/>
      <c r="F116" s="513"/>
    </row>
    <row r="117" spans="5:6">
      <c r="E117" s="513"/>
      <c r="F117" s="513"/>
    </row>
    <row r="118" spans="5:6">
      <c r="E118" s="513"/>
      <c r="F118" s="513"/>
    </row>
    <row r="119" spans="5:6">
      <c r="E119" s="513"/>
      <c r="F119" s="513"/>
    </row>
    <row r="120" spans="5:6">
      <c r="E120" s="513"/>
      <c r="F120" s="513"/>
    </row>
    <row r="121" spans="5:6">
      <c r="E121" s="513"/>
      <c r="F121" s="513"/>
    </row>
    <row r="122" spans="5:6">
      <c r="E122" s="513"/>
      <c r="F122" s="513"/>
    </row>
    <row r="123" spans="5:6">
      <c r="E123" s="513"/>
      <c r="F123" s="513"/>
    </row>
    <row r="124" spans="5:6">
      <c r="E124" s="513"/>
      <c r="F124" s="513"/>
    </row>
    <row r="125" spans="5:6">
      <c r="E125" s="513"/>
      <c r="F125" s="513"/>
    </row>
    <row r="126" spans="5:6">
      <c r="E126" s="513"/>
      <c r="F126" s="513"/>
    </row>
    <row r="127" spans="5:6">
      <c r="E127" s="513"/>
      <c r="F127" s="513"/>
    </row>
    <row r="128" spans="5:6">
      <c r="E128" s="513"/>
      <c r="F128" s="513"/>
    </row>
    <row r="129" spans="5:6">
      <c r="E129" s="513"/>
      <c r="F129" s="513"/>
    </row>
    <row r="130" spans="5:6">
      <c r="E130" s="513"/>
      <c r="F130" s="513"/>
    </row>
    <row r="131" spans="5:6">
      <c r="E131" s="513"/>
      <c r="F131" s="513"/>
    </row>
    <row r="132" spans="5:6">
      <c r="E132" s="513"/>
      <c r="F132" s="513"/>
    </row>
    <row r="133" spans="5:6">
      <c r="E133" s="513"/>
      <c r="F133" s="513"/>
    </row>
    <row r="134" spans="5:6">
      <c r="E134" s="513"/>
      <c r="F134" s="513"/>
    </row>
    <row r="135" spans="5:6">
      <c r="E135" s="513"/>
      <c r="F135" s="513"/>
    </row>
    <row r="136" spans="5:6">
      <c r="E136" s="513"/>
      <c r="F136" s="513"/>
    </row>
    <row r="137" spans="5:6">
      <c r="E137" s="513"/>
      <c r="F137" s="513"/>
    </row>
    <row r="138" spans="5:6">
      <c r="E138" s="513"/>
      <c r="F138" s="513"/>
    </row>
    <row r="139" spans="5:6">
      <c r="E139" s="513"/>
      <c r="F139" s="513"/>
    </row>
    <row r="140" spans="5:6">
      <c r="E140" s="513"/>
      <c r="F140" s="513"/>
    </row>
    <row r="141" spans="5:6">
      <c r="E141" s="513"/>
      <c r="F141" s="513"/>
    </row>
    <row r="142" spans="5:6">
      <c r="E142" s="513"/>
      <c r="F142" s="513"/>
    </row>
    <row r="143" spans="5:6">
      <c r="E143" s="513"/>
      <c r="F143" s="513"/>
    </row>
    <row r="144" spans="5:6">
      <c r="E144" s="513"/>
      <c r="F144" s="513"/>
    </row>
    <row r="145" spans="5:6">
      <c r="E145" s="513"/>
      <c r="F145" s="513"/>
    </row>
    <row r="146" spans="5:6">
      <c r="E146" s="513"/>
      <c r="F146" s="513"/>
    </row>
    <row r="147" spans="5:6">
      <c r="E147" s="513"/>
      <c r="F147" s="513"/>
    </row>
    <row r="148" spans="5:6">
      <c r="E148" s="513"/>
      <c r="F148" s="513"/>
    </row>
    <row r="149" spans="5:6">
      <c r="E149" s="513"/>
      <c r="F149" s="513"/>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dimension ref="A1:J147"/>
  <sheetViews>
    <sheetView showGridLines="0" view="pageBreakPreview" topLeftCell="B1" zoomScale="145" zoomScaleNormal="100" zoomScaleSheetLayoutView="145" zoomScalePageLayoutView="145" workbookViewId="0">
      <selection activeCell="I6" sqref="I6"/>
    </sheetView>
  </sheetViews>
  <sheetFormatPr defaultRowHeight="9"/>
  <cols>
    <col min="1" max="1" width="16.1640625" style="503" customWidth="1"/>
    <col min="2" max="2" width="19.6640625" style="503" customWidth="1"/>
    <col min="3" max="3" width="1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72.75" customHeight="1">
      <c r="A2" s="518" t="s">
        <v>473</v>
      </c>
      <c r="B2" s="518"/>
      <c r="C2" s="519"/>
      <c r="D2" s="665"/>
      <c r="E2" s="520"/>
      <c r="F2" s="520"/>
      <c r="G2" s="468"/>
      <c r="H2" s="474"/>
      <c r="I2" s="507"/>
    </row>
    <row r="3" spans="1:9" s="503" customFormat="1" ht="66" customHeight="1">
      <c r="A3" s="518" t="s">
        <v>476</v>
      </c>
      <c r="B3" s="518"/>
      <c r="C3" s="519"/>
      <c r="D3" s="665"/>
      <c r="E3" s="520"/>
      <c r="F3" s="520"/>
      <c r="G3" s="468"/>
      <c r="H3" s="474"/>
      <c r="I3" s="507"/>
    </row>
    <row r="4" spans="1:9" s="503" customFormat="1" ht="76.5" customHeight="1">
      <c r="A4" s="518" t="s">
        <v>476</v>
      </c>
      <c r="B4" s="518"/>
      <c r="C4" s="519"/>
      <c r="D4" s="665"/>
      <c r="E4" s="520"/>
      <c r="F4" s="520"/>
      <c r="G4" s="468"/>
      <c r="H4" s="474"/>
      <c r="I4" s="507"/>
    </row>
    <row r="5" spans="1:9" s="503" customFormat="1" ht="83.25" customHeight="1">
      <c r="A5" s="518" t="s">
        <v>472</v>
      </c>
      <c r="B5" s="518"/>
      <c r="C5" s="519"/>
      <c r="D5" s="665"/>
      <c r="E5" s="520"/>
      <c r="F5" s="520"/>
      <c r="G5" s="468"/>
      <c r="H5" s="474"/>
      <c r="I5" s="511"/>
    </row>
    <row r="6" spans="1:9" s="503" customFormat="1" ht="100.5" customHeight="1">
      <c r="A6" s="518" t="s">
        <v>476</v>
      </c>
      <c r="B6" s="518"/>
      <c r="C6" s="519"/>
      <c r="D6" s="665"/>
      <c r="E6" s="520"/>
      <c r="F6" s="520"/>
      <c r="G6" s="468"/>
      <c r="H6" s="474"/>
    </row>
    <row r="7" spans="1:9" s="503" customFormat="1" ht="70.5" customHeight="1">
      <c r="A7" s="518" t="s">
        <v>96</v>
      </c>
      <c r="B7" s="518"/>
      <c r="C7" s="519"/>
      <c r="D7" s="665"/>
      <c r="E7" s="520"/>
      <c r="F7" s="520"/>
      <c r="G7" s="468"/>
      <c r="H7" s="474"/>
    </row>
    <row r="8" spans="1:9" s="503" customFormat="1" ht="100.5" customHeight="1">
      <c r="A8" s="518" t="s">
        <v>558</v>
      </c>
      <c r="B8" s="518"/>
      <c r="C8" s="519"/>
      <c r="D8" s="665"/>
      <c r="E8" s="520"/>
      <c r="F8" s="520"/>
      <c r="G8" s="468"/>
      <c r="H8" s="474"/>
    </row>
    <row r="9" spans="1:9" s="503" customFormat="1" ht="83.25" customHeight="1">
      <c r="A9" s="518" t="s">
        <v>476</v>
      </c>
      <c r="B9" s="518"/>
      <c r="C9" s="519"/>
      <c r="D9" s="665"/>
      <c r="E9" s="520"/>
      <c r="F9" s="520"/>
    </row>
    <row r="10" spans="1:9" s="503" customFormat="1">
      <c r="A10" s="724"/>
      <c r="B10" s="724"/>
      <c r="C10" s="725"/>
      <c r="D10" s="726"/>
      <c r="E10" s="727"/>
      <c r="F10" s="727"/>
    </row>
    <row r="11" spans="1:9" s="503" customFormat="1">
      <c r="A11" s="724"/>
      <c r="B11" s="724"/>
      <c r="C11" s="725"/>
      <c r="D11" s="726"/>
      <c r="E11" s="727"/>
      <c r="F11" s="727"/>
    </row>
    <row r="12" spans="1:9" s="503" customFormat="1">
      <c r="A12" s="724"/>
      <c r="B12" s="724"/>
      <c r="C12" s="725"/>
      <c r="D12" s="726"/>
      <c r="E12" s="727"/>
      <c r="F12" s="727"/>
    </row>
    <row r="13" spans="1:9" s="503" customFormat="1">
      <c r="A13" s="724"/>
      <c r="B13" s="724"/>
      <c r="C13" s="725"/>
      <c r="D13" s="726"/>
      <c r="E13" s="727"/>
      <c r="F13" s="727"/>
    </row>
    <row r="14" spans="1:9" s="503" customFormat="1">
      <c r="A14" s="724"/>
      <c r="B14" s="724"/>
      <c r="C14" s="725"/>
      <c r="D14" s="726"/>
      <c r="E14" s="727"/>
      <c r="F14" s="727"/>
    </row>
    <row r="15" spans="1:9" s="503" customFormat="1">
      <c r="E15" s="513"/>
      <c r="F15" s="513"/>
    </row>
    <row r="16" spans="1:9" s="503" customFormat="1">
      <c r="E16" s="513"/>
      <c r="F16" s="513"/>
    </row>
    <row r="17" spans="5:6" s="503" customFormat="1">
      <c r="E17" s="513"/>
      <c r="F17" s="513"/>
    </row>
    <row r="18" spans="5:6" s="503" customFormat="1">
      <c r="E18" s="513"/>
      <c r="F18" s="513"/>
    </row>
    <row r="19" spans="5:6" s="503" customFormat="1">
      <c r="E19" s="513"/>
      <c r="F19" s="513"/>
    </row>
    <row r="20" spans="5:6" s="503" customFormat="1">
      <c r="E20" s="513"/>
      <c r="F20" s="513"/>
    </row>
    <row r="21" spans="5:6" s="503" customFormat="1">
      <c r="E21" s="513"/>
      <c r="F21" s="513"/>
    </row>
    <row r="22" spans="5:6" s="503" customFormat="1">
      <c r="E22" s="513"/>
      <c r="F22" s="513"/>
    </row>
    <row r="23" spans="5:6" s="503" customFormat="1">
      <c r="E23" s="513"/>
      <c r="F23" s="513"/>
    </row>
    <row r="24" spans="5:6" s="503" customFormat="1">
      <c r="E24" s="513"/>
      <c r="F24" s="513"/>
    </row>
    <row r="25" spans="5:6" s="503" customFormat="1">
      <c r="E25" s="513"/>
      <c r="F25" s="513"/>
    </row>
    <row r="26" spans="5:6" s="503" customFormat="1">
      <c r="E26" s="513"/>
      <c r="F26" s="513"/>
    </row>
    <row r="27" spans="5:6" s="503" customFormat="1">
      <c r="E27" s="513"/>
      <c r="F27" s="513"/>
    </row>
    <row r="28" spans="5:6" s="503" customFormat="1">
      <c r="E28" s="513"/>
      <c r="F28" s="513"/>
    </row>
    <row r="29" spans="5:6" s="503" customFormat="1">
      <c r="E29" s="513"/>
      <c r="F29" s="513"/>
    </row>
    <row r="30" spans="5:6" s="503" customFormat="1">
      <c r="E30" s="513"/>
      <c r="F30" s="513"/>
    </row>
    <row r="31" spans="5:6" s="503" customFormat="1">
      <c r="E31" s="513"/>
      <c r="F31" s="513"/>
    </row>
    <row r="32" spans="5:6" s="503" customFormat="1">
      <c r="E32" s="513"/>
      <c r="F32" s="513"/>
    </row>
    <row r="33" spans="5:6" s="503" customFormat="1">
      <c r="E33" s="513"/>
      <c r="F33" s="513"/>
    </row>
    <row r="34" spans="5:6" s="503" customFormat="1">
      <c r="E34" s="513"/>
      <c r="F34" s="513"/>
    </row>
    <row r="35" spans="5:6" s="503" customFormat="1">
      <c r="E35" s="513"/>
      <c r="F35" s="513"/>
    </row>
    <row r="36" spans="5:6" s="503" customFormat="1">
      <c r="E36" s="513"/>
      <c r="F36" s="513"/>
    </row>
    <row r="37" spans="5:6" s="503" customFormat="1">
      <c r="E37" s="513"/>
      <c r="F37" s="513"/>
    </row>
    <row r="38" spans="5:6" s="503" customFormat="1">
      <c r="E38" s="513"/>
      <c r="F38" s="513"/>
    </row>
    <row r="39" spans="5:6" s="503" customFormat="1">
      <c r="E39" s="513"/>
      <c r="F39" s="513"/>
    </row>
    <row r="40" spans="5:6" s="503" customFormat="1">
      <c r="E40" s="513"/>
      <c r="F40" s="513"/>
    </row>
    <row r="41" spans="5:6" s="503" customFormat="1">
      <c r="E41" s="513"/>
      <c r="F41" s="513"/>
    </row>
    <row r="42" spans="5:6" s="503" customFormat="1">
      <c r="E42" s="513"/>
      <c r="F42" s="513"/>
    </row>
    <row r="43" spans="5:6" s="503" customFormat="1">
      <c r="E43" s="513"/>
      <c r="F43" s="513"/>
    </row>
    <row r="44" spans="5:6" s="503" customFormat="1">
      <c r="E44" s="513"/>
      <c r="F44" s="513"/>
    </row>
    <row r="45" spans="5:6" s="503" customFormat="1">
      <c r="E45" s="513"/>
      <c r="F45" s="513"/>
    </row>
    <row r="46" spans="5:6" s="503" customFormat="1">
      <c r="E46" s="513"/>
      <c r="F46" s="513"/>
    </row>
    <row r="47" spans="5:6" s="503" customFormat="1">
      <c r="E47" s="513"/>
      <c r="F47" s="513"/>
    </row>
    <row r="48" spans="5:6" s="503" customFormat="1">
      <c r="E48" s="513"/>
      <c r="F48" s="513"/>
    </row>
    <row r="49" spans="5:6" s="503" customFormat="1">
      <c r="E49" s="513"/>
      <c r="F49" s="513"/>
    </row>
    <row r="50" spans="5:6" s="503" customFormat="1">
      <c r="E50" s="513"/>
      <c r="F50" s="513"/>
    </row>
    <row r="51" spans="5:6" s="503" customFormat="1">
      <c r="E51" s="513"/>
      <c r="F51" s="513"/>
    </row>
    <row r="52" spans="5:6" s="503" customFormat="1">
      <c r="E52" s="513"/>
      <c r="F52" s="513"/>
    </row>
    <row r="53" spans="5:6" s="503" customFormat="1">
      <c r="E53" s="513"/>
      <c r="F53" s="513"/>
    </row>
    <row r="54" spans="5:6" s="503" customFormat="1">
      <c r="E54" s="513"/>
      <c r="F54" s="513"/>
    </row>
    <row r="55" spans="5:6" s="503" customFormat="1">
      <c r="E55" s="513"/>
      <c r="F55" s="513"/>
    </row>
    <row r="56" spans="5:6" s="503" customFormat="1">
      <c r="E56" s="513"/>
      <c r="F56" s="513"/>
    </row>
    <row r="57" spans="5:6" s="503" customFormat="1">
      <c r="E57" s="513"/>
      <c r="F57" s="513"/>
    </row>
    <row r="58" spans="5:6" s="503" customFormat="1">
      <c r="E58" s="513"/>
      <c r="F58" s="513"/>
    </row>
    <row r="59" spans="5:6" s="503" customFormat="1">
      <c r="E59" s="513"/>
      <c r="F59" s="513"/>
    </row>
    <row r="60" spans="5:6" s="503" customFormat="1">
      <c r="E60" s="513"/>
      <c r="F60" s="513"/>
    </row>
    <row r="61" spans="5:6" s="503" customFormat="1">
      <c r="E61" s="513"/>
      <c r="F61" s="513"/>
    </row>
    <row r="62" spans="5:6" s="503" customFormat="1">
      <c r="E62" s="513"/>
      <c r="F62" s="513"/>
    </row>
    <row r="63" spans="5:6" s="503" customFormat="1">
      <c r="E63" s="513"/>
      <c r="F63" s="513"/>
    </row>
    <row r="64" spans="5:6" s="503" customFormat="1">
      <c r="E64" s="513"/>
      <c r="F64" s="513"/>
    </row>
    <row r="65" spans="5:6" s="503" customFormat="1">
      <c r="E65" s="513"/>
      <c r="F65" s="513"/>
    </row>
    <row r="66" spans="5:6" s="503" customFormat="1">
      <c r="E66" s="513"/>
      <c r="F66" s="513"/>
    </row>
    <row r="67" spans="5:6" s="503" customFormat="1">
      <c r="E67" s="513"/>
      <c r="F67" s="513"/>
    </row>
    <row r="68" spans="5:6" s="503" customFormat="1">
      <c r="E68" s="513"/>
      <c r="F68" s="513"/>
    </row>
    <row r="69" spans="5:6" s="503" customFormat="1">
      <c r="E69" s="513"/>
      <c r="F69" s="513"/>
    </row>
    <row r="70" spans="5:6" s="503" customFormat="1">
      <c r="E70" s="513"/>
      <c r="F70" s="513"/>
    </row>
    <row r="71" spans="5:6" s="503" customFormat="1">
      <c r="E71" s="513"/>
      <c r="F71" s="513"/>
    </row>
    <row r="72" spans="5:6" s="503" customFormat="1">
      <c r="E72" s="513"/>
      <c r="F72" s="513"/>
    </row>
    <row r="73" spans="5:6" s="503" customFormat="1">
      <c r="E73" s="513"/>
      <c r="F73" s="513"/>
    </row>
    <row r="74" spans="5:6" s="503" customFormat="1">
      <c r="E74" s="513"/>
      <c r="F74" s="513"/>
    </row>
    <row r="75" spans="5:6" s="503" customFormat="1">
      <c r="E75" s="513"/>
      <c r="F75" s="513"/>
    </row>
    <row r="76" spans="5:6" s="503" customFormat="1">
      <c r="E76" s="513"/>
      <c r="F76" s="513"/>
    </row>
    <row r="77" spans="5:6" s="503" customFormat="1">
      <c r="E77" s="513"/>
      <c r="F77" s="513"/>
    </row>
    <row r="78" spans="5:6" s="503" customFormat="1">
      <c r="E78" s="513"/>
      <c r="F78" s="513"/>
    </row>
    <row r="79" spans="5:6" s="503" customFormat="1">
      <c r="E79" s="513"/>
      <c r="F79" s="513"/>
    </row>
    <row r="80" spans="5:6" s="503" customFormat="1">
      <c r="E80" s="513"/>
      <c r="F80" s="513"/>
    </row>
    <row r="81" spans="5:6" s="503" customFormat="1">
      <c r="E81" s="513"/>
      <c r="F81" s="513"/>
    </row>
    <row r="82" spans="5:6" s="503" customFormat="1">
      <c r="E82" s="513"/>
      <c r="F82" s="513"/>
    </row>
    <row r="83" spans="5:6" s="503" customFormat="1">
      <c r="E83" s="513"/>
      <c r="F83" s="513"/>
    </row>
    <row r="84" spans="5:6" s="503" customFormat="1">
      <c r="E84" s="513"/>
      <c r="F84" s="513"/>
    </row>
    <row r="85" spans="5:6" s="503" customFormat="1">
      <c r="E85" s="513"/>
      <c r="F85" s="513"/>
    </row>
    <row r="86" spans="5:6" s="503" customFormat="1">
      <c r="E86" s="513"/>
      <c r="F86" s="513"/>
    </row>
    <row r="87" spans="5:6" s="503" customFormat="1">
      <c r="E87" s="513"/>
      <c r="F87" s="513"/>
    </row>
    <row r="88" spans="5:6" s="503" customFormat="1">
      <c r="E88" s="513"/>
      <c r="F88" s="513"/>
    </row>
    <row r="89" spans="5:6" s="503" customFormat="1">
      <c r="E89" s="513"/>
      <c r="F89" s="513"/>
    </row>
    <row r="90" spans="5:6" s="503" customFormat="1">
      <c r="E90" s="513"/>
      <c r="F90" s="513"/>
    </row>
    <row r="91" spans="5:6" s="503" customFormat="1">
      <c r="E91" s="513"/>
      <c r="F91" s="513"/>
    </row>
    <row r="92" spans="5:6" s="503" customFormat="1">
      <c r="E92" s="513"/>
      <c r="F92" s="513"/>
    </row>
    <row r="93" spans="5:6" s="503" customFormat="1">
      <c r="E93" s="513"/>
      <c r="F93" s="513"/>
    </row>
    <row r="94" spans="5:6" s="503" customFormat="1">
      <c r="E94" s="513"/>
      <c r="F94" s="513"/>
    </row>
    <row r="95" spans="5:6" s="503" customFormat="1">
      <c r="E95" s="513"/>
      <c r="F95" s="513"/>
    </row>
    <row r="96" spans="5:6" s="503" customFormat="1">
      <c r="E96" s="513"/>
      <c r="F96" s="513"/>
    </row>
    <row r="97" spans="5:6" s="503" customFormat="1">
      <c r="E97" s="513"/>
      <c r="F97" s="513"/>
    </row>
    <row r="98" spans="5:6" s="503" customFormat="1">
      <c r="E98" s="513"/>
      <c r="F98" s="513"/>
    </row>
    <row r="99" spans="5:6" s="503" customFormat="1">
      <c r="E99" s="513"/>
      <c r="F99" s="513"/>
    </row>
    <row r="100" spans="5:6" s="503" customFormat="1">
      <c r="E100" s="513"/>
      <c r="F100" s="513"/>
    </row>
    <row r="101" spans="5:6" s="503" customFormat="1">
      <c r="E101" s="513"/>
      <c r="F101" s="513"/>
    </row>
    <row r="102" spans="5:6" s="503" customFormat="1">
      <c r="E102" s="513"/>
      <c r="F102" s="513"/>
    </row>
    <row r="103" spans="5:6" s="503" customFormat="1">
      <c r="E103" s="513"/>
      <c r="F103" s="513"/>
    </row>
    <row r="104" spans="5:6" s="503" customFormat="1">
      <c r="E104" s="513"/>
      <c r="F104" s="513"/>
    </row>
    <row r="105" spans="5:6" s="503" customFormat="1">
      <c r="E105" s="513"/>
      <c r="F105" s="513"/>
    </row>
    <row r="106" spans="5:6" s="503" customFormat="1">
      <c r="E106" s="513"/>
      <c r="F106" s="513"/>
    </row>
    <row r="107" spans="5:6" s="503" customFormat="1">
      <c r="E107" s="513"/>
      <c r="F107" s="513"/>
    </row>
    <row r="108" spans="5:6" s="503" customFormat="1">
      <c r="E108" s="513"/>
      <c r="F108" s="513"/>
    </row>
    <row r="109" spans="5:6" s="503" customFormat="1">
      <c r="E109" s="513"/>
      <c r="F109" s="513"/>
    </row>
    <row r="110" spans="5:6" s="503" customFormat="1">
      <c r="E110" s="513"/>
      <c r="F110" s="513"/>
    </row>
    <row r="111" spans="5:6" s="503" customFormat="1">
      <c r="E111" s="513"/>
      <c r="F111" s="513"/>
    </row>
    <row r="112" spans="5:6" s="503" customFormat="1">
      <c r="E112" s="513"/>
      <c r="F112" s="513"/>
    </row>
    <row r="113" spans="5:6" s="503" customFormat="1">
      <c r="E113" s="513"/>
      <c r="F113" s="513"/>
    </row>
    <row r="114" spans="5:6" s="503" customFormat="1">
      <c r="E114" s="513"/>
      <c r="F114" s="513"/>
    </row>
    <row r="115" spans="5:6" s="503" customFormat="1">
      <c r="E115" s="513"/>
      <c r="F115" s="513"/>
    </row>
    <row r="116" spans="5:6" s="503" customFormat="1">
      <c r="E116" s="513"/>
      <c r="F116" s="513"/>
    </row>
    <row r="117" spans="5:6" s="503" customFormat="1">
      <c r="E117" s="513"/>
      <c r="F117" s="513"/>
    </row>
    <row r="118" spans="5:6" s="503" customFormat="1">
      <c r="E118" s="513"/>
      <c r="F118" s="513"/>
    </row>
    <row r="119" spans="5:6" s="503" customFormat="1">
      <c r="E119" s="513"/>
      <c r="F119" s="513"/>
    </row>
    <row r="120" spans="5:6" s="503" customFormat="1">
      <c r="E120" s="513"/>
      <c r="F120" s="513"/>
    </row>
    <row r="121" spans="5:6" s="503" customFormat="1">
      <c r="E121" s="513"/>
      <c r="F121" s="513"/>
    </row>
    <row r="122" spans="5:6" s="503" customFormat="1">
      <c r="E122" s="513"/>
      <c r="F122" s="513"/>
    </row>
    <row r="123" spans="5:6" s="503" customFormat="1">
      <c r="E123" s="513"/>
      <c r="F123" s="513"/>
    </row>
    <row r="124" spans="5:6" s="503" customFormat="1">
      <c r="E124" s="513"/>
      <c r="F124" s="513"/>
    </row>
    <row r="125" spans="5:6" s="503" customFormat="1">
      <c r="E125" s="513"/>
      <c r="F125" s="513"/>
    </row>
    <row r="126" spans="5:6" s="503" customFormat="1">
      <c r="E126" s="513"/>
      <c r="F126" s="513"/>
    </row>
    <row r="127" spans="5:6" s="503" customFormat="1">
      <c r="E127" s="513"/>
      <c r="F127" s="513"/>
    </row>
    <row r="128" spans="5:6" s="503" customFormat="1">
      <c r="E128" s="513"/>
      <c r="F128" s="513"/>
    </row>
    <row r="129" spans="5:6" s="503" customFormat="1">
      <c r="E129" s="513"/>
      <c r="F129" s="513"/>
    </row>
    <row r="130" spans="5:6" s="503" customFormat="1">
      <c r="E130" s="513"/>
      <c r="F130" s="513"/>
    </row>
    <row r="131" spans="5:6" s="503" customFormat="1">
      <c r="E131" s="513"/>
      <c r="F131" s="513"/>
    </row>
    <row r="132" spans="5:6" s="503" customFormat="1">
      <c r="E132" s="513"/>
      <c r="F132" s="513"/>
    </row>
    <row r="133" spans="5:6" s="503" customFormat="1">
      <c r="E133" s="513"/>
      <c r="F133" s="513"/>
    </row>
    <row r="134" spans="5:6" s="503" customFormat="1">
      <c r="E134" s="513"/>
      <c r="F134" s="513"/>
    </row>
    <row r="135" spans="5:6" s="503" customFormat="1">
      <c r="E135" s="513"/>
      <c r="F135" s="513"/>
    </row>
    <row r="136" spans="5:6" s="503" customFormat="1">
      <c r="E136" s="513"/>
      <c r="F136" s="513"/>
    </row>
    <row r="137" spans="5:6" s="503" customFormat="1">
      <c r="E137" s="513"/>
      <c r="F137" s="513"/>
    </row>
    <row r="138" spans="5:6" s="503" customFormat="1">
      <c r="E138" s="513"/>
      <c r="F138" s="513"/>
    </row>
    <row r="139" spans="5:6" s="503" customFormat="1">
      <c r="E139" s="513"/>
      <c r="F139" s="513"/>
    </row>
    <row r="140" spans="5:6" s="503" customFormat="1">
      <c r="E140" s="513"/>
      <c r="F140" s="513"/>
    </row>
    <row r="141" spans="5:6" s="503" customFormat="1">
      <c r="E141" s="513"/>
      <c r="F141" s="513"/>
    </row>
    <row r="142" spans="5:6" s="503" customFormat="1">
      <c r="E142" s="513"/>
      <c r="F142" s="513"/>
    </row>
    <row r="143" spans="5:6" s="503" customFormat="1">
      <c r="E143" s="513"/>
      <c r="F143" s="513"/>
    </row>
    <row r="144" spans="5:6" s="503" customFormat="1">
      <c r="E144" s="513"/>
      <c r="F144" s="513"/>
    </row>
    <row r="145" spans="5:6" s="503" customFormat="1">
      <c r="E145" s="513"/>
      <c r="F145" s="513"/>
    </row>
    <row r="146" spans="5:6" s="503" customFormat="1">
      <c r="E146" s="513"/>
      <c r="F146" s="513"/>
    </row>
    <row r="147" spans="5:6" s="503" customFormat="1">
      <c r="E147" s="513"/>
      <c r="F147" s="513"/>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dimension ref="A1:J162"/>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503" customWidth="1"/>
    <col min="2" max="2" width="19.6640625" style="503" customWidth="1"/>
    <col min="3" max="3" width="1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90" customHeight="1">
      <c r="A2" s="518"/>
      <c r="B2" s="518"/>
      <c r="C2" s="519"/>
      <c r="D2" s="665"/>
      <c r="E2" s="520"/>
      <c r="F2" s="520"/>
      <c r="G2" s="468"/>
      <c r="H2" s="474"/>
    </row>
    <row r="3" spans="1:9" s="503" customFormat="1" ht="73.5" customHeight="1">
      <c r="A3" s="518"/>
      <c r="B3" s="518"/>
      <c r="C3" s="519"/>
      <c r="D3" s="665"/>
      <c r="E3" s="520"/>
      <c r="F3" s="520"/>
      <c r="G3" s="468"/>
      <c r="H3" s="474"/>
    </row>
    <row r="4" spans="1:9" s="503" customFormat="1" ht="93" customHeight="1">
      <c r="A4" s="518"/>
      <c r="B4" s="518"/>
      <c r="C4" s="519"/>
      <c r="D4" s="665"/>
      <c r="E4" s="520"/>
      <c r="F4" s="520"/>
      <c r="G4" s="468"/>
      <c r="H4" s="474"/>
    </row>
    <row r="5" spans="1:9" s="503" customFormat="1" ht="75" customHeight="1">
      <c r="A5" s="518"/>
      <c r="B5" s="518"/>
      <c r="C5" s="519"/>
      <c r="D5" s="665"/>
      <c r="E5" s="520"/>
      <c r="F5" s="520"/>
      <c r="G5" s="468"/>
      <c r="H5" s="474"/>
    </row>
    <row r="6" spans="1:9" s="503" customFormat="1" ht="78" customHeight="1">
      <c r="A6" s="518"/>
      <c r="B6" s="518"/>
      <c r="C6" s="519"/>
      <c r="D6" s="665"/>
      <c r="E6" s="520"/>
      <c r="F6" s="520"/>
      <c r="G6" s="468"/>
      <c r="H6" s="474"/>
    </row>
    <row r="7" spans="1:9" s="503" customFormat="1" ht="105" customHeight="1">
      <c r="A7" s="518"/>
      <c r="B7" s="518"/>
      <c r="C7" s="519"/>
      <c r="D7" s="665"/>
      <c r="E7" s="520"/>
      <c r="F7" s="520"/>
      <c r="G7" s="468"/>
      <c r="H7" s="474"/>
    </row>
    <row r="8" spans="1:9" s="503" customFormat="1" ht="77.25" customHeight="1">
      <c r="A8" s="518"/>
      <c r="B8" s="518"/>
      <c r="C8" s="519"/>
      <c r="D8" s="665"/>
      <c r="E8" s="520"/>
      <c r="F8" s="520"/>
      <c r="G8" s="468"/>
      <c r="H8" s="474"/>
    </row>
    <row r="9" spans="1:9" s="503" customFormat="1" ht="87.75" customHeight="1">
      <c r="A9" s="518"/>
      <c r="B9" s="518"/>
      <c r="C9" s="519"/>
      <c r="D9" s="665"/>
      <c r="E9" s="520"/>
      <c r="F9" s="520"/>
      <c r="G9" s="477"/>
      <c r="H9" s="474"/>
    </row>
    <row r="10" spans="1:9" s="503" customFormat="1">
      <c r="E10" s="513"/>
      <c r="F10" s="513"/>
    </row>
    <row r="11" spans="1:9" s="503" customFormat="1">
      <c r="E11" s="513"/>
      <c r="F11" s="513"/>
    </row>
    <row r="12" spans="1:9" s="503" customFormat="1">
      <c r="E12" s="513"/>
      <c r="F12" s="513"/>
    </row>
    <row r="13" spans="1:9" s="503" customFormat="1">
      <c r="E13" s="513"/>
      <c r="F13" s="513"/>
    </row>
    <row r="14" spans="1:9" s="503" customFormat="1">
      <c r="E14" s="513"/>
      <c r="F14" s="513"/>
    </row>
    <row r="15" spans="1:9" s="503" customFormat="1">
      <c r="E15" s="513"/>
      <c r="F15" s="513"/>
    </row>
    <row r="16" spans="1:9" s="503" customFormat="1">
      <c r="E16" s="513"/>
      <c r="F16" s="513"/>
    </row>
    <row r="17" spans="5:6" s="503" customFormat="1">
      <c r="E17" s="513"/>
      <c r="F17" s="513"/>
    </row>
    <row r="18" spans="5:6" s="503" customFormat="1">
      <c r="E18" s="513"/>
      <c r="F18" s="513"/>
    </row>
    <row r="19" spans="5:6" s="503" customFormat="1">
      <c r="E19" s="513"/>
      <c r="F19" s="513"/>
    </row>
    <row r="20" spans="5:6" s="503" customFormat="1">
      <c r="E20" s="513"/>
      <c r="F20" s="513"/>
    </row>
    <row r="21" spans="5:6" s="503" customFormat="1">
      <c r="E21" s="513"/>
      <c r="F21" s="513"/>
    </row>
    <row r="22" spans="5:6" s="503" customFormat="1">
      <c r="E22" s="513"/>
      <c r="F22" s="513"/>
    </row>
    <row r="23" spans="5:6" s="503" customFormat="1">
      <c r="E23" s="513"/>
      <c r="F23" s="513"/>
    </row>
    <row r="24" spans="5:6" s="503" customFormat="1">
      <c r="E24" s="513"/>
      <c r="F24" s="513"/>
    </row>
    <row r="25" spans="5:6" s="503" customFormat="1">
      <c r="E25" s="513"/>
      <c r="F25" s="513"/>
    </row>
    <row r="26" spans="5:6" s="503" customFormat="1">
      <c r="E26" s="513"/>
      <c r="F26" s="513"/>
    </row>
    <row r="27" spans="5:6" s="503" customFormat="1">
      <c r="E27" s="513"/>
      <c r="F27" s="513"/>
    </row>
    <row r="28" spans="5:6" s="503" customFormat="1">
      <c r="E28" s="513"/>
      <c r="F28" s="513"/>
    </row>
    <row r="29" spans="5:6" s="503" customFormat="1">
      <c r="E29" s="513"/>
      <c r="F29" s="513"/>
    </row>
    <row r="30" spans="5:6" s="503" customFormat="1">
      <c r="E30" s="513"/>
      <c r="F30" s="513"/>
    </row>
    <row r="31" spans="5:6" s="503" customFormat="1">
      <c r="E31" s="513"/>
      <c r="F31" s="513"/>
    </row>
    <row r="32" spans="5:6" s="503" customFormat="1">
      <c r="E32" s="513"/>
      <c r="F32" s="513"/>
    </row>
    <row r="33" spans="5:6" s="503" customFormat="1">
      <c r="E33" s="513"/>
      <c r="F33" s="513"/>
    </row>
    <row r="34" spans="5:6" s="503" customFormat="1">
      <c r="E34" s="513"/>
      <c r="F34" s="513"/>
    </row>
    <row r="35" spans="5:6" s="503" customFormat="1">
      <c r="E35" s="513"/>
      <c r="F35" s="513"/>
    </row>
    <row r="36" spans="5:6" s="503" customFormat="1">
      <c r="E36" s="513"/>
      <c r="F36" s="513"/>
    </row>
    <row r="37" spans="5:6" s="503" customFormat="1">
      <c r="E37" s="513"/>
      <c r="F37" s="513"/>
    </row>
    <row r="38" spans="5:6" s="503" customFormat="1">
      <c r="E38" s="513"/>
      <c r="F38" s="513"/>
    </row>
    <row r="39" spans="5:6" s="503" customFormat="1">
      <c r="E39" s="513"/>
      <c r="F39" s="513"/>
    </row>
    <row r="40" spans="5:6" s="503" customFormat="1">
      <c r="E40" s="513"/>
      <c r="F40" s="513"/>
    </row>
    <row r="41" spans="5:6" s="503" customFormat="1">
      <c r="E41" s="513"/>
      <c r="F41" s="513"/>
    </row>
    <row r="42" spans="5:6" s="503" customFormat="1">
      <c r="E42" s="513"/>
      <c r="F42" s="513"/>
    </row>
    <row r="43" spans="5:6" s="503" customFormat="1">
      <c r="E43" s="513"/>
      <c r="F43" s="513"/>
    </row>
    <row r="44" spans="5:6" s="503" customFormat="1">
      <c r="E44" s="513"/>
      <c r="F44" s="513"/>
    </row>
    <row r="45" spans="5:6" s="503" customFormat="1">
      <c r="E45" s="513"/>
      <c r="F45" s="513"/>
    </row>
    <row r="46" spans="5:6" s="503" customFormat="1">
      <c r="E46" s="513"/>
      <c r="F46" s="513"/>
    </row>
    <row r="47" spans="5:6" s="503" customFormat="1">
      <c r="E47" s="513"/>
      <c r="F47" s="513"/>
    </row>
    <row r="48" spans="5:6" s="503" customFormat="1">
      <c r="E48" s="513"/>
      <c r="F48" s="513"/>
    </row>
    <row r="49" spans="5:6" s="503" customFormat="1">
      <c r="E49" s="513"/>
      <c r="F49" s="513"/>
    </row>
    <row r="50" spans="5:6" s="503" customFormat="1">
      <c r="E50" s="513"/>
      <c r="F50" s="513"/>
    </row>
    <row r="51" spans="5:6" s="503" customFormat="1">
      <c r="E51" s="513"/>
      <c r="F51" s="513"/>
    </row>
    <row r="52" spans="5:6" s="503" customFormat="1">
      <c r="E52" s="513"/>
      <c r="F52" s="513"/>
    </row>
    <row r="53" spans="5:6" s="503" customFormat="1">
      <c r="E53" s="513"/>
      <c r="F53" s="513"/>
    </row>
    <row r="54" spans="5:6" s="503" customFormat="1">
      <c r="E54" s="513"/>
      <c r="F54" s="513"/>
    </row>
    <row r="55" spans="5:6" s="503" customFormat="1">
      <c r="E55" s="513"/>
      <c r="F55" s="513"/>
    </row>
    <row r="56" spans="5:6" s="503" customFormat="1">
      <c r="E56" s="513"/>
      <c r="F56" s="513"/>
    </row>
    <row r="57" spans="5:6" s="503" customFormat="1">
      <c r="E57" s="513"/>
      <c r="F57" s="513"/>
    </row>
    <row r="58" spans="5:6" s="503" customFormat="1">
      <c r="E58" s="513"/>
      <c r="F58" s="513"/>
    </row>
    <row r="59" spans="5:6" s="503" customFormat="1">
      <c r="E59" s="513"/>
      <c r="F59" s="513"/>
    </row>
    <row r="60" spans="5:6" s="503" customFormat="1">
      <c r="E60" s="513"/>
      <c r="F60" s="513"/>
    </row>
    <row r="61" spans="5:6" s="503" customFormat="1">
      <c r="E61" s="513"/>
      <c r="F61" s="513"/>
    </row>
    <row r="62" spans="5:6" s="503" customFormat="1">
      <c r="E62" s="513"/>
      <c r="F62" s="513"/>
    </row>
    <row r="63" spans="5:6" s="503" customFormat="1">
      <c r="E63" s="513"/>
      <c r="F63" s="513"/>
    </row>
    <row r="64" spans="5:6" s="503" customFormat="1">
      <c r="E64" s="513"/>
      <c r="F64" s="513"/>
    </row>
    <row r="65" spans="5:6" s="503" customFormat="1">
      <c r="E65" s="513"/>
      <c r="F65" s="513"/>
    </row>
    <row r="66" spans="5:6" s="503" customFormat="1">
      <c r="E66" s="513"/>
      <c r="F66" s="513"/>
    </row>
    <row r="67" spans="5:6" s="503" customFormat="1">
      <c r="E67" s="513"/>
      <c r="F67" s="513"/>
    </row>
    <row r="68" spans="5:6" s="503" customFormat="1">
      <c r="E68" s="513"/>
      <c r="F68" s="513"/>
    </row>
    <row r="69" spans="5:6" s="503" customFormat="1">
      <c r="E69" s="513"/>
      <c r="F69" s="513"/>
    </row>
    <row r="70" spans="5:6" s="503" customFormat="1">
      <c r="E70" s="513"/>
      <c r="F70" s="513"/>
    </row>
    <row r="71" spans="5:6" s="503" customFormat="1">
      <c r="E71" s="513"/>
      <c r="F71" s="513"/>
    </row>
    <row r="72" spans="5:6" s="503" customFormat="1">
      <c r="E72" s="513"/>
      <c r="F72" s="513"/>
    </row>
    <row r="73" spans="5:6" s="503" customFormat="1">
      <c r="E73" s="513"/>
      <c r="F73" s="513"/>
    </row>
    <row r="74" spans="5:6" s="503" customFormat="1">
      <c r="E74" s="513"/>
      <c r="F74" s="513"/>
    </row>
    <row r="75" spans="5:6" s="503" customFormat="1">
      <c r="E75" s="513"/>
      <c r="F75" s="513"/>
    </row>
    <row r="76" spans="5:6" s="503" customFormat="1">
      <c r="E76" s="513"/>
      <c r="F76" s="513"/>
    </row>
    <row r="77" spans="5:6" s="503" customFormat="1">
      <c r="E77" s="513"/>
      <c r="F77" s="513"/>
    </row>
    <row r="78" spans="5:6" s="503" customFormat="1">
      <c r="E78" s="513"/>
      <c r="F78" s="513"/>
    </row>
    <row r="79" spans="5:6" s="503" customFormat="1">
      <c r="E79" s="513"/>
      <c r="F79" s="513"/>
    </row>
    <row r="80" spans="5:6" s="503" customFormat="1">
      <c r="E80" s="513"/>
      <c r="F80" s="513"/>
    </row>
    <row r="81" spans="5:6" s="503" customFormat="1">
      <c r="E81" s="513"/>
      <c r="F81" s="513"/>
    </row>
    <row r="82" spans="5:6" s="503" customFormat="1">
      <c r="E82" s="513"/>
      <c r="F82" s="513"/>
    </row>
    <row r="83" spans="5:6" s="503" customFormat="1">
      <c r="E83" s="513"/>
      <c r="F83" s="513"/>
    </row>
    <row r="84" spans="5:6" s="503" customFormat="1">
      <c r="E84" s="513"/>
      <c r="F84" s="513"/>
    </row>
    <row r="85" spans="5:6" s="503" customFormat="1">
      <c r="E85" s="513"/>
      <c r="F85" s="513"/>
    </row>
    <row r="86" spans="5:6" s="503" customFormat="1">
      <c r="E86" s="513"/>
      <c r="F86" s="513"/>
    </row>
    <row r="87" spans="5:6" s="503" customFormat="1">
      <c r="E87" s="513"/>
      <c r="F87" s="513"/>
    </row>
    <row r="88" spans="5:6" s="503" customFormat="1">
      <c r="E88" s="513"/>
      <c r="F88" s="513"/>
    </row>
    <row r="89" spans="5:6" s="503" customFormat="1">
      <c r="E89" s="513"/>
      <c r="F89" s="513"/>
    </row>
    <row r="90" spans="5:6" s="503" customFormat="1">
      <c r="E90" s="513"/>
      <c r="F90" s="513"/>
    </row>
    <row r="91" spans="5:6" s="503" customFormat="1">
      <c r="E91" s="513"/>
      <c r="F91" s="513"/>
    </row>
    <row r="92" spans="5:6" s="503" customFormat="1">
      <c r="E92" s="513"/>
      <c r="F92" s="513"/>
    </row>
    <row r="93" spans="5:6" s="503" customFormat="1">
      <c r="E93" s="513"/>
      <c r="F93" s="513"/>
    </row>
    <row r="94" spans="5:6" s="503" customFormat="1">
      <c r="E94" s="513"/>
      <c r="F94" s="513"/>
    </row>
    <row r="95" spans="5:6" s="503" customFormat="1">
      <c r="E95" s="513"/>
      <c r="F95" s="513"/>
    </row>
    <row r="96" spans="5:6" s="503" customFormat="1">
      <c r="E96" s="513"/>
      <c r="F96" s="513"/>
    </row>
    <row r="97" spans="5:6" s="503" customFormat="1">
      <c r="E97" s="513"/>
      <c r="F97" s="513"/>
    </row>
    <row r="98" spans="5:6" s="503" customFormat="1">
      <c r="E98" s="513"/>
      <c r="F98" s="513"/>
    </row>
    <row r="99" spans="5:6" s="503" customFormat="1">
      <c r="E99" s="513"/>
      <c r="F99" s="513"/>
    </row>
    <row r="100" spans="5:6" s="503" customFormat="1">
      <c r="E100" s="513"/>
      <c r="F100" s="513"/>
    </row>
    <row r="101" spans="5:6" s="503" customFormat="1">
      <c r="E101" s="513"/>
      <c r="F101" s="513"/>
    </row>
    <row r="102" spans="5:6" s="503" customFormat="1">
      <c r="E102" s="513"/>
      <c r="F102" s="513"/>
    </row>
    <row r="103" spans="5:6" s="503" customFormat="1">
      <c r="E103" s="513"/>
      <c r="F103" s="513"/>
    </row>
    <row r="104" spans="5:6" s="503" customFormat="1">
      <c r="E104" s="513"/>
      <c r="F104" s="513"/>
    </row>
    <row r="105" spans="5:6" s="503" customFormat="1">
      <c r="E105" s="513"/>
      <c r="F105" s="513"/>
    </row>
    <row r="106" spans="5:6" s="503" customFormat="1">
      <c r="E106" s="513"/>
      <c r="F106" s="513"/>
    </row>
    <row r="107" spans="5:6" s="503" customFormat="1">
      <c r="E107" s="513"/>
      <c r="F107" s="513"/>
    </row>
    <row r="108" spans="5:6" s="503" customFormat="1">
      <c r="E108" s="513"/>
      <c r="F108" s="513"/>
    </row>
    <row r="109" spans="5:6" s="503" customFormat="1">
      <c r="E109" s="513"/>
      <c r="F109" s="513"/>
    </row>
    <row r="110" spans="5:6" s="503" customFormat="1">
      <c r="E110" s="513"/>
      <c r="F110" s="513"/>
    </row>
    <row r="111" spans="5:6" s="503" customFormat="1">
      <c r="E111" s="513"/>
      <c r="F111" s="513"/>
    </row>
    <row r="112" spans="5:6" s="503" customFormat="1">
      <c r="E112" s="513"/>
      <c r="F112" s="513"/>
    </row>
    <row r="113" spans="5:6" s="503" customFormat="1">
      <c r="E113" s="513"/>
      <c r="F113" s="513"/>
    </row>
    <row r="114" spans="5:6" s="503" customFormat="1">
      <c r="E114" s="513"/>
      <c r="F114" s="513"/>
    </row>
    <row r="115" spans="5:6" s="503" customFormat="1">
      <c r="E115" s="513"/>
      <c r="F115" s="513"/>
    </row>
    <row r="116" spans="5:6" s="503" customFormat="1">
      <c r="E116" s="513"/>
      <c r="F116" s="513"/>
    </row>
    <row r="117" spans="5:6" s="503" customFormat="1">
      <c r="E117" s="513"/>
      <c r="F117" s="513"/>
    </row>
    <row r="118" spans="5:6" s="503" customFormat="1">
      <c r="E118" s="513"/>
      <c r="F118" s="513"/>
    </row>
    <row r="119" spans="5:6" s="503" customFormat="1">
      <c r="E119" s="513"/>
      <c r="F119" s="513"/>
    </row>
    <row r="120" spans="5:6" s="503" customFormat="1">
      <c r="E120" s="513"/>
      <c r="F120" s="513"/>
    </row>
    <row r="121" spans="5:6" s="503" customFormat="1">
      <c r="E121" s="513"/>
      <c r="F121" s="513"/>
    </row>
    <row r="122" spans="5:6" s="503" customFormat="1">
      <c r="E122" s="513"/>
      <c r="F122" s="513"/>
    </row>
    <row r="123" spans="5:6" s="503" customFormat="1">
      <c r="E123" s="513"/>
      <c r="F123" s="513"/>
    </row>
    <row r="124" spans="5:6" s="503" customFormat="1">
      <c r="E124" s="513"/>
      <c r="F124" s="513"/>
    </row>
    <row r="125" spans="5:6" s="503" customFormat="1">
      <c r="E125" s="513"/>
      <c r="F125" s="513"/>
    </row>
    <row r="126" spans="5:6" s="503" customFormat="1">
      <c r="E126" s="513"/>
      <c r="F126" s="513"/>
    </row>
    <row r="127" spans="5:6" s="503" customFormat="1">
      <c r="E127" s="513"/>
      <c r="F127" s="513"/>
    </row>
    <row r="128" spans="5:6" s="503" customFormat="1">
      <c r="E128" s="513"/>
      <c r="F128" s="513"/>
    </row>
    <row r="129" spans="5:6" s="503" customFormat="1">
      <c r="E129" s="513"/>
      <c r="F129" s="513"/>
    </row>
    <row r="130" spans="5:6" s="503" customFormat="1">
      <c r="E130" s="513"/>
      <c r="F130" s="513"/>
    </row>
    <row r="131" spans="5:6" s="503" customFormat="1">
      <c r="E131" s="513"/>
      <c r="F131" s="513"/>
    </row>
    <row r="132" spans="5:6" s="503" customFormat="1">
      <c r="E132" s="513"/>
      <c r="F132" s="513"/>
    </row>
    <row r="133" spans="5:6" s="503" customFormat="1">
      <c r="E133" s="513"/>
      <c r="F133" s="513"/>
    </row>
    <row r="134" spans="5:6" s="503" customFormat="1">
      <c r="E134" s="513"/>
      <c r="F134" s="513"/>
    </row>
    <row r="135" spans="5:6" s="503" customFormat="1">
      <c r="E135" s="513"/>
      <c r="F135" s="513"/>
    </row>
    <row r="136" spans="5:6" s="503" customFormat="1">
      <c r="E136" s="513"/>
      <c r="F136" s="513"/>
    </row>
    <row r="137" spans="5:6" s="503" customFormat="1">
      <c r="E137" s="513"/>
      <c r="F137" s="513"/>
    </row>
    <row r="138" spans="5:6" s="503" customFormat="1">
      <c r="E138" s="513"/>
      <c r="F138" s="513"/>
    </row>
    <row r="139" spans="5:6" s="503" customFormat="1">
      <c r="E139" s="513"/>
      <c r="F139" s="513"/>
    </row>
    <row r="140" spans="5:6" s="503" customFormat="1">
      <c r="E140" s="513"/>
      <c r="F140" s="513"/>
    </row>
    <row r="141" spans="5:6" s="503" customFormat="1">
      <c r="E141" s="513"/>
      <c r="F141" s="513"/>
    </row>
    <row r="142" spans="5:6" s="503" customFormat="1">
      <c r="E142" s="513"/>
      <c r="F142" s="513"/>
    </row>
    <row r="143" spans="5:6" s="503" customFormat="1">
      <c r="E143" s="513"/>
      <c r="F143" s="513"/>
    </row>
    <row r="144" spans="5:6" s="503" customFormat="1">
      <c r="E144" s="513"/>
      <c r="F144" s="513"/>
    </row>
    <row r="145" spans="5:6" s="503" customFormat="1">
      <c r="E145" s="513"/>
      <c r="F145" s="513"/>
    </row>
    <row r="146" spans="5:6" s="503" customFormat="1">
      <c r="E146" s="513"/>
      <c r="F146" s="513"/>
    </row>
    <row r="147" spans="5:6" s="503" customFormat="1">
      <c r="E147" s="513"/>
      <c r="F147" s="513"/>
    </row>
    <row r="148" spans="5:6" s="503" customFormat="1">
      <c r="E148" s="513"/>
      <c r="F148" s="513"/>
    </row>
    <row r="149" spans="5:6" s="503" customFormat="1">
      <c r="E149" s="513"/>
      <c r="F149" s="513"/>
    </row>
    <row r="150" spans="5:6" s="503" customFormat="1">
      <c r="E150" s="513"/>
      <c r="F150" s="513"/>
    </row>
    <row r="151" spans="5:6" s="503" customFormat="1">
      <c r="E151" s="513"/>
      <c r="F151" s="513"/>
    </row>
    <row r="152" spans="5:6" s="503" customFormat="1">
      <c r="E152" s="513"/>
      <c r="F152" s="513"/>
    </row>
    <row r="153" spans="5:6" s="503" customFormat="1">
      <c r="E153" s="513"/>
      <c r="F153" s="513"/>
    </row>
    <row r="154" spans="5:6" s="503" customFormat="1">
      <c r="E154" s="513"/>
      <c r="F154" s="513"/>
    </row>
    <row r="155" spans="5:6" s="503" customFormat="1">
      <c r="E155" s="513"/>
      <c r="F155" s="513"/>
    </row>
    <row r="156" spans="5:6" s="503" customFormat="1">
      <c r="E156" s="513"/>
      <c r="F156" s="513"/>
    </row>
    <row r="157" spans="5:6" s="503" customFormat="1">
      <c r="E157" s="513"/>
      <c r="F157" s="513"/>
    </row>
    <row r="158" spans="5:6" s="503" customFormat="1">
      <c r="E158" s="513"/>
      <c r="F158" s="513"/>
    </row>
    <row r="159" spans="5:6" s="503" customFormat="1">
      <c r="E159" s="513"/>
      <c r="F159" s="513"/>
    </row>
    <row r="160" spans="5:6" s="503" customFormat="1">
      <c r="E160" s="513"/>
      <c r="F160" s="513"/>
    </row>
    <row r="161" spans="5:6" s="503" customFormat="1">
      <c r="E161" s="513"/>
      <c r="F161" s="513"/>
    </row>
    <row r="162" spans="5:6" s="503" customFormat="1">
      <c r="E162" s="513"/>
      <c r="F162" s="513"/>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dimension ref="A1:J161"/>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503" customWidth="1"/>
    <col min="2" max="2" width="19.6640625" style="503" customWidth="1"/>
    <col min="3" max="3" width="12.5" style="503" bestFit="1" customWidth="1"/>
    <col min="4" max="4" width="47.1640625" style="503" customWidth="1"/>
    <col min="5" max="5" width="11.5" style="503" customWidth="1"/>
    <col min="6" max="6" width="10.5" style="503" customWidth="1"/>
    <col min="7" max="8" width="9.33203125" style="503" customWidth="1"/>
    <col min="9" max="10" width="9.33203125" style="503"/>
    <col min="11" max="16384" width="9.33203125" style="512"/>
  </cols>
  <sheetData>
    <row r="1" spans="1:9" s="503" customFormat="1" ht="30" customHeight="1">
      <c r="A1" s="514" t="s">
        <v>287</v>
      </c>
      <c r="B1" s="515" t="s">
        <v>468</v>
      </c>
      <c r="C1" s="514" t="s">
        <v>457</v>
      </c>
      <c r="D1" s="516" t="s">
        <v>469</v>
      </c>
      <c r="E1" s="517" t="s">
        <v>470</v>
      </c>
      <c r="F1" s="517" t="s">
        <v>471</v>
      </c>
      <c r="G1" s="469"/>
      <c r="H1" s="504"/>
      <c r="I1" s="467"/>
    </row>
    <row r="2" spans="1:9" s="503" customFormat="1" ht="84.75" customHeight="1">
      <c r="A2" s="518"/>
      <c r="B2" s="518"/>
      <c r="C2" s="519"/>
      <c r="D2" s="665"/>
      <c r="E2" s="520"/>
      <c r="F2" s="520"/>
      <c r="G2" s="468"/>
      <c r="H2" s="474"/>
    </row>
    <row r="3" spans="1:9" s="503" customFormat="1" ht="180" customHeight="1">
      <c r="A3" s="518"/>
      <c r="B3" s="518"/>
      <c r="C3" s="519"/>
      <c r="D3" s="665"/>
      <c r="E3" s="520"/>
      <c r="F3" s="520"/>
      <c r="G3" s="468"/>
      <c r="H3" s="474"/>
    </row>
    <row r="4" spans="1:9" s="503" customFormat="1" ht="91.5" customHeight="1">
      <c r="A4" s="518"/>
      <c r="B4" s="518"/>
      <c r="C4" s="519"/>
      <c r="D4" s="665"/>
      <c r="E4" s="520"/>
      <c r="F4" s="520"/>
      <c r="G4" s="468"/>
      <c r="H4" s="474"/>
    </row>
    <row r="5" spans="1:9" s="503" customFormat="1" ht="67.5" customHeight="1">
      <c r="A5" s="518"/>
      <c r="B5" s="518"/>
      <c r="C5" s="519"/>
      <c r="D5" s="665"/>
      <c r="E5" s="520"/>
      <c r="F5" s="520"/>
      <c r="G5" s="468"/>
      <c r="H5" s="474"/>
    </row>
    <row r="6" spans="1:9" s="503" customFormat="1" ht="73.5" customHeight="1">
      <c r="A6" s="518"/>
      <c r="B6" s="518"/>
      <c r="C6" s="519"/>
      <c r="D6" s="665"/>
      <c r="E6" s="520"/>
      <c r="F6" s="520"/>
      <c r="G6" s="468"/>
      <c r="H6" s="474"/>
    </row>
    <row r="7" spans="1:9" s="503" customFormat="1" ht="84" customHeight="1">
      <c r="A7" s="518"/>
      <c r="B7" s="518"/>
      <c r="C7" s="519"/>
      <c r="D7" s="665"/>
      <c r="E7" s="520"/>
      <c r="F7" s="520"/>
      <c r="G7" s="468"/>
      <c r="H7" s="474"/>
    </row>
    <row r="8" spans="1:9" s="503" customFormat="1" ht="77.25" customHeight="1">
      <c r="A8" s="518"/>
      <c r="B8" s="518"/>
      <c r="C8" s="519"/>
      <c r="D8" s="665"/>
      <c r="E8" s="520"/>
      <c r="F8" s="520"/>
      <c r="G8" s="468"/>
      <c r="H8" s="474"/>
    </row>
    <row r="9" spans="1:9" s="503" customFormat="1">
      <c r="E9" s="513"/>
      <c r="F9" s="513"/>
    </row>
    <row r="10" spans="1:9" s="503" customFormat="1">
      <c r="E10" s="513"/>
      <c r="F10" s="513"/>
    </row>
    <row r="11" spans="1:9" s="503" customFormat="1">
      <c r="E11" s="513"/>
      <c r="F11" s="513"/>
    </row>
    <row r="12" spans="1:9" s="503" customFormat="1">
      <c r="E12" s="513"/>
      <c r="F12" s="513"/>
    </row>
    <row r="13" spans="1:9" s="503" customFormat="1">
      <c r="E13" s="513"/>
      <c r="F13" s="513"/>
    </row>
    <row r="14" spans="1:9" s="503" customFormat="1">
      <c r="E14" s="513"/>
      <c r="F14" s="513"/>
    </row>
    <row r="15" spans="1:9" s="503" customFormat="1">
      <c r="E15" s="513"/>
      <c r="F15" s="513"/>
    </row>
    <row r="16" spans="1:9" s="503" customFormat="1">
      <c r="E16" s="513"/>
      <c r="F16" s="513"/>
    </row>
    <row r="17" spans="5:6" s="503" customFormat="1">
      <c r="E17" s="513"/>
      <c r="F17" s="513"/>
    </row>
    <row r="18" spans="5:6" s="503" customFormat="1">
      <c r="E18" s="513"/>
      <c r="F18" s="513"/>
    </row>
    <row r="19" spans="5:6" s="503" customFormat="1">
      <c r="E19" s="513"/>
      <c r="F19" s="513"/>
    </row>
    <row r="20" spans="5:6" s="503" customFormat="1">
      <c r="E20" s="513"/>
      <c r="F20" s="513"/>
    </row>
    <row r="21" spans="5:6" s="503" customFormat="1">
      <c r="E21" s="513"/>
      <c r="F21" s="513"/>
    </row>
    <row r="22" spans="5:6" s="503" customFormat="1">
      <c r="E22" s="513"/>
      <c r="F22" s="513"/>
    </row>
    <row r="23" spans="5:6" s="503" customFormat="1">
      <c r="E23" s="513"/>
      <c r="F23" s="513"/>
    </row>
    <row r="24" spans="5:6" s="503" customFormat="1">
      <c r="E24" s="513"/>
      <c r="F24" s="513"/>
    </row>
    <row r="25" spans="5:6" s="503" customFormat="1">
      <c r="E25" s="513"/>
      <c r="F25" s="513"/>
    </row>
    <row r="26" spans="5:6" s="503" customFormat="1">
      <c r="E26" s="513"/>
      <c r="F26" s="513"/>
    </row>
    <row r="27" spans="5:6" s="503" customFormat="1">
      <c r="E27" s="513"/>
      <c r="F27" s="513"/>
    </row>
    <row r="28" spans="5:6" s="503" customFormat="1">
      <c r="E28" s="513"/>
      <c r="F28" s="513"/>
    </row>
    <row r="29" spans="5:6" s="503" customFormat="1">
      <c r="E29" s="513"/>
      <c r="F29" s="513"/>
    </row>
    <row r="30" spans="5:6" s="503" customFormat="1">
      <c r="E30" s="513"/>
      <c r="F30" s="513"/>
    </row>
    <row r="31" spans="5:6" s="503" customFormat="1">
      <c r="E31" s="513"/>
      <c r="F31" s="513"/>
    </row>
    <row r="32" spans="5:6" s="503" customFormat="1">
      <c r="E32" s="513"/>
      <c r="F32" s="513"/>
    </row>
    <row r="33" spans="5:6" s="503" customFormat="1">
      <c r="E33" s="513"/>
      <c r="F33" s="513"/>
    </row>
    <row r="34" spans="5:6" s="503" customFormat="1">
      <c r="E34" s="513"/>
      <c r="F34" s="513"/>
    </row>
    <row r="35" spans="5:6" s="503" customFormat="1">
      <c r="E35" s="513"/>
      <c r="F35" s="513"/>
    </row>
    <row r="36" spans="5:6" s="503" customFormat="1">
      <c r="E36" s="513"/>
      <c r="F36" s="513"/>
    </row>
    <row r="37" spans="5:6" s="503" customFormat="1">
      <c r="E37" s="513"/>
      <c r="F37" s="513"/>
    </row>
    <row r="38" spans="5:6" s="503" customFormat="1">
      <c r="E38" s="513"/>
      <c r="F38" s="513"/>
    </row>
    <row r="39" spans="5:6" s="503" customFormat="1">
      <c r="E39" s="513"/>
      <c r="F39" s="513"/>
    </row>
    <row r="40" spans="5:6" s="503" customFormat="1">
      <c r="E40" s="513"/>
      <c r="F40" s="513"/>
    </row>
    <row r="41" spans="5:6" s="503" customFormat="1">
      <c r="E41" s="513"/>
      <c r="F41" s="513"/>
    </row>
    <row r="42" spans="5:6" s="503" customFormat="1">
      <c r="E42" s="513"/>
      <c r="F42" s="513"/>
    </row>
    <row r="43" spans="5:6" s="503" customFormat="1">
      <c r="E43" s="513"/>
      <c r="F43" s="513"/>
    </row>
    <row r="44" spans="5:6" s="503" customFormat="1">
      <c r="E44" s="513"/>
      <c r="F44" s="513"/>
    </row>
    <row r="45" spans="5:6" s="503" customFormat="1">
      <c r="E45" s="513"/>
      <c r="F45" s="513"/>
    </row>
    <row r="46" spans="5:6" s="503" customFormat="1">
      <c r="E46" s="513"/>
      <c r="F46" s="513"/>
    </row>
    <row r="47" spans="5:6" s="503" customFormat="1">
      <c r="E47" s="513"/>
      <c r="F47" s="513"/>
    </row>
    <row r="48" spans="5:6" s="503" customFormat="1">
      <c r="E48" s="513"/>
      <c r="F48" s="513"/>
    </row>
    <row r="49" spans="5:6" s="503" customFormat="1">
      <c r="E49" s="513"/>
      <c r="F49" s="513"/>
    </row>
    <row r="50" spans="5:6" s="503" customFormat="1">
      <c r="E50" s="513"/>
      <c r="F50" s="513"/>
    </row>
    <row r="51" spans="5:6" s="503" customFormat="1">
      <c r="E51" s="513"/>
      <c r="F51" s="513"/>
    </row>
    <row r="52" spans="5:6" s="503" customFormat="1">
      <c r="E52" s="513"/>
      <c r="F52" s="513"/>
    </row>
    <row r="53" spans="5:6" s="503" customFormat="1">
      <c r="E53" s="513"/>
      <c r="F53" s="513"/>
    </row>
    <row r="54" spans="5:6" s="503" customFormat="1">
      <c r="E54" s="513"/>
      <c r="F54" s="513"/>
    </row>
    <row r="55" spans="5:6" s="503" customFormat="1">
      <c r="E55" s="513"/>
      <c r="F55" s="513"/>
    </row>
    <row r="56" spans="5:6" s="503" customFormat="1">
      <c r="E56" s="513"/>
      <c r="F56" s="513"/>
    </row>
    <row r="57" spans="5:6" s="503" customFormat="1">
      <c r="E57" s="513"/>
      <c r="F57" s="513"/>
    </row>
    <row r="58" spans="5:6" s="503" customFormat="1">
      <c r="E58" s="513"/>
      <c r="F58" s="513"/>
    </row>
    <row r="59" spans="5:6" s="503" customFormat="1">
      <c r="E59" s="513"/>
      <c r="F59" s="513"/>
    </row>
    <row r="60" spans="5:6" s="503" customFormat="1">
      <c r="E60" s="513"/>
      <c r="F60" s="513"/>
    </row>
    <row r="61" spans="5:6" s="503" customFormat="1">
      <c r="E61" s="513"/>
      <c r="F61" s="513"/>
    </row>
    <row r="62" spans="5:6" s="503" customFormat="1">
      <c r="E62" s="513"/>
      <c r="F62" s="513"/>
    </row>
    <row r="63" spans="5:6" s="503" customFormat="1">
      <c r="E63" s="513"/>
      <c r="F63" s="513"/>
    </row>
    <row r="64" spans="5:6" s="503" customFormat="1">
      <c r="E64" s="513"/>
      <c r="F64" s="513"/>
    </row>
    <row r="65" spans="5:6" s="503" customFormat="1">
      <c r="E65" s="513"/>
      <c r="F65" s="513"/>
    </row>
    <row r="66" spans="5:6" s="503" customFormat="1">
      <c r="E66" s="513"/>
      <c r="F66" s="513"/>
    </row>
    <row r="67" spans="5:6" s="503" customFormat="1">
      <c r="E67" s="513"/>
      <c r="F67" s="513"/>
    </row>
    <row r="68" spans="5:6" s="503" customFormat="1">
      <c r="E68" s="513"/>
      <c r="F68" s="513"/>
    </row>
    <row r="69" spans="5:6" s="503" customFormat="1">
      <c r="E69" s="513"/>
      <c r="F69" s="513"/>
    </row>
    <row r="70" spans="5:6" s="503" customFormat="1">
      <c r="E70" s="513"/>
      <c r="F70" s="513"/>
    </row>
    <row r="71" spans="5:6" s="503" customFormat="1">
      <c r="E71" s="513"/>
      <c r="F71" s="513"/>
    </row>
    <row r="72" spans="5:6" s="503" customFormat="1">
      <c r="E72" s="513"/>
      <c r="F72" s="513"/>
    </row>
    <row r="73" spans="5:6" s="503" customFormat="1">
      <c r="E73" s="513"/>
      <c r="F73" s="513"/>
    </row>
    <row r="74" spans="5:6" s="503" customFormat="1">
      <c r="E74" s="513"/>
      <c r="F74" s="513"/>
    </row>
    <row r="75" spans="5:6" s="503" customFormat="1">
      <c r="E75" s="513"/>
      <c r="F75" s="513"/>
    </row>
    <row r="76" spans="5:6" s="503" customFormat="1">
      <c r="E76" s="513"/>
      <c r="F76" s="513"/>
    </row>
    <row r="77" spans="5:6" s="503" customFormat="1">
      <c r="E77" s="513"/>
      <c r="F77" s="513"/>
    </row>
    <row r="78" spans="5:6" s="503" customFormat="1">
      <c r="E78" s="513"/>
      <c r="F78" s="513"/>
    </row>
    <row r="79" spans="5:6" s="503" customFormat="1">
      <c r="E79" s="513"/>
      <c r="F79" s="513"/>
    </row>
    <row r="80" spans="5:6" s="503" customFormat="1">
      <c r="E80" s="513"/>
      <c r="F80" s="513"/>
    </row>
    <row r="81" spans="5:6" s="503" customFormat="1">
      <c r="E81" s="513"/>
      <c r="F81" s="513"/>
    </row>
    <row r="82" spans="5:6" s="503" customFormat="1">
      <c r="E82" s="513"/>
      <c r="F82" s="513"/>
    </row>
    <row r="83" spans="5:6" s="503" customFormat="1">
      <c r="E83" s="513"/>
      <c r="F83" s="513"/>
    </row>
    <row r="84" spans="5:6" s="503" customFormat="1">
      <c r="E84" s="513"/>
      <c r="F84" s="513"/>
    </row>
    <row r="85" spans="5:6" s="503" customFormat="1">
      <c r="E85" s="513"/>
      <c r="F85" s="513"/>
    </row>
    <row r="86" spans="5:6" s="503" customFormat="1">
      <c r="E86" s="513"/>
      <c r="F86" s="513"/>
    </row>
    <row r="87" spans="5:6" s="503" customFormat="1">
      <c r="E87" s="513"/>
      <c r="F87" s="513"/>
    </row>
    <row r="88" spans="5:6" s="503" customFormat="1">
      <c r="E88" s="513"/>
      <c r="F88" s="513"/>
    </row>
    <row r="89" spans="5:6" s="503" customFormat="1">
      <c r="E89" s="513"/>
      <c r="F89" s="513"/>
    </row>
    <row r="90" spans="5:6" s="503" customFormat="1">
      <c r="E90" s="513"/>
      <c r="F90" s="513"/>
    </row>
    <row r="91" spans="5:6" s="503" customFormat="1">
      <c r="E91" s="513"/>
      <c r="F91" s="513"/>
    </row>
    <row r="92" spans="5:6" s="503" customFormat="1">
      <c r="E92" s="513"/>
      <c r="F92" s="513"/>
    </row>
    <row r="93" spans="5:6" s="503" customFormat="1">
      <c r="E93" s="513"/>
      <c r="F93" s="513"/>
    </row>
    <row r="94" spans="5:6" s="503" customFormat="1">
      <c r="E94" s="513"/>
      <c r="F94" s="513"/>
    </row>
    <row r="95" spans="5:6" s="503" customFormat="1">
      <c r="E95" s="513"/>
      <c r="F95" s="513"/>
    </row>
    <row r="96" spans="5:6" s="503" customFormat="1">
      <c r="E96" s="513"/>
      <c r="F96" s="513"/>
    </row>
    <row r="97" spans="5:6" s="503" customFormat="1">
      <c r="E97" s="513"/>
      <c r="F97" s="513"/>
    </row>
    <row r="98" spans="5:6" s="503" customFormat="1">
      <c r="E98" s="513"/>
      <c r="F98" s="513"/>
    </row>
    <row r="99" spans="5:6" s="503" customFormat="1">
      <c r="E99" s="513"/>
      <c r="F99" s="513"/>
    </row>
    <row r="100" spans="5:6" s="503" customFormat="1">
      <c r="E100" s="513"/>
      <c r="F100" s="513"/>
    </row>
    <row r="101" spans="5:6" s="503" customFormat="1">
      <c r="E101" s="513"/>
      <c r="F101" s="513"/>
    </row>
    <row r="102" spans="5:6" s="503" customFormat="1">
      <c r="E102" s="513"/>
      <c r="F102" s="513"/>
    </row>
    <row r="103" spans="5:6" s="503" customFormat="1">
      <c r="E103" s="513"/>
      <c r="F103" s="513"/>
    </row>
    <row r="104" spans="5:6" s="503" customFormat="1">
      <c r="E104" s="513"/>
      <c r="F104" s="513"/>
    </row>
    <row r="105" spans="5:6" s="503" customFormat="1">
      <c r="E105" s="513"/>
      <c r="F105" s="513"/>
    </row>
    <row r="106" spans="5:6" s="503" customFormat="1">
      <c r="E106" s="513"/>
      <c r="F106" s="513"/>
    </row>
    <row r="107" spans="5:6" s="503" customFormat="1">
      <c r="E107" s="513"/>
      <c r="F107" s="513"/>
    </row>
    <row r="108" spans="5:6" s="503" customFormat="1">
      <c r="E108" s="513"/>
      <c r="F108" s="513"/>
    </row>
    <row r="109" spans="5:6" s="503" customFormat="1">
      <c r="E109" s="513"/>
      <c r="F109" s="513"/>
    </row>
    <row r="110" spans="5:6" s="503" customFormat="1">
      <c r="E110" s="513"/>
      <c r="F110" s="513"/>
    </row>
    <row r="111" spans="5:6" s="503" customFormat="1">
      <c r="E111" s="513"/>
      <c r="F111" s="513"/>
    </row>
    <row r="112" spans="5:6" s="503" customFormat="1">
      <c r="E112" s="513"/>
      <c r="F112" s="513"/>
    </row>
    <row r="113" spans="5:6" s="503" customFormat="1">
      <c r="E113" s="513"/>
      <c r="F113" s="513"/>
    </row>
    <row r="114" spans="5:6" s="503" customFormat="1">
      <c r="E114" s="513"/>
      <c r="F114" s="513"/>
    </row>
    <row r="115" spans="5:6" s="503" customFormat="1">
      <c r="E115" s="513"/>
      <c r="F115" s="513"/>
    </row>
    <row r="116" spans="5:6" s="503" customFormat="1">
      <c r="E116" s="513"/>
      <c r="F116" s="513"/>
    </row>
    <row r="117" spans="5:6" s="503" customFormat="1">
      <c r="E117" s="513"/>
      <c r="F117" s="513"/>
    </row>
    <row r="118" spans="5:6" s="503" customFormat="1">
      <c r="E118" s="513"/>
      <c r="F118" s="513"/>
    </row>
    <row r="119" spans="5:6" s="503" customFormat="1">
      <c r="E119" s="513"/>
      <c r="F119" s="513"/>
    </row>
    <row r="120" spans="5:6" s="503" customFormat="1">
      <c r="E120" s="513"/>
      <c r="F120" s="513"/>
    </row>
    <row r="121" spans="5:6" s="503" customFormat="1">
      <c r="E121" s="513"/>
      <c r="F121" s="513"/>
    </row>
    <row r="122" spans="5:6" s="503" customFormat="1">
      <c r="E122" s="513"/>
      <c r="F122" s="513"/>
    </row>
    <row r="123" spans="5:6" s="503" customFormat="1">
      <c r="E123" s="513"/>
      <c r="F123" s="513"/>
    </row>
    <row r="124" spans="5:6" s="503" customFormat="1">
      <c r="E124" s="513"/>
      <c r="F124" s="513"/>
    </row>
    <row r="125" spans="5:6" s="503" customFormat="1">
      <c r="E125" s="513"/>
      <c r="F125" s="513"/>
    </row>
    <row r="126" spans="5:6" s="503" customFormat="1">
      <c r="E126" s="513"/>
      <c r="F126" s="513"/>
    </row>
    <row r="127" spans="5:6" s="503" customFormat="1">
      <c r="E127" s="513"/>
      <c r="F127" s="513"/>
    </row>
    <row r="128" spans="5:6" s="503" customFormat="1">
      <c r="E128" s="513"/>
      <c r="F128" s="513"/>
    </row>
    <row r="129" spans="5:6" s="503" customFormat="1">
      <c r="E129" s="513"/>
      <c r="F129" s="513"/>
    </row>
    <row r="130" spans="5:6" s="503" customFormat="1">
      <c r="E130" s="513"/>
      <c r="F130" s="513"/>
    </row>
    <row r="131" spans="5:6" s="503" customFormat="1">
      <c r="E131" s="513"/>
      <c r="F131" s="513"/>
    </row>
    <row r="132" spans="5:6" s="503" customFormat="1">
      <c r="E132" s="513"/>
      <c r="F132" s="513"/>
    </row>
    <row r="133" spans="5:6" s="503" customFormat="1">
      <c r="E133" s="513"/>
      <c r="F133" s="513"/>
    </row>
    <row r="134" spans="5:6" s="503" customFormat="1">
      <c r="E134" s="513"/>
      <c r="F134" s="513"/>
    </row>
    <row r="135" spans="5:6" s="503" customFormat="1">
      <c r="E135" s="513"/>
      <c r="F135" s="513"/>
    </row>
    <row r="136" spans="5:6" s="503" customFormat="1">
      <c r="E136" s="513"/>
      <c r="F136" s="513"/>
    </row>
    <row r="137" spans="5:6" s="503" customFormat="1">
      <c r="E137" s="513"/>
      <c r="F137" s="513"/>
    </row>
    <row r="138" spans="5:6" s="503" customFormat="1">
      <c r="E138" s="513"/>
      <c r="F138" s="513"/>
    </row>
    <row r="139" spans="5:6" s="503" customFormat="1">
      <c r="E139" s="513"/>
      <c r="F139" s="513"/>
    </row>
    <row r="140" spans="5:6" s="503" customFormat="1">
      <c r="E140" s="513"/>
      <c r="F140" s="513"/>
    </row>
    <row r="141" spans="5:6" s="503" customFormat="1">
      <c r="E141" s="513"/>
      <c r="F141" s="513"/>
    </row>
    <row r="142" spans="5:6" s="503" customFormat="1">
      <c r="E142" s="513"/>
      <c r="F142" s="513"/>
    </row>
    <row r="143" spans="5:6" s="503" customFormat="1">
      <c r="E143" s="513"/>
      <c r="F143" s="513"/>
    </row>
    <row r="144" spans="5:6" s="503" customFormat="1">
      <c r="E144" s="513"/>
      <c r="F144" s="513"/>
    </row>
    <row r="145" spans="5:6" s="503" customFormat="1">
      <c r="E145" s="513"/>
      <c r="F145" s="513"/>
    </row>
    <row r="146" spans="5:6" s="503" customFormat="1">
      <c r="E146" s="513"/>
      <c r="F146" s="513"/>
    </row>
    <row r="147" spans="5:6" s="503" customFormat="1">
      <c r="E147" s="513"/>
      <c r="F147" s="513"/>
    </row>
    <row r="148" spans="5:6" s="503" customFormat="1">
      <c r="E148" s="513"/>
      <c r="F148" s="513"/>
    </row>
    <row r="149" spans="5:6" s="503" customFormat="1">
      <c r="E149" s="513"/>
      <c r="F149" s="513"/>
    </row>
    <row r="150" spans="5:6" s="503" customFormat="1">
      <c r="E150" s="513"/>
      <c r="F150" s="513"/>
    </row>
    <row r="151" spans="5:6" s="503" customFormat="1">
      <c r="E151" s="513"/>
      <c r="F151" s="513"/>
    </row>
    <row r="152" spans="5:6" s="503" customFormat="1">
      <c r="E152" s="513"/>
      <c r="F152" s="513"/>
    </row>
    <row r="153" spans="5:6" s="503" customFormat="1">
      <c r="E153" s="513"/>
      <c r="F153" s="513"/>
    </row>
    <row r="154" spans="5:6" s="503" customFormat="1">
      <c r="E154" s="513"/>
      <c r="F154" s="513"/>
    </row>
    <row r="155" spans="5:6" s="503" customFormat="1">
      <c r="E155" s="513"/>
      <c r="F155" s="513"/>
    </row>
    <row r="156" spans="5:6" s="503" customFormat="1">
      <c r="E156" s="513"/>
      <c r="F156" s="513"/>
    </row>
    <row r="157" spans="5:6" s="503" customFormat="1">
      <c r="E157" s="513"/>
      <c r="F157" s="513"/>
    </row>
    <row r="158" spans="5:6" s="503" customFormat="1">
      <c r="E158" s="513"/>
      <c r="F158" s="513"/>
    </row>
    <row r="159" spans="5:6" s="503" customFormat="1">
      <c r="E159" s="513"/>
      <c r="F159" s="513"/>
    </row>
    <row r="160" spans="5:6" s="503" customFormat="1">
      <c r="E160" s="513"/>
      <c r="F160" s="513"/>
    </row>
    <row r="161" spans="5:6" s="503" customFormat="1">
      <c r="E161" s="513"/>
      <c r="F161" s="513"/>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topLeftCell="A13" zoomScale="115" zoomScaleNormal="100" zoomScaleSheetLayoutView="115" workbookViewId="0">
      <selection activeCell="R31" sqref="R31"/>
    </sheetView>
  </sheetViews>
  <sheetFormatPr defaultRowHeight="11.25"/>
  <sheetData>
    <row r="4" spans="2:15">
      <c r="B4" s="521"/>
      <c r="C4" s="521"/>
      <c r="D4" s="521"/>
      <c r="E4" s="521"/>
      <c r="F4" s="521"/>
      <c r="G4" s="521"/>
      <c r="H4" s="521"/>
      <c r="I4" s="521"/>
      <c r="J4" s="521"/>
      <c r="K4" s="521"/>
      <c r="L4" s="521"/>
      <c r="M4" s="521"/>
      <c r="N4" s="521"/>
      <c r="O4" s="521"/>
    </row>
    <row r="5" spans="2:15">
      <c r="B5" s="521"/>
      <c r="C5" s="521"/>
      <c r="D5" s="521"/>
      <c r="E5" s="521"/>
      <c r="F5" s="521"/>
      <c r="G5" s="521"/>
      <c r="H5" s="521"/>
      <c r="I5" s="521"/>
      <c r="J5" s="521"/>
      <c r="K5" s="521"/>
      <c r="L5" s="521"/>
      <c r="M5" s="521"/>
      <c r="N5" s="521"/>
      <c r="O5" s="521"/>
    </row>
    <row r="6" spans="2:15">
      <c r="B6" s="521"/>
      <c r="C6" s="521"/>
      <c r="D6" s="521"/>
      <c r="E6" s="521"/>
      <c r="F6" s="521"/>
      <c r="G6" s="521"/>
      <c r="H6" s="521"/>
      <c r="I6" s="521"/>
      <c r="J6" s="521"/>
      <c r="K6" s="521"/>
      <c r="L6" s="521"/>
      <c r="M6" s="521"/>
      <c r="N6" s="521"/>
      <c r="O6" s="521"/>
    </row>
    <row r="7" spans="2:15">
      <c r="B7" s="522"/>
      <c r="C7" s="521"/>
      <c r="D7" s="521"/>
      <c r="E7" s="521"/>
      <c r="F7" s="521"/>
      <c r="G7" s="521"/>
      <c r="H7" s="521"/>
      <c r="I7" s="521"/>
      <c r="J7" s="521"/>
      <c r="K7" s="521"/>
      <c r="L7" s="521"/>
      <c r="M7" s="521"/>
      <c r="N7" s="521"/>
      <c r="O7" s="521"/>
    </row>
    <row r="8" spans="2:15">
      <c r="B8" s="522"/>
      <c r="C8" s="521"/>
      <c r="D8" s="521"/>
      <c r="E8" s="521"/>
      <c r="F8" s="521"/>
      <c r="G8" s="521"/>
      <c r="H8" s="521"/>
      <c r="I8" s="521"/>
      <c r="J8" s="521"/>
      <c r="K8" s="521"/>
      <c r="L8" s="521"/>
      <c r="M8" s="521"/>
      <c r="N8" s="521"/>
      <c r="O8" s="521"/>
    </row>
    <row r="9" spans="2:15">
      <c r="B9" s="522"/>
      <c r="C9" s="521"/>
      <c r="D9" s="521"/>
      <c r="E9" s="521"/>
      <c r="F9" s="521"/>
      <c r="G9" s="521"/>
      <c r="H9" s="521"/>
      <c r="I9" s="521"/>
      <c r="J9" s="521"/>
      <c r="K9" s="521"/>
      <c r="L9" s="521"/>
      <c r="M9" s="521"/>
      <c r="N9" s="521"/>
      <c r="O9" s="521"/>
    </row>
    <row r="10" spans="2:15">
      <c r="B10" s="521"/>
      <c r="C10" s="521"/>
      <c r="D10" s="521"/>
      <c r="E10" s="521"/>
      <c r="F10" s="521"/>
      <c r="G10" s="521"/>
      <c r="H10" s="521"/>
      <c r="I10" s="521"/>
      <c r="J10" s="521"/>
      <c r="K10" s="521"/>
      <c r="L10" s="521"/>
      <c r="M10" s="521"/>
      <c r="N10" s="521"/>
      <c r="O10" s="521"/>
    </row>
    <row r="11" spans="2:15">
      <c r="B11" s="521"/>
      <c r="C11" s="521"/>
      <c r="D11" s="521"/>
      <c r="E11" s="521"/>
      <c r="F11" s="521"/>
      <c r="G11" s="521"/>
      <c r="H11" s="521"/>
      <c r="I11" s="521"/>
      <c r="J11" s="521"/>
      <c r="K11" s="521"/>
      <c r="L11" s="521"/>
      <c r="M11" s="521"/>
      <c r="N11" s="521"/>
      <c r="O11" s="521"/>
    </row>
    <row r="12" spans="2:15">
      <c r="B12" s="521"/>
      <c r="C12" s="521"/>
      <c r="D12" s="521"/>
      <c r="E12" s="521"/>
      <c r="F12" s="521"/>
      <c r="G12" s="521"/>
      <c r="H12" s="521"/>
      <c r="I12" s="521"/>
      <c r="J12" s="521"/>
      <c r="K12" s="521"/>
      <c r="L12" s="521"/>
      <c r="M12" s="521"/>
      <c r="N12" s="521"/>
      <c r="O12" s="521"/>
    </row>
    <row r="13" spans="2:15" ht="12.75">
      <c r="B13" s="523"/>
      <c r="C13" s="521"/>
      <c r="D13" s="521"/>
      <c r="E13" s="521"/>
      <c r="F13" s="521"/>
      <c r="G13" s="521"/>
      <c r="H13" s="521"/>
      <c r="I13" s="521"/>
      <c r="J13" s="521"/>
      <c r="K13" s="521"/>
      <c r="L13" s="521"/>
      <c r="M13" s="521"/>
      <c r="N13" s="521"/>
      <c r="O13" s="521"/>
    </row>
    <row r="14" spans="2:15">
      <c r="B14" s="521"/>
      <c r="C14" s="521"/>
      <c r="D14" s="521"/>
      <c r="E14" s="521"/>
      <c r="F14" s="521"/>
      <c r="G14" s="521"/>
      <c r="H14" s="521"/>
      <c r="I14" s="521"/>
      <c r="J14" s="521"/>
      <c r="K14" s="521"/>
      <c r="L14" s="521"/>
      <c r="M14" s="521"/>
      <c r="N14" s="521"/>
      <c r="O14" s="521"/>
    </row>
    <row r="15" spans="2:15">
      <c r="B15" s="521"/>
      <c r="C15" s="521"/>
      <c r="D15" s="521"/>
      <c r="E15" s="521"/>
      <c r="F15" s="521"/>
      <c r="G15" s="521"/>
      <c r="H15" s="521"/>
      <c r="I15" s="521"/>
      <c r="J15" s="521"/>
      <c r="K15" s="521"/>
      <c r="L15" s="521"/>
      <c r="M15" s="521"/>
      <c r="N15" s="521"/>
      <c r="O15" s="521"/>
    </row>
    <row r="16" spans="2:15">
      <c r="B16" s="521"/>
      <c r="C16" s="521"/>
      <c r="D16" s="521"/>
      <c r="E16" s="521"/>
      <c r="F16" s="521"/>
      <c r="G16" s="521"/>
      <c r="H16" s="521"/>
      <c r="I16" s="521"/>
      <c r="J16" s="521"/>
      <c r="K16" s="521"/>
      <c r="L16" s="521"/>
      <c r="M16" s="521"/>
      <c r="N16" s="521"/>
      <c r="O16" s="521"/>
    </row>
    <row r="17" spans="2:15">
      <c r="B17" s="521"/>
      <c r="C17" s="521"/>
      <c r="D17" s="521"/>
      <c r="E17" s="521"/>
      <c r="F17" s="521"/>
      <c r="G17" s="521"/>
      <c r="H17" s="521"/>
      <c r="I17" s="521"/>
      <c r="J17" s="521"/>
      <c r="K17" s="521"/>
      <c r="L17" s="521"/>
      <c r="M17" s="521"/>
      <c r="N17" s="521"/>
      <c r="O17" s="521"/>
    </row>
    <row r="18" spans="2:15">
      <c r="B18" s="521"/>
      <c r="C18" s="521"/>
      <c r="D18" s="521"/>
      <c r="E18" s="521"/>
      <c r="F18" s="521"/>
      <c r="G18" s="521"/>
      <c r="H18" s="521"/>
      <c r="I18" s="521"/>
      <c r="J18" s="521"/>
      <c r="K18" s="521"/>
      <c r="L18" s="521"/>
      <c r="M18" s="521"/>
      <c r="N18" s="521"/>
      <c r="O18" s="521"/>
    </row>
    <row r="19" spans="2:15">
      <c r="B19" s="521"/>
      <c r="C19" s="521"/>
      <c r="D19" s="521"/>
      <c r="E19" s="521"/>
      <c r="F19" s="521"/>
      <c r="G19" s="521"/>
      <c r="H19" s="521"/>
      <c r="I19" s="521"/>
      <c r="J19" s="521" t="s">
        <v>8</v>
      </c>
      <c r="K19" s="521"/>
      <c r="L19" s="521"/>
      <c r="M19" s="521"/>
      <c r="N19" s="521"/>
      <c r="O19" s="521"/>
    </row>
    <row r="20" spans="2:15">
      <c r="B20" s="521"/>
      <c r="C20" s="521"/>
      <c r="D20" s="521"/>
      <c r="E20" s="521"/>
      <c r="F20" s="521"/>
      <c r="G20" s="521"/>
      <c r="H20" s="521"/>
      <c r="I20" s="521"/>
      <c r="J20" s="521"/>
      <c r="K20" s="521"/>
      <c r="L20" s="521"/>
      <c r="M20" s="521"/>
      <c r="N20" s="521"/>
      <c r="O20" s="521"/>
    </row>
    <row r="21" spans="2:15">
      <c r="B21" s="521"/>
      <c r="C21" s="521"/>
      <c r="D21" s="521"/>
      <c r="E21" s="521"/>
      <c r="F21" s="521"/>
      <c r="G21" s="521"/>
      <c r="H21" s="521"/>
      <c r="I21" s="521"/>
      <c r="J21" s="521"/>
      <c r="K21" s="521"/>
      <c r="L21" s="521"/>
      <c r="M21" s="521"/>
      <c r="N21" s="521"/>
      <c r="O21" s="521"/>
    </row>
    <row r="22" spans="2:15">
      <c r="B22" s="521"/>
      <c r="C22" s="521"/>
      <c r="D22" s="521"/>
      <c r="E22" s="521"/>
      <c r="F22" s="521"/>
      <c r="G22" s="521"/>
      <c r="H22" s="521"/>
      <c r="I22" s="521"/>
      <c r="J22" s="521"/>
      <c r="K22" s="521"/>
      <c r="L22" s="521"/>
      <c r="M22" s="521"/>
      <c r="N22" s="521"/>
      <c r="O22" s="521"/>
    </row>
    <row r="23" spans="2:15">
      <c r="B23" s="521"/>
      <c r="C23" s="521"/>
      <c r="D23" s="521"/>
      <c r="E23" s="521"/>
      <c r="F23" s="521"/>
      <c r="G23" s="521"/>
      <c r="H23" s="521"/>
      <c r="I23" s="521"/>
      <c r="J23" s="521"/>
      <c r="K23" s="521"/>
      <c r="L23" s="521"/>
      <c r="M23" s="521"/>
      <c r="N23" s="521"/>
      <c r="O23" s="521"/>
    </row>
    <row r="24" spans="2:15">
      <c r="B24" s="521"/>
      <c r="C24" s="521"/>
      <c r="D24" s="521"/>
      <c r="E24" s="521"/>
      <c r="F24" s="521"/>
      <c r="G24" s="521"/>
      <c r="H24" s="521"/>
      <c r="I24" s="521"/>
      <c r="J24" s="521"/>
      <c r="K24" s="521"/>
      <c r="L24" s="521"/>
      <c r="M24" s="521"/>
      <c r="N24" s="521"/>
      <c r="O24" s="521"/>
    </row>
    <row r="25" spans="2:15">
      <c r="B25" s="521"/>
      <c r="C25" s="521"/>
      <c r="D25" s="521"/>
      <c r="E25" s="521"/>
      <c r="F25" s="521"/>
      <c r="G25" s="521"/>
      <c r="H25" s="521"/>
      <c r="I25" s="521"/>
      <c r="J25" s="521"/>
      <c r="K25" s="521"/>
      <c r="L25" s="521"/>
      <c r="M25" s="521"/>
      <c r="N25" s="521"/>
      <c r="O25" s="521"/>
    </row>
    <row r="26" spans="2:15">
      <c r="B26" s="521"/>
      <c r="C26" s="521"/>
      <c r="D26" s="521"/>
      <c r="E26" s="521"/>
      <c r="F26" s="521"/>
      <c r="G26" s="521"/>
      <c r="H26" s="521"/>
      <c r="I26" s="521"/>
      <c r="J26" s="521"/>
      <c r="K26" s="521"/>
      <c r="L26" s="521"/>
      <c r="M26" s="521"/>
      <c r="N26" s="521"/>
      <c r="O26" s="521"/>
    </row>
    <row r="27" spans="2:15">
      <c r="B27" s="521"/>
      <c r="C27" s="521"/>
      <c r="D27" s="521"/>
      <c r="E27" s="521"/>
      <c r="F27" s="521"/>
      <c r="G27" s="521"/>
      <c r="H27" s="521"/>
      <c r="I27" s="521"/>
      <c r="J27" s="521"/>
      <c r="K27" s="521"/>
      <c r="L27" s="521"/>
      <c r="M27" s="521"/>
      <c r="N27" s="521"/>
      <c r="O27" s="521"/>
    </row>
    <row r="28" spans="2:15">
      <c r="B28" s="521"/>
      <c r="C28" s="521"/>
      <c r="D28" s="521"/>
      <c r="E28" s="521"/>
      <c r="F28" s="521"/>
      <c r="G28" s="521"/>
      <c r="H28" s="521"/>
      <c r="I28" s="521"/>
      <c r="J28" s="521"/>
      <c r="K28" s="521"/>
      <c r="L28" s="521"/>
      <c r="M28" s="521"/>
      <c r="N28" s="521"/>
      <c r="O28" s="521"/>
    </row>
    <row r="29" spans="2:15">
      <c r="B29" s="521"/>
      <c r="C29" s="521"/>
      <c r="D29" s="521"/>
      <c r="E29" s="521"/>
      <c r="F29" s="521"/>
      <c r="G29" s="521"/>
      <c r="H29" s="521"/>
      <c r="I29" s="521"/>
      <c r="J29" s="521"/>
      <c r="K29" s="521"/>
      <c r="L29" s="521"/>
      <c r="M29" s="521"/>
      <c r="N29" s="521"/>
      <c r="O29" s="521"/>
    </row>
    <row r="30" spans="2:15">
      <c r="B30" s="521"/>
      <c r="C30" s="521"/>
      <c r="D30" s="521"/>
      <c r="E30" s="521"/>
      <c r="F30" s="521"/>
      <c r="G30" s="521"/>
      <c r="H30" s="521"/>
      <c r="I30" s="521"/>
      <c r="J30" s="521"/>
      <c r="K30" s="521"/>
      <c r="L30" s="521"/>
      <c r="M30" s="521"/>
      <c r="N30" s="521"/>
      <c r="O30" s="521"/>
    </row>
    <row r="31" spans="2:15">
      <c r="B31" s="521"/>
      <c r="C31" s="521"/>
      <c r="D31" s="521"/>
      <c r="E31" s="521"/>
      <c r="F31" s="521"/>
      <c r="G31" s="521"/>
      <c r="H31" s="521"/>
      <c r="I31" s="521"/>
      <c r="J31" s="521"/>
      <c r="K31" s="521"/>
      <c r="L31" s="521"/>
      <c r="M31" s="521"/>
      <c r="N31" s="521"/>
      <c r="O31" s="521"/>
    </row>
    <row r="32" spans="2:15">
      <c r="B32" s="521"/>
      <c r="C32" s="521"/>
      <c r="D32" s="521"/>
      <c r="E32" s="521"/>
      <c r="F32" s="521"/>
      <c r="G32" s="521"/>
      <c r="H32" s="521"/>
      <c r="I32" s="521"/>
      <c r="J32" s="521"/>
      <c r="K32" s="521"/>
      <c r="L32" s="521"/>
      <c r="M32" s="521"/>
      <c r="N32" s="521"/>
      <c r="O32" s="521"/>
    </row>
    <row r="33" spans="2:15">
      <c r="B33" s="521"/>
      <c r="C33" s="521"/>
      <c r="D33" s="521"/>
      <c r="E33" s="521"/>
      <c r="F33" s="521"/>
      <c r="G33" s="521"/>
      <c r="H33" s="521"/>
      <c r="I33" s="521"/>
      <c r="J33" s="521"/>
      <c r="K33" s="521"/>
      <c r="L33" s="521"/>
      <c r="M33" s="521"/>
      <c r="N33" s="521"/>
      <c r="O33" s="521"/>
    </row>
    <row r="34" spans="2:15">
      <c r="B34" s="521"/>
      <c r="C34" s="521"/>
      <c r="D34" s="521"/>
      <c r="E34" s="521"/>
      <c r="F34" s="521"/>
      <c r="G34" s="521"/>
      <c r="H34" s="521"/>
      <c r="I34" s="521"/>
      <c r="J34" s="521"/>
      <c r="K34" s="521"/>
      <c r="L34" s="521"/>
      <c r="M34" s="521"/>
      <c r="N34" s="521"/>
      <c r="O34" s="521"/>
    </row>
    <row r="35" spans="2:15">
      <c r="B35" s="521"/>
      <c r="C35" s="521"/>
      <c r="D35" s="521"/>
      <c r="E35" s="521"/>
      <c r="F35" s="521"/>
      <c r="G35" s="521"/>
      <c r="H35" s="521"/>
      <c r="I35" s="521"/>
      <c r="J35" s="521"/>
      <c r="K35" s="521"/>
      <c r="L35" s="521"/>
      <c r="M35" s="521"/>
      <c r="N35" s="521"/>
      <c r="O35" s="521"/>
    </row>
    <row r="36" spans="2:15">
      <c r="B36" s="521"/>
      <c r="C36" s="521"/>
      <c r="D36" s="521"/>
      <c r="E36" s="521"/>
      <c r="F36" s="521"/>
      <c r="G36" s="521"/>
      <c r="H36" s="521"/>
      <c r="I36" s="521"/>
      <c r="J36" s="521"/>
      <c r="K36" s="521"/>
      <c r="L36" s="521"/>
      <c r="M36" s="521"/>
      <c r="N36" s="521"/>
      <c r="O36" s="521"/>
    </row>
    <row r="37" spans="2:15">
      <c r="B37" s="521"/>
      <c r="C37" s="521"/>
      <c r="D37" s="521"/>
      <c r="E37" s="521"/>
      <c r="F37" s="521"/>
      <c r="G37" s="521"/>
      <c r="H37" s="521"/>
      <c r="I37" s="521"/>
      <c r="J37" s="521"/>
      <c r="K37" s="521"/>
      <c r="L37" s="521"/>
      <c r="M37" s="521"/>
      <c r="N37" s="521"/>
      <c r="O37" s="521"/>
    </row>
    <row r="38" spans="2:15">
      <c r="B38" s="521"/>
      <c r="C38" s="521"/>
      <c r="D38" s="521"/>
      <c r="E38" s="521"/>
      <c r="F38" s="521"/>
      <c r="G38" s="521"/>
      <c r="H38" s="521"/>
      <c r="I38" s="521"/>
      <c r="J38" s="521"/>
      <c r="K38" s="521"/>
      <c r="L38" s="521"/>
      <c r="M38" s="521"/>
      <c r="N38" s="521"/>
      <c r="O38" s="521"/>
    </row>
    <row r="39" spans="2:15">
      <c r="B39" s="521"/>
      <c r="C39" s="521"/>
      <c r="D39" s="521"/>
      <c r="E39" s="521"/>
      <c r="F39" s="521"/>
      <c r="G39" s="521"/>
      <c r="H39" s="521"/>
      <c r="I39" s="521"/>
      <c r="J39" s="521"/>
      <c r="K39" s="521"/>
      <c r="L39" s="521"/>
      <c r="M39" s="521"/>
      <c r="N39" s="521"/>
      <c r="O39" s="521"/>
    </row>
    <row r="40" spans="2:15">
      <c r="B40" s="521"/>
      <c r="C40" s="521"/>
      <c r="D40" s="521"/>
      <c r="E40" s="521"/>
      <c r="F40" s="521"/>
      <c r="G40" s="521"/>
      <c r="H40" s="521"/>
      <c r="I40" s="521"/>
      <c r="J40" s="521"/>
      <c r="K40" s="521"/>
      <c r="L40" s="521"/>
      <c r="M40" s="521"/>
      <c r="N40" s="521"/>
      <c r="O40" s="521"/>
    </row>
    <row r="41" spans="2:15">
      <c r="B41" s="521"/>
      <c r="C41" s="521"/>
      <c r="D41" s="521"/>
      <c r="E41" s="521"/>
      <c r="F41" s="521"/>
      <c r="G41" s="521"/>
      <c r="H41" s="521"/>
      <c r="I41" s="521"/>
      <c r="J41" s="521"/>
      <c r="K41" s="521"/>
      <c r="L41" s="521"/>
      <c r="M41" s="521"/>
      <c r="N41" s="521"/>
      <c r="O41" s="521"/>
    </row>
    <row r="42" spans="2:15">
      <c r="B42" s="521"/>
      <c r="C42" s="521"/>
      <c r="D42" s="521"/>
      <c r="E42" s="521"/>
      <c r="F42" s="521"/>
      <c r="G42" s="521"/>
      <c r="H42" s="521"/>
      <c r="I42" s="521"/>
      <c r="J42" s="521"/>
      <c r="K42" s="521"/>
      <c r="L42" s="521"/>
      <c r="M42" s="521"/>
      <c r="N42" s="521"/>
      <c r="O42" s="521"/>
    </row>
    <row r="43" spans="2:15">
      <c r="B43" s="521"/>
      <c r="C43" s="521"/>
      <c r="D43" s="521"/>
      <c r="E43" s="521"/>
      <c r="F43" s="521"/>
      <c r="G43" s="521"/>
      <c r="H43" s="521"/>
      <c r="I43" s="521"/>
      <c r="J43" s="521"/>
      <c r="K43" s="521"/>
      <c r="L43" s="521"/>
      <c r="M43" s="521"/>
      <c r="N43" s="521"/>
      <c r="O43" s="521"/>
    </row>
    <row r="44" spans="2:15">
      <c r="B44" s="521"/>
      <c r="C44" s="521"/>
      <c r="D44" s="521"/>
      <c r="E44" s="521"/>
      <c r="F44" s="521"/>
      <c r="G44" s="521"/>
      <c r="H44" s="521"/>
      <c r="I44" s="521"/>
      <c r="J44" s="521"/>
      <c r="K44" s="521"/>
      <c r="L44" s="521"/>
      <c r="M44" s="521"/>
      <c r="N44" s="521"/>
      <c r="O44" s="521"/>
    </row>
    <row r="45" spans="2:15">
      <c r="B45" s="521"/>
      <c r="C45" s="521"/>
      <c r="D45" s="521"/>
      <c r="E45" s="521"/>
      <c r="F45" s="521"/>
      <c r="G45" s="521"/>
      <c r="H45" s="521"/>
      <c r="I45" s="521"/>
      <c r="J45" s="521"/>
      <c r="K45" s="521"/>
      <c r="L45" s="521"/>
      <c r="M45" s="521"/>
      <c r="N45" s="521"/>
      <c r="O45" s="521"/>
    </row>
    <row r="46" spans="2:15">
      <c r="B46" s="521"/>
      <c r="C46" s="521"/>
      <c r="D46" s="521"/>
      <c r="E46" s="521"/>
      <c r="F46" s="521"/>
      <c r="G46" s="521"/>
      <c r="H46" s="521"/>
      <c r="I46" s="521"/>
      <c r="J46" s="521"/>
      <c r="K46" s="521"/>
      <c r="L46" s="521"/>
      <c r="M46" s="521"/>
      <c r="N46" s="521"/>
      <c r="O46" s="521"/>
    </row>
    <row r="47" spans="2:15">
      <c r="B47" s="521"/>
      <c r="C47" s="521"/>
      <c r="D47" s="521"/>
      <c r="E47" s="521"/>
      <c r="F47" s="521"/>
      <c r="G47" s="521"/>
      <c r="H47" s="521"/>
      <c r="I47" s="521"/>
      <c r="J47" s="521"/>
      <c r="K47" s="521"/>
      <c r="L47" s="521"/>
      <c r="M47" s="521"/>
      <c r="N47" s="521"/>
      <c r="O47" s="521"/>
    </row>
    <row r="48" spans="2:15">
      <c r="B48" s="521"/>
      <c r="C48" s="521"/>
      <c r="D48" s="521"/>
      <c r="E48" s="521"/>
      <c r="F48" s="521"/>
      <c r="G48" s="521"/>
      <c r="H48" s="521"/>
      <c r="I48" s="521"/>
      <c r="J48" s="521"/>
      <c r="K48" s="521"/>
      <c r="L48" s="521"/>
      <c r="M48" s="521"/>
      <c r="N48" s="521"/>
      <c r="O48" s="521"/>
    </row>
    <row r="49" spans="2:15">
      <c r="B49" s="521"/>
      <c r="C49" s="521"/>
      <c r="D49" s="521"/>
      <c r="E49" s="521"/>
      <c r="F49" s="521"/>
      <c r="G49" s="521"/>
      <c r="H49" s="521"/>
      <c r="I49" s="521"/>
      <c r="J49" s="521"/>
      <c r="K49" s="521"/>
      <c r="L49" s="521"/>
      <c r="M49" s="521"/>
      <c r="N49" s="521"/>
      <c r="O49" s="521"/>
    </row>
    <row r="50" spans="2:15">
      <c r="B50" s="521"/>
      <c r="C50" s="521"/>
      <c r="D50" s="521"/>
      <c r="E50" s="521"/>
      <c r="F50" s="521"/>
      <c r="G50" s="521"/>
      <c r="H50" s="521"/>
      <c r="I50" s="521"/>
      <c r="J50" s="521"/>
      <c r="K50" s="521"/>
      <c r="L50" s="521"/>
      <c r="M50" s="521"/>
      <c r="N50" s="521"/>
      <c r="O50" s="521"/>
    </row>
    <row r="51" spans="2:15">
      <c r="B51" s="521"/>
      <c r="C51" s="521"/>
      <c r="D51" s="521"/>
      <c r="E51" s="521"/>
      <c r="F51" s="521"/>
      <c r="G51" s="521"/>
      <c r="H51" s="521"/>
      <c r="I51" s="521"/>
      <c r="J51" s="521"/>
      <c r="K51" s="521"/>
      <c r="L51" s="521"/>
      <c r="M51" s="521"/>
      <c r="N51" s="521"/>
      <c r="O51" s="521"/>
    </row>
    <row r="52" spans="2:15">
      <c r="B52" s="521"/>
      <c r="C52" s="521"/>
      <c r="D52" s="521"/>
      <c r="E52" s="521"/>
      <c r="F52" s="521"/>
      <c r="G52" s="521"/>
      <c r="H52" s="521"/>
      <c r="I52" s="521"/>
      <c r="J52" s="521"/>
      <c r="K52" s="521"/>
      <c r="L52" s="521"/>
      <c r="M52" s="521"/>
      <c r="N52" s="521"/>
      <c r="O52" s="521"/>
    </row>
    <row r="53" spans="2:15">
      <c r="B53" s="521"/>
      <c r="C53" s="521"/>
      <c r="D53" s="521"/>
      <c r="E53" s="521"/>
      <c r="F53" s="521"/>
      <c r="G53" s="521"/>
      <c r="H53" s="521"/>
      <c r="I53" s="521"/>
      <c r="J53" s="521"/>
      <c r="K53" s="521"/>
      <c r="L53" s="521"/>
      <c r="M53" s="521"/>
      <c r="N53" s="521"/>
      <c r="O53" s="521"/>
    </row>
    <row r="54" spans="2:15">
      <c r="B54" s="521"/>
      <c r="C54" s="521"/>
      <c r="D54" s="521"/>
      <c r="E54" s="521"/>
      <c r="F54" s="521"/>
      <c r="G54" s="521"/>
      <c r="H54" s="521"/>
      <c r="I54" s="521"/>
      <c r="J54" s="521"/>
      <c r="K54" s="521"/>
      <c r="L54" s="521"/>
      <c r="M54" s="521"/>
      <c r="N54" s="521"/>
      <c r="O54" s="521"/>
    </row>
    <row r="55" spans="2:15">
      <c r="B55" s="521"/>
      <c r="C55" s="521"/>
      <c r="D55" s="521"/>
      <c r="E55" s="521"/>
      <c r="F55" s="521"/>
      <c r="G55" s="521"/>
      <c r="H55" s="521"/>
      <c r="I55" s="521"/>
      <c r="J55" s="521"/>
      <c r="K55" s="521"/>
      <c r="L55" s="521"/>
      <c r="M55" s="521"/>
      <c r="N55" s="521"/>
      <c r="O55" s="521"/>
    </row>
    <row r="56" spans="2:15">
      <c r="B56" s="521"/>
      <c r="C56" s="521"/>
      <c r="D56" s="521"/>
      <c r="E56" s="521"/>
      <c r="F56" s="521"/>
      <c r="G56" s="521"/>
      <c r="H56" s="521"/>
      <c r="I56" s="521"/>
      <c r="J56" s="521"/>
      <c r="K56" s="521"/>
      <c r="L56" s="521"/>
      <c r="M56" s="521"/>
      <c r="N56" s="521"/>
      <c r="O56" s="521"/>
    </row>
    <row r="57" spans="2:15">
      <c r="B57" s="521"/>
      <c r="C57" s="521"/>
      <c r="D57" s="521"/>
      <c r="E57" s="521"/>
      <c r="F57" s="521"/>
      <c r="G57" s="521"/>
      <c r="H57" s="521"/>
      <c r="I57" s="521"/>
      <c r="J57" s="521"/>
      <c r="K57" s="521"/>
      <c r="L57" s="521"/>
      <c r="M57" s="521"/>
      <c r="N57" s="521"/>
      <c r="O57" s="521"/>
    </row>
    <row r="58" spans="2:15">
      <c r="B58" s="521"/>
      <c r="C58" s="521"/>
      <c r="D58" s="521"/>
      <c r="E58" s="521"/>
      <c r="F58" s="521"/>
      <c r="G58" s="521"/>
      <c r="H58" s="521"/>
      <c r="I58" s="521"/>
      <c r="J58" s="521"/>
      <c r="K58" s="521"/>
      <c r="L58" s="521"/>
      <c r="M58" s="521"/>
      <c r="N58" s="521"/>
      <c r="O58" s="521"/>
    </row>
    <row r="59" spans="2:15">
      <c r="B59" s="521"/>
      <c r="C59" s="521"/>
      <c r="D59" s="521"/>
      <c r="E59" s="521"/>
      <c r="F59" s="521"/>
      <c r="G59" s="521"/>
      <c r="H59" s="521"/>
      <c r="I59" s="521"/>
      <c r="J59" s="521"/>
      <c r="K59" s="521"/>
      <c r="L59" s="521"/>
      <c r="M59" s="521"/>
      <c r="N59" s="521"/>
      <c r="O59" s="521"/>
    </row>
    <row r="60" spans="2:15">
      <c r="B60" s="521"/>
      <c r="C60" s="521"/>
      <c r="D60" s="521"/>
      <c r="E60" s="521"/>
      <c r="F60" s="521"/>
      <c r="G60" s="521"/>
      <c r="H60" s="521"/>
      <c r="I60" s="521"/>
      <c r="J60" s="521"/>
      <c r="K60" s="521"/>
      <c r="L60" s="521"/>
      <c r="M60" s="521"/>
      <c r="N60" s="521"/>
      <c r="O60" s="521"/>
    </row>
    <row r="61" spans="2:15">
      <c r="B61" s="521"/>
      <c r="C61" s="521"/>
      <c r="D61" s="521"/>
      <c r="E61" s="521"/>
      <c r="F61" s="521"/>
      <c r="G61" s="521"/>
      <c r="H61" s="521"/>
      <c r="I61" s="521"/>
      <c r="J61" s="521"/>
      <c r="K61" s="521"/>
      <c r="L61" s="521"/>
      <c r="M61" s="521"/>
      <c r="N61" s="521"/>
      <c r="O61" s="521"/>
    </row>
    <row r="62" spans="2:15">
      <c r="B62" s="521"/>
      <c r="C62" s="521"/>
      <c r="D62" s="521"/>
      <c r="E62" s="521"/>
      <c r="F62" s="521"/>
      <c r="G62" s="521"/>
      <c r="H62" s="521"/>
      <c r="I62" s="521"/>
      <c r="J62" s="521"/>
      <c r="K62" s="521"/>
      <c r="L62" s="521"/>
      <c r="M62" s="521"/>
      <c r="N62" s="521"/>
      <c r="O62" s="521"/>
    </row>
    <row r="63" spans="2:15">
      <c r="B63" s="521"/>
      <c r="C63" s="521"/>
      <c r="D63" s="521"/>
      <c r="E63" s="521"/>
      <c r="F63" s="521"/>
      <c r="G63" s="521"/>
      <c r="H63" s="521"/>
      <c r="I63" s="521"/>
      <c r="J63" s="521"/>
      <c r="K63" s="521"/>
      <c r="L63" s="521"/>
      <c r="M63" s="521"/>
      <c r="N63" s="521"/>
      <c r="O63" s="521"/>
    </row>
    <row r="64" spans="2:15">
      <c r="B64" s="521"/>
      <c r="C64" s="521"/>
      <c r="D64" s="521"/>
      <c r="E64" s="521"/>
      <c r="F64" s="521"/>
      <c r="G64" s="521"/>
      <c r="H64" s="521"/>
      <c r="I64" s="521"/>
      <c r="J64" s="521"/>
      <c r="K64" s="521"/>
      <c r="L64" s="521"/>
      <c r="M64" s="521"/>
      <c r="N64" s="521"/>
      <c r="O64" s="521"/>
    </row>
    <row r="65" spans="2:15">
      <c r="B65" s="521"/>
      <c r="C65" s="521"/>
      <c r="D65" s="521"/>
      <c r="E65" s="521"/>
      <c r="F65" s="521"/>
      <c r="G65" s="521"/>
      <c r="H65" s="521"/>
      <c r="I65" s="521"/>
      <c r="J65" s="521"/>
      <c r="K65" s="521"/>
      <c r="L65" s="521"/>
      <c r="M65" s="521"/>
      <c r="N65" s="521"/>
      <c r="O65" s="52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5"/>
  <sheetViews>
    <sheetView showGridLines="0" view="pageBreakPreview" zoomScale="130" zoomScaleNormal="100" zoomScaleSheetLayoutView="130" zoomScalePageLayoutView="160" workbookViewId="0">
      <selection activeCell="R31" sqref="R31"/>
    </sheetView>
  </sheetViews>
  <sheetFormatPr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16.5" customHeight="1">
      <c r="A2" s="875" t="s">
        <v>480</v>
      </c>
      <c r="B2" s="875"/>
      <c r="C2" s="875"/>
      <c r="D2" s="875"/>
      <c r="E2" s="875"/>
      <c r="F2" s="875"/>
      <c r="G2" s="875"/>
      <c r="H2" s="875"/>
      <c r="I2" s="875"/>
      <c r="J2" s="875"/>
      <c r="K2" s="327"/>
    </row>
    <row r="3" spans="1:13" ht="7.5" customHeight="1">
      <c r="A3" s="158"/>
      <c r="B3" s="293"/>
      <c r="C3" s="312"/>
      <c r="D3" s="313"/>
      <c r="E3" s="313"/>
      <c r="F3" s="314"/>
      <c r="G3" s="315"/>
      <c r="H3" s="315"/>
      <c r="I3" s="228"/>
      <c r="J3" s="314"/>
    </row>
    <row r="4" spans="1:13" ht="11.25" customHeight="1">
      <c r="A4" s="258" t="s">
        <v>236</v>
      </c>
      <c r="B4" s="293"/>
      <c r="C4" s="312"/>
      <c r="D4" s="313"/>
      <c r="E4" s="313"/>
      <c r="F4" s="314"/>
      <c r="G4" s="315"/>
      <c r="H4" s="315"/>
      <c r="I4" s="228"/>
      <c r="J4" s="314"/>
      <c r="K4" s="45"/>
    </row>
    <row r="5" spans="1:13" ht="9" customHeight="1">
      <c r="A5" s="158"/>
      <c r="B5" s="293"/>
      <c r="C5" s="312"/>
      <c r="D5" s="313"/>
      <c r="E5" s="313"/>
      <c r="F5" s="314"/>
      <c r="G5" s="315"/>
      <c r="H5" s="315"/>
      <c r="I5" s="228"/>
      <c r="J5" s="314"/>
      <c r="K5" s="45"/>
    </row>
    <row r="6" spans="1:13" ht="27">
      <c r="A6" s="728" t="s">
        <v>230</v>
      </c>
      <c r="B6" s="729" t="s">
        <v>231</v>
      </c>
      <c r="C6" s="729" t="s">
        <v>232</v>
      </c>
      <c r="D6" s="729" t="s">
        <v>233</v>
      </c>
      <c r="E6" s="729" t="s">
        <v>234</v>
      </c>
      <c r="F6" s="730" t="s">
        <v>235</v>
      </c>
      <c r="G6" s="731" t="s">
        <v>245</v>
      </c>
      <c r="H6" s="730" t="s">
        <v>249</v>
      </c>
      <c r="I6" s="731" t="s">
        <v>566</v>
      </c>
      <c r="J6" s="732" t="s">
        <v>246</v>
      </c>
      <c r="K6" s="317"/>
    </row>
    <row r="7" spans="1:13" s="316" customFormat="1" ht="27.75" customHeight="1">
      <c r="A7" s="787" t="s">
        <v>237</v>
      </c>
      <c r="B7" s="786" t="s">
        <v>30</v>
      </c>
      <c r="C7" s="786" t="s">
        <v>238</v>
      </c>
      <c r="D7" s="786" t="s">
        <v>244</v>
      </c>
      <c r="E7" s="786" t="s">
        <v>239</v>
      </c>
      <c r="F7" s="788" t="s">
        <v>250</v>
      </c>
      <c r="G7" s="796">
        <v>33</v>
      </c>
      <c r="H7" s="789">
        <v>144.48400000000001</v>
      </c>
      <c r="I7" s="798" t="s">
        <v>593</v>
      </c>
      <c r="J7" s="790" t="s">
        <v>240</v>
      </c>
      <c r="K7" s="326"/>
      <c r="L7" s="316">
        <v>144.47999999999999</v>
      </c>
    </row>
    <row r="8" spans="1:13" s="316" customFormat="1" ht="24.75" customHeight="1">
      <c r="A8" s="791" t="s">
        <v>535</v>
      </c>
      <c r="B8" s="792" t="s">
        <v>37</v>
      </c>
      <c r="C8" s="792" t="s">
        <v>536</v>
      </c>
      <c r="D8" s="792" t="s">
        <v>545</v>
      </c>
      <c r="E8" s="792" t="s">
        <v>539</v>
      </c>
      <c r="F8" s="793" t="s">
        <v>544</v>
      </c>
      <c r="G8" s="797">
        <v>13.8</v>
      </c>
      <c r="H8" s="794">
        <v>20</v>
      </c>
      <c r="I8" s="794">
        <v>20</v>
      </c>
      <c r="J8" s="795" t="s">
        <v>543</v>
      </c>
      <c r="K8" s="326"/>
      <c r="L8" s="316">
        <v>20</v>
      </c>
    </row>
    <row r="9" spans="1:13" s="316" customFormat="1" ht="30" customHeight="1">
      <c r="A9" s="787" t="s">
        <v>106</v>
      </c>
      <c r="B9" s="786" t="s">
        <v>38</v>
      </c>
      <c r="C9" s="786" t="s">
        <v>25</v>
      </c>
      <c r="D9" s="786" t="s">
        <v>555</v>
      </c>
      <c r="E9" s="786" t="s">
        <v>526</v>
      </c>
      <c r="F9" s="788" t="s">
        <v>555</v>
      </c>
      <c r="G9" s="796">
        <v>13.8</v>
      </c>
      <c r="H9" s="789" t="s">
        <v>594</v>
      </c>
      <c r="I9" s="789" t="s">
        <v>595</v>
      </c>
      <c r="J9" s="790" t="s">
        <v>525</v>
      </c>
      <c r="K9" s="326"/>
      <c r="L9" s="757">
        <v>103.95113000000001</v>
      </c>
    </row>
    <row r="10" spans="1:13" s="316" customFormat="1" ht="24.75" customHeight="1">
      <c r="A10" s="791" t="s">
        <v>93</v>
      </c>
      <c r="B10" s="792" t="s">
        <v>30</v>
      </c>
      <c r="C10" s="792" t="s">
        <v>238</v>
      </c>
      <c r="D10" s="792" t="s">
        <v>244</v>
      </c>
      <c r="E10" s="792" t="s">
        <v>540</v>
      </c>
      <c r="F10" s="793" t="s">
        <v>541</v>
      </c>
      <c r="G10" s="797">
        <v>22.9</v>
      </c>
      <c r="H10" s="794">
        <v>44.54</v>
      </c>
      <c r="I10" s="794" t="s">
        <v>596</v>
      </c>
      <c r="J10" s="795" t="s">
        <v>542</v>
      </c>
      <c r="K10" s="326"/>
      <c r="L10" s="316">
        <v>44.54</v>
      </c>
    </row>
    <row r="11" spans="1:13" s="316" customFormat="1" ht="23.25" customHeight="1">
      <c r="A11" s="787" t="s">
        <v>237</v>
      </c>
      <c r="B11" s="786" t="s">
        <v>590</v>
      </c>
      <c r="C11" s="786" t="s">
        <v>591</v>
      </c>
      <c r="D11" s="786" t="s">
        <v>592</v>
      </c>
      <c r="E11" s="786" t="s">
        <v>597</v>
      </c>
      <c r="F11" s="788" t="s">
        <v>598</v>
      </c>
      <c r="G11" s="796">
        <v>12</v>
      </c>
      <c r="H11" s="789">
        <v>132.30000000000001</v>
      </c>
      <c r="I11" s="789" t="s">
        <v>601</v>
      </c>
      <c r="J11" s="790" t="s">
        <v>599</v>
      </c>
      <c r="K11" s="326"/>
      <c r="L11" s="316">
        <v>132.30000000000001</v>
      </c>
    </row>
    <row r="12" spans="1:13" ht="11.25" customHeight="1">
      <c r="A12" s="733" t="s">
        <v>44</v>
      </c>
      <c r="B12" s="734"/>
      <c r="C12" s="734"/>
      <c r="D12" s="734"/>
      <c r="E12" s="735"/>
      <c r="F12" s="736"/>
      <c r="G12" s="737"/>
      <c r="H12" s="738">
        <f>+SUM(H7:H11)+123.61</f>
        <v>464.93400000000003</v>
      </c>
      <c r="I12" s="738">
        <f>+SUM(L7:L11)</f>
        <v>445.27113000000003</v>
      </c>
      <c r="J12" s="739"/>
      <c r="K12" s="282"/>
      <c r="L12" s="754"/>
    </row>
    <row r="13" spans="1:13" ht="15" customHeight="1">
      <c r="A13" s="740" t="str">
        <f>"Cuadro N° 1: Relación de ingresos a operación comercial en "&amp;'1. Resumen'!Q4&amp;" "&amp;'1. Resumen'!Q5</f>
        <v>Cuadro N° 1: Relación de ingresos a operación comercial en junio 2018</v>
      </c>
      <c r="B13" s="153"/>
      <c r="C13" s="153"/>
      <c r="D13" s="153"/>
      <c r="E13" s="153"/>
      <c r="F13" s="153"/>
      <c r="G13" s="153"/>
      <c r="H13" s="153"/>
      <c r="I13" s="153"/>
      <c r="J13" s="153"/>
      <c r="K13" s="282"/>
    </row>
    <row r="14" spans="1:13" ht="11.25" customHeight="1">
      <c r="A14" s="884" t="s">
        <v>600</v>
      </c>
      <c r="B14" s="884"/>
      <c r="C14" s="884"/>
      <c r="D14" s="884"/>
      <c r="E14" s="884"/>
      <c r="F14" s="884"/>
      <c r="G14" s="884"/>
      <c r="H14" s="884"/>
      <c r="I14" s="884"/>
      <c r="J14" s="884"/>
      <c r="K14" s="282"/>
    </row>
    <row r="15" spans="1:13" ht="11.25" customHeight="1">
      <c r="A15" s="760" t="s">
        <v>548</v>
      </c>
      <c r="B15" s="760"/>
      <c r="C15" s="760"/>
      <c r="D15" s="760"/>
      <c r="E15" s="760"/>
      <c r="F15" s="760"/>
      <c r="G15" s="760"/>
      <c r="H15" s="760"/>
      <c r="I15" s="760"/>
      <c r="J15" s="760"/>
      <c r="K15" s="282"/>
      <c r="L15" s="95" t="s">
        <v>247</v>
      </c>
      <c r="M15" s="754">
        <f>+L7+L10</f>
        <v>189.01999999999998</v>
      </c>
    </row>
    <row r="16" spans="1:13" ht="20.25" customHeight="1">
      <c r="A16" s="885" t="s">
        <v>549</v>
      </c>
      <c r="B16" s="885"/>
      <c r="C16" s="885"/>
      <c r="D16" s="885"/>
      <c r="E16" s="885"/>
      <c r="F16" s="885"/>
      <c r="G16" s="885"/>
      <c r="H16" s="885"/>
      <c r="I16" s="885"/>
      <c r="J16" s="885"/>
      <c r="K16" s="282"/>
      <c r="L16" s="95" t="s">
        <v>546</v>
      </c>
      <c r="M16" s="754">
        <f>+L8</f>
        <v>20</v>
      </c>
    </row>
    <row r="17" spans="1:13" ht="11.25" customHeight="1">
      <c r="A17" s="319"/>
      <c r="B17" s="320"/>
      <c r="C17" s="318"/>
      <c r="D17" s="318"/>
      <c r="E17" s="318"/>
      <c r="F17" s="318"/>
      <c r="G17" s="318"/>
      <c r="H17" s="328"/>
      <c r="I17" s="328"/>
      <c r="J17" s="328"/>
      <c r="K17" s="282"/>
      <c r="L17" s="95" t="s">
        <v>557</v>
      </c>
      <c r="M17" s="754">
        <f>+L9</f>
        <v>103.95113000000001</v>
      </c>
    </row>
    <row r="18" spans="1:13" ht="11.25" customHeight="1">
      <c r="A18" s="329"/>
      <c r="B18" s="318"/>
      <c r="C18" s="318"/>
      <c r="D18" s="318"/>
      <c r="E18" s="318"/>
      <c r="F18" s="318"/>
      <c r="G18" s="318"/>
      <c r="H18" s="330"/>
      <c r="I18" s="330"/>
      <c r="J18" s="330"/>
      <c r="K18" s="282"/>
      <c r="L18" s="95" t="s">
        <v>602</v>
      </c>
      <c r="M18" s="95">
        <v>132.30000000000001</v>
      </c>
    </row>
    <row r="19" spans="1:13" ht="11.25" customHeight="1">
      <c r="A19" s="329"/>
      <c r="B19" s="318"/>
      <c r="C19" s="318"/>
      <c r="D19" s="318"/>
      <c r="E19" s="318"/>
      <c r="F19" s="318"/>
      <c r="G19" s="318"/>
      <c r="H19" s="328"/>
      <c r="I19" s="328" t="s">
        <v>8</v>
      </c>
      <c r="J19" s="328"/>
      <c r="K19" s="282"/>
    </row>
    <row r="20" spans="1:13" ht="11.25" customHeight="1">
      <c r="A20" s="329"/>
      <c r="B20" s="318"/>
      <c r="C20" s="318"/>
      <c r="D20" s="318"/>
      <c r="E20" s="318"/>
      <c r="F20" s="318"/>
      <c r="G20" s="318"/>
      <c r="H20" s="328"/>
      <c r="I20" s="328"/>
      <c r="J20" s="328"/>
      <c r="K20" s="282"/>
    </row>
    <row r="21" spans="1:13" ht="11.25" customHeight="1">
      <c r="A21" s="329"/>
      <c r="B21" s="318"/>
      <c r="C21" s="318"/>
      <c r="D21" s="318"/>
      <c r="E21" s="318"/>
      <c r="F21" s="318"/>
      <c r="G21" s="318"/>
      <c r="H21" s="328"/>
      <c r="I21" s="328"/>
      <c r="J21" s="328"/>
      <c r="K21" s="282"/>
    </row>
    <row r="22" spans="1:13" ht="11.25" customHeight="1">
      <c r="A22" s="331"/>
      <c r="B22" s="332"/>
      <c r="C22" s="332"/>
      <c r="D22" s="332"/>
      <c r="E22" s="332"/>
      <c r="F22" s="332"/>
      <c r="G22" s="332"/>
      <c r="H22" s="333"/>
      <c r="I22" s="333"/>
      <c r="J22" s="333"/>
      <c r="K22" s="282"/>
    </row>
    <row r="23" spans="1:13" ht="11.25" customHeight="1">
      <c r="A23" s="334"/>
      <c r="B23" s="241"/>
      <c r="C23" s="241"/>
      <c r="D23" s="159"/>
      <c r="E23" s="159"/>
      <c r="F23" s="159"/>
      <c r="G23" s="159"/>
      <c r="H23" s="321"/>
      <c r="I23" s="321"/>
      <c r="J23" s="321"/>
      <c r="K23" s="282"/>
    </row>
    <row r="24" spans="1:13" ht="11.25" customHeight="1">
      <c r="A24" s="301"/>
      <c r="B24" s="159"/>
      <c r="C24" s="159"/>
      <c r="D24" s="159"/>
      <c r="E24" s="159"/>
      <c r="F24" s="159"/>
      <c r="G24" s="159"/>
      <c r="H24" s="321"/>
      <c r="I24" s="321"/>
      <c r="J24" s="321"/>
      <c r="K24" s="282"/>
    </row>
    <row r="25" spans="1:13" ht="11.25" customHeight="1">
      <c r="A25" s="301"/>
      <c r="B25" s="159"/>
      <c r="C25" s="159"/>
      <c r="D25" s="159"/>
      <c r="E25" s="159"/>
      <c r="F25" s="159"/>
      <c r="G25" s="159"/>
      <c r="H25" s="187"/>
      <c r="I25" s="187"/>
      <c r="J25" s="187"/>
      <c r="K25" s="282"/>
    </row>
    <row r="26" spans="1:13" ht="11.25" customHeight="1">
      <c r="A26" s="301"/>
      <c r="B26" s="159"/>
      <c r="C26" s="159"/>
      <c r="D26" s="159"/>
      <c r="E26" s="159"/>
      <c r="F26" s="159"/>
      <c r="G26" s="159"/>
      <c r="H26" s="321"/>
      <c r="I26" s="321"/>
      <c r="J26" s="321"/>
      <c r="K26" s="282"/>
    </row>
    <row r="27" spans="1:13" ht="11.25" customHeight="1">
      <c r="A27" s="301"/>
      <c r="B27" s="159"/>
      <c r="C27" s="159"/>
      <c r="D27" s="159"/>
      <c r="E27" s="159"/>
      <c r="F27" s="159"/>
      <c r="G27" s="159"/>
      <c r="H27" s="335"/>
      <c r="I27" s="335"/>
      <c r="J27" s="335"/>
      <c r="K27" s="282"/>
    </row>
    <row r="28" spans="1:13" ht="11.25" customHeight="1">
      <c r="A28" s="322"/>
      <c r="B28" s="201"/>
      <c r="C28" s="201"/>
      <c r="D28" s="201"/>
      <c r="E28" s="201"/>
      <c r="F28" s="201"/>
      <c r="G28" s="201"/>
      <c r="H28" s="201"/>
      <c r="I28" s="201"/>
      <c r="J28" s="201"/>
      <c r="K28" s="282"/>
    </row>
    <row r="29" spans="1:13" ht="11.25" customHeight="1">
      <c r="A29" s="318"/>
      <c r="B29" s="159"/>
      <c r="C29" s="159"/>
      <c r="D29" s="159"/>
      <c r="E29" s="159"/>
      <c r="F29" s="159"/>
      <c r="G29" s="159"/>
      <c r="H29" s="159"/>
      <c r="I29" s="159"/>
      <c r="J29" s="159"/>
      <c r="K29" s="282"/>
    </row>
    <row r="30" spans="1:13" ht="11.25" customHeight="1">
      <c r="A30" s="25"/>
      <c r="B30" s="874" t="str">
        <f>"Gráfico 2: Ingreso de Potencia Efectiva por tipo de Recurso Energético y Tecnología en "&amp;'1. Resumen'!Q4&amp;" "&amp;'1. Resumen'!Q5&amp;" (MW)"</f>
        <v>Gráfico 2: Ingreso de Potencia Efectiva por tipo de Recurso Energético y Tecnología en junio 2018 (MW)</v>
      </c>
      <c r="C30" s="874"/>
      <c r="D30" s="874"/>
      <c r="E30" s="874"/>
      <c r="F30" s="874"/>
      <c r="G30" s="874"/>
      <c r="H30" s="874"/>
      <c r="I30" s="874"/>
      <c r="J30" s="874"/>
      <c r="K30" s="874"/>
    </row>
    <row r="31" spans="1:13" ht="27" customHeight="1">
      <c r="B31" s="886" t="s">
        <v>556</v>
      </c>
      <c r="C31" s="886"/>
      <c r="D31" s="886"/>
      <c r="E31" s="886"/>
      <c r="F31" s="886"/>
      <c r="G31" s="886"/>
      <c r="H31" s="886"/>
    </row>
    <row r="32" spans="1:13" ht="9" customHeight="1">
      <c r="A32" s="84"/>
      <c r="B32" s="84"/>
      <c r="C32" s="84"/>
      <c r="D32" s="84"/>
      <c r="E32" s="25"/>
      <c r="F32" s="25"/>
      <c r="G32" s="84"/>
      <c r="H32" s="25"/>
      <c r="I32" s="25"/>
      <c r="J32" s="25"/>
      <c r="K32" s="282"/>
    </row>
    <row r="33" spans="1:15" ht="11.25" customHeight="1">
      <c r="A33" s="323" t="s">
        <v>493</v>
      </c>
      <c r="B33" s="153"/>
      <c r="C33" s="324"/>
      <c r="D33" s="153"/>
      <c r="E33" s="200"/>
      <c r="F33" s="200"/>
      <c r="G33" s="153"/>
      <c r="H33" s="200"/>
      <c r="I33" s="200"/>
      <c r="J33" s="200"/>
      <c r="K33" s="282"/>
    </row>
    <row r="34" spans="1:15" ht="11.25" customHeight="1">
      <c r="B34" s="153"/>
      <c r="C34" s="324"/>
      <c r="D34" s="153"/>
      <c r="E34" s="200"/>
      <c r="F34" s="200"/>
      <c r="G34" s="153"/>
      <c r="H34" s="200"/>
      <c r="I34" s="200"/>
      <c r="J34" s="200"/>
      <c r="K34" s="282"/>
    </row>
    <row r="35" spans="1:15" ht="33.75" customHeight="1">
      <c r="B35" s="872" t="s">
        <v>248</v>
      </c>
      <c r="C35" s="873"/>
      <c r="D35" s="755" t="str">
        <f>UPPER('1. Resumen'!Q4)&amp;" "&amp;'1. Resumen'!Q5</f>
        <v>JUNIO 2018</v>
      </c>
      <c r="E35" s="755" t="str">
        <f>UPPER('1. Resumen'!Q4)&amp;" "&amp;'1. Resumen'!Q5-1</f>
        <v>JUNIO 2017</v>
      </c>
      <c r="F35" s="756" t="s">
        <v>251</v>
      </c>
      <c r="G35" s="336"/>
      <c r="H35" s="337"/>
      <c r="I35" s="200"/>
      <c r="J35" s="200"/>
    </row>
    <row r="36" spans="1:15" ht="11.25" customHeight="1">
      <c r="B36" s="876" t="s">
        <v>241</v>
      </c>
      <c r="C36" s="877"/>
      <c r="D36" s="764">
        <v>4904.5012475000012</v>
      </c>
      <c r="E36" s="741">
        <v>4968.0372475000004</v>
      </c>
      <c r="F36" s="742">
        <f>+D36/E36-1</f>
        <v>-1.2788954034507638E-2</v>
      </c>
      <c r="G36" s="336"/>
      <c r="H36" s="337"/>
      <c r="I36" s="200"/>
      <c r="J36" s="200"/>
      <c r="K36" s="282"/>
    </row>
    <row r="37" spans="1:15" ht="11.25" customHeight="1">
      <c r="B37" s="878" t="s">
        <v>242</v>
      </c>
      <c r="C37" s="879"/>
      <c r="D37" s="765">
        <v>7393.5644999999995</v>
      </c>
      <c r="E37" s="743">
        <v>7373.5784999999987</v>
      </c>
      <c r="F37" s="744">
        <f>+D37/E37-1</f>
        <v>2.7104885368753884E-3</v>
      </c>
      <c r="G37" s="338"/>
      <c r="H37" s="338"/>
      <c r="M37" s="325"/>
      <c r="N37" s="325"/>
      <c r="O37" s="153"/>
    </row>
    <row r="38" spans="1:15" ht="11.25" customHeight="1">
      <c r="B38" s="880" t="s">
        <v>243</v>
      </c>
      <c r="C38" s="881"/>
      <c r="D38" s="766">
        <v>375.46</v>
      </c>
      <c r="E38" s="745">
        <v>96</v>
      </c>
      <c r="F38" s="746">
        <f>+D38/E38-1</f>
        <v>2.9110416666666663</v>
      </c>
      <c r="G38" s="338"/>
      <c r="H38" s="338"/>
    </row>
    <row r="39" spans="1:15" ht="11.25" customHeight="1">
      <c r="B39" s="882" t="s">
        <v>85</v>
      </c>
      <c r="C39" s="883"/>
      <c r="D39" s="767">
        <v>285.02</v>
      </c>
      <c r="E39" s="747">
        <v>243.16</v>
      </c>
      <c r="F39" s="748">
        <f>+D39/E39-1</f>
        <v>0.17215002467511087</v>
      </c>
      <c r="G39" s="338"/>
      <c r="H39" s="338"/>
    </row>
    <row r="40" spans="1:15" ht="11.25" customHeight="1">
      <c r="B40" s="870" t="s">
        <v>215</v>
      </c>
      <c r="C40" s="871"/>
      <c r="D40" s="768">
        <f>+D36+D37+D38+D39</f>
        <v>12958.5457475</v>
      </c>
      <c r="E40" s="749">
        <f>+E36+E37+E38+E39</f>
        <v>12680.7757475</v>
      </c>
      <c r="F40" s="750">
        <f>+D40/E40-1</f>
        <v>2.1904811308942396E-2</v>
      </c>
      <c r="G40" s="758"/>
      <c r="H40" s="338"/>
    </row>
    <row r="41" spans="1:15" ht="11.25" customHeight="1">
      <c r="B41" s="740" t="str">
        <f>"Cuadro N° 2: Comparación de la potencia instalada en el SEIN al término de "&amp;'1. Resumen'!Q4&amp;" "&amp;'1. Resumen'!Q5-1&amp;" y "&amp;'1. Resumen'!Q4&amp;" "&amp;'1. Resumen'!Q5</f>
        <v>Cuadro N° 2: Comparación de la potencia instalada en el SEIN al término de junio 2017 y junio 2018</v>
      </c>
      <c r="C41" s="336"/>
      <c r="D41" s="336"/>
      <c r="E41" s="336"/>
      <c r="F41" s="336"/>
      <c r="G41" s="336"/>
      <c r="H41" s="336"/>
      <c r="I41" s="153"/>
      <c r="J41" s="153"/>
      <c r="K41" s="282"/>
    </row>
    <row r="42" spans="1:15" ht="11.25" customHeight="1">
      <c r="A42" s="153"/>
      <c r="C42" s="338"/>
      <c r="D42" s="336"/>
      <c r="E42" s="336"/>
      <c r="F42" s="336"/>
      <c r="G42" s="336"/>
      <c r="H42" s="336"/>
      <c r="I42" s="153"/>
      <c r="J42" s="153"/>
      <c r="K42" s="282"/>
    </row>
    <row r="43" spans="1:15" ht="11.25" customHeight="1">
      <c r="A43" s="153"/>
      <c r="B43" s="153"/>
      <c r="C43" s="153"/>
      <c r="D43" s="153"/>
      <c r="E43" s="153"/>
      <c r="F43" s="153"/>
      <c r="G43" s="153"/>
      <c r="H43" s="153"/>
      <c r="I43" s="153"/>
      <c r="J43" s="153"/>
      <c r="K43" s="282"/>
    </row>
    <row r="44" spans="1:15" ht="11.25" customHeight="1">
      <c r="A44" s="153"/>
      <c r="B44" s="153"/>
      <c r="C44" s="153"/>
      <c r="D44" s="153"/>
      <c r="E44" s="153"/>
      <c r="F44" s="153"/>
      <c r="G44" s="153"/>
      <c r="H44" s="153"/>
      <c r="I44" s="153"/>
      <c r="J44" s="153"/>
      <c r="K44" s="282"/>
    </row>
    <row r="45" spans="1:15">
      <c r="A45" s="158"/>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153"/>
      <c r="B53" s="153"/>
      <c r="C53" s="153"/>
      <c r="D53" s="153"/>
      <c r="E53" s="153"/>
      <c r="F53" s="153"/>
      <c r="G53" s="153"/>
      <c r="H53" s="153"/>
      <c r="I53" s="153"/>
      <c r="J53" s="153"/>
    </row>
    <row r="54" spans="1:10">
      <c r="A54" s="751" t="str">
        <f>"Gráfico N° 3: Comparación de la potencia instalada en el SEIN al término de "&amp;'1. Resumen'!Q4&amp;" "&amp;'1. Resumen'!Q5-1&amp;" y "&amp;'1. Resumen'!Q4&amp;" "&amp;'1. Resumen'!Q5</f>
        <v>Gráfico N° 3: Comparación de la potencia instalada en el SEIN al término de junio 2017 y junio 2018</v>
      </c>
      <c r="C54" s="153"/>
      <c r="D54" s="153"/>
      <c r="E54" s="153"/>
      <c r="F54" s="153"/>
      <c r="G54" s="153"/>
      <c r="H54" s="153"/>
      <c r="I54" s="153"/>
      <c r="J54" s="153"/>
    </row>
    <row r="55" spans="1:10" ht="5.25" customHeight="1">
      <c r="A55" s="153"/>
      <c r="B55" s="153"/>
      <c r="D55" s="153"/>
      <c r="E55" s="153"/>
      <c r="F55" s="153"/>
      <c r="G55" s="153"/>
      <c r="H55" s="153"/>
      <c r="I55" s="153"/>
      <c r="J55" s="153"/>
    </row>
  </sheetData>
  <mergeCells count="11">
    <mergeCell ref="B40:C40"/>
    <mergeCell ref="B35:C35"/>
    <mergeCell ref="B30:K30"/>
    <mergeCell ref="A2:J2"/>
    <mergeCell ref="B36:C36"/>
    <mergeCell ref="B37:C37"/>
    <mergeCell ref="B38:C38"/>
    <mergeCell ref="B39:C39"/>
    <mergeCell ref="A14:J14"/>
    <mergeCell ref="A16:J16"/>
    <mergeCell ref="B31:H31"/>
  </mergeCells>
  <conditionalFormatting sqref="A20:A22 A17">
    <cfRule type="containsText" dxfId="5" priority="5" stopIfTrue="1" operator="containsText" text=" 0%">
      <formula>NOT(ISERROR(SEARCH(" 0%",A17)))</formula>
    </cfRule>
    <cfRule type="containsText" dxfId="4" priority="6" stopIfTrue="1" operator="containsText" text="0.0%">
      <formula>NOT(ISERROR(SEARCH("0.0%",A17)))</formula>
    </cfRule>
  </conditionalFormatting>
  <conditionalFormatting sqref="A18">
    <cfRule type="containsText" dxfId="3" priority="3" stopIfTrue="1" operator="containsText" text=" 0%">
      <formula>NOT(ISERROR(SEARCH(" 0%",A18)))</formula>
    </cfRule>
    <cfRule type="containsText" dxfId="2" priority="4" stopIfTrue="1" operator="containsText" text="0.0%">
      <formula>NOT(ISERROR(SEARCH("0.0%",A18)))</formula>
    </cfRule>
  </conditionalFormatting>
  <conditionalFormatting sqref="A19">
    <cfRule type="containsText" dxfId="1" priority="1" stopIfTrue="1" operator="containsText" text=" 0%">
      <formula>NOT(ISERROR(SEARCH(" 0%",A19)))</formula>
    </cfRule>
    <cfRule type="containsText" dxfId="0" priority="2" stopIfTrue="1" operator="containsText" text="0.0%">
      <formula>NOT(ISERROR(SEARCH("0.0%",A19)))</formula>
    </cfRule>
  </conditionalFormatting>
  <pageMargins left="0.7" right="0.57471264367816088" top="0.86956521739130432" bottom="0.61458333333333337" header="0.3" footer="0.3"/>
  <pageSetup orientation="portrait" r:id="rId1"/>
  <headerFooter>
    <oddHeader>&amp;R&amp;7Informe de la Operación Mensual - Junio 2018
INFSGI-MES-06-2018
10/07/2018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topLeftCell="D1" zoomScale="160" zoomScaleNormal="100" zoomScaleSheetLayoutView="160" zoomScalePageLayoutView="160" workbookViewId="0">
      <selection activeCell="R31" sqref="R31"/>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891" t="s">
        <v>254</v>
      </c>
      <c r="B2" s="891"/>
      <c r="C2" s="891"/>
      <c r="D2" s="891"/>
      <c r="E2" s="891"/>
      <c r="F2" s="891"/>
      <c r="G2" s="891"/>
      <c r="H2" s="891"/>
      <c r="I2" s="891"/>
      <c r="J2" s="891"/>
      <c r="K2" s="891"/>
    </row>
    <row r="3" spans="1:11" ht="11.25" customHeight="1">
      <c r="A3" s="103"/>
      <c r="B3" s="104"/>
      <c r="C3" s="105"/>
      <c r="D3" s="106"/>
      <c r="E3" s="106"/>
      <c r="F3" s="106"/>
      <c r="G3" s="106"/>
      <c r="H3" s="103"/>
      <c r="I3" s="103"/>
      <c r="J3" s="103"/>
      <c r="K3" s="107"/>
    </row>
    <row r="4" spans="1:11" ht="11.25" customHeight="1">
      <c r="A4" s="892" t="str">
        <f>+"3.1. PRODUCCIÓN POR TIPO DE GENERACIÓN (GWh)"</f>
        <v>3.1. PRODUCCIÓN POR TIPO DE GENERACIÓN (GWh)</v>
      </c>
      <c r="B4" s="892"/>
      <c r="C4" s="892"/>
      <c r="D4" s="892"/>
      <c r="E4" s="892"/>
      <c r="F4" s="892"/>
      <c r="G4" s="892"/>
      <c r="H4" s="892"/>
      <c r="I4" s="892"/>
      <c r="J4" s="892"/>
      <c r="K4" s="892"/>
    </row>
    <row r="5" spans="1:11" ht="11.25" customHeight="1">
      <c r="A5" s="93"/>
      <c r="B5" s="108"/>
      <c r="C5" s="109"/>
      <c r="D5" s="110"/>
      <c r="E5" s="110"/>
      <c r="F5" s="110"/>
      <c r="G5" s="110"/>
      <c r="H5" s="111"/>
      <c r="I5" s="103"/>
      <c r="J5" s="103"/>
      <c r="K5" s="112"/>
    </row>
    <row r="6" spans="1:11" ht="18" customHeight="1">
      <c r="A6" s="889" t="s">
        <v>32</v>
      </c>
      <c r="B6" s="893" t="s">
        <v>33</v>
      </c>
      <c r="C6" s="894"/>
      <c r="D6" s="894"/>
      <c r="E6" s="894" t="s">
        <v>34</v>
      </c>
      <c r="F6" s="894"/>
      <c r="G6" s="895" t="str">
        <f>"Generación Acumulada a "&amp;'1. Resumen'!Q4</f>
        <v>Generación Acumulada a junio</v>
      </c>
      <c r="H6" s="895"/>
      <c r="I6" s="895"/>
      <c r="J6" s="895"/>
      <c r="K6" s="896"/>
    </row>
    <row r="7" spans="1:11" ht="32.25" customHeight="1">
      <c r="A7" s="890"/>
      <c r="B7" s="161">
        <f>+C7-30</f>
        <v>43194</v>
      </c>
      <c r="C7" s="161">
        <f>+D7-28</f>
        <v>43224</v>
      </c>
      <c r="D7" s="161">
        <f>+'1. Resumen'!Q6</f>
        <v>43252</v>
      </c>
      <c r="E7" s="161">
        <f>+D7-365</f>
        <v>42887</v>
      </c>
      <c r="F7" s="162" t="s">
        <v>35</v>
      </c>
      <c r="G7" s="163">
        <v>2018</v>
      </c>
      <c r="H7" s="163">
        <v>2017</v>
      </c>
      <c r="I7" s="162" t="s">
        <v>43</v>
      </c>
      <c r="J7" s="163">
        <v>2016</v>
      </c>
      <c r="K7" s="164" t="s">
        <v>36</v>
      </c>
    </row>
    <row r="8" spans="1:11" ht="15" customHeight="1">
      <c r="A8" s="137" t="s">
        <v>37</v>
      </c>
      <c r="B8" s="630">
        <v>3012.519140195001</v>
      </c>
      <c r="C8" s="624">
        <v>2632.7882674499997</v>
      </c>
      <c r="D8" s="631">
        <v>2113.6878663950001</v>
      </c>
      <c r="E8" s="630">
        <v>2162.770216430361</v>
      </c>
      <c r="F8" s="346">
        <f>IF(E8=0,"",D8/E8-1)</f>
        <v>-2.2694204711386723E-2</v>
      </c>
      <c r="G8" s="638">
        <v>16327.994869525002</v>
      </c>
      <c r="H8" s="624">
        <v>15387.938461877231</v>
      </c>
      <c r="I8" s="350">
        <f>IF(H8=0,"",G8/H8-1)</f>
        <v>6.109047095403386E-2</v>
      </c>
      <c r="J8" s="630">
        <v>12339.799134015351</v>
      </c>
      <c r="K8" s="346">
        <f t="shared" ref="K8:K15" si="0">IF(J8=0,"",H8/J8-1)</f>
        <v>0.24701693234693844</v>
      </c>
    </row>
    <row r="9" spans="1:11" ht="15" customHeight="1">
      <c r="A9" s="138" t="s">
        <v>38</v>
      </c>
      <c r="B9" s="632">
        <v>1022.1961833474999</v>
      </c>
      <c r="C9" s="625">
        <v>1453.9806734525005</v>
      </c>
      <c r="D9" s="633">
        <v>1845.9351711024999</v>
      </c>
      <c r="E9" s="632">
        <v>1735.8863242221623</v>
      </c>
      <c r="F9" s="347">
        <f t="shared" ref="F9:F15" si="1">IF(E9=0,"",D9/E9-1)</f>
        <v>6.3396344187255149E-2</v>
      </c>
      <c r="G9" s="639">
        <v>7804.0830211675002</v>
      </c>
      <c r="H9" s="625">
        <v>8462.2872637061064</v>
      </c>
      <c r="I9" s="351">
        <f t="shared" ref="I9:I15" si="2">IF(H9=0,"",G9/H9-1)</f>
        <v>-7.7780890913686895E-2</v>
      </c>
      <c r="J9" s="632">
        <v>10905.800762376784</v>
      </c>
      <c r="K9" s="347">
        <f t="shared" si="0"/>
        <v>-0.22405631204087251</v>
      </c>
    </row>
    <row r="10" spans="1:11" ht="15" customHeight="1">
      <c r="A10" s="139" t="s">
        <v>39</v>
      </c>
      <c r="B10" s="634">
        <v>115.011208025</v>
      </c>
      <c r="C10" s="626">
        <v>143.30216725</v>
      </c>
      <c r="D10" s="635">
        <v>128.59335152</v>
      </c>
      <c r="E10" s="634">
        <v>84.876053974485671</v>
      </c>
      <c r="F10" s="348">
        <f t="shared" si="1"/>
        <v>0.51507222000042607</v>
      </c>
      <c r="G10" s="640">
        <v>658.58462278000013</v>
      </c>
      <c r="H10" s="626">
        <v>459.83840211906772</v>
      </c>
      <c r="I10" s="352">
        <f t="shared" si="2"/>
        <v>0.43220883628912388</v>
      </c>
      <c r="J10" s="634">
        <v>460.87854803203777</v>
      </c>
      <c r="K10" s="348">
        <f t="shared" si="0"/>
        <v>-2.2568763883923371E-3</v>
      </c>
    </row>
    <row r="11" spans="1:11" ht="15" customHeight="1">
      <c r="A11" s="138" t="s">
        <v>30</v>
      </c>
      <c r="B11" s="632">
        <v>58.171585880000009</v>
      </c>
      <c r="C11" s="625">
        <v>57.9052203225</v>
      </c>
      <c r="D11" s="633">
        <v>46.704256437500007</v>
      </c>
      <c r="E11" s="632">
        <v>15.855395925284</v>
      </c>
      <c r="F11" s="347">
        <f>IF(E11=0,"",D11/E11-1)</f>
        <v>1.9456379807597548</v>
      </c>
      <c r="G11" s="639">
        <v>330.79512248999998</v>
      </c>
      <c r="H11" s="625">
        <v>105.26838385322201</v>
      </c>
      <c r="I11" s="351">
        <f t="shared" si="2"/>
        <v>2.1423976542779912</v>
      </c>
      <c r="J11" s="632">
        <v>115.22454152099991</v>
      </c>
      <c r="K11" s="347">
        <f t="shared" si="0"/>
        <v>-8.6406572214161259E-2</v>
      </c>
    </row>
    <row r="12" spans="1:11" ht="15" customHeight="1">
      <c r="A12" s="172" t="s">
        <v>44</v>
      </c>
      <c r="B12" s="636">
        <f>+B8+B9+B10+B11</f>
        <v>4207.8981174475002</v>
      </c>
      <c r="C12" s="627">
        <f>+C8+C9+C10+C11</f>
        <v>4287.9763284750006</v>
      </c>
      <c r="D12" s="637">
        <f>+D8+D9+D10+D11</f>
        <v>4134.9206454550003</v>
      </c>
      <c r="E12" s="636">
        <f>+E8+E9+E10+E11</f>
        <v>3999.3879905522931</v>
      </c>
      <c r="F12" s="349">
        <f>IF(E12=0,"",D12/E12-1)</f>
        <v>3.3888348723073225E-2</v>
      </c>
      <c r="G12" s="636">
        <f>+G8+G9+G10+G11</f>
        <v>25121.457635962503</v>
      </c>
      <c r="H12" s="627">
        <f>+H8+H9+H10+H11</f>
        <v>24415.332511555629</v>
      </c>
      <c r="I12" s="353">
        <f>IF(H12=0,"",G12/H12-1)</f>
        <v>2.8921380614933989E-2</v>
      </c>
      <c r="J12" s="636">
        <f>+J8+J9+J10+J11</f>
        <v>23821.702985945172</v>
      </c>
      <c r="K12" s="349">
        <f t="shared" si="0"/>
        <v>2.4919693019457956E-2</v>
      </c>
    </row>
    <row r="13" spans="1:11" ht="15" customHeight="1">
      <c r="A13" s="133"/>
      <c r="B13" s="133"/>
      <c r="C13" s="133"/>
      <c r="D13" s="133"/>
      <c r="E13" s="133"/>
      <c r="F13" s="135"/>
      <c r="G13" s="133"/>
      <c r="H13" s="133"/>
      <c r="I13" s="135"/>
      <c r="J13" s="134"/>
      <c r="K13" s="135" t="str">
        <f t="shared" si="0"/>
        <v/>
      </c>
    </row>
    <row r="14" spans="1:11" ht="15" customHeight="1">
      <c r="A14" s="140" t="s">
        <v>40</v>
      </c>
      <c r="B14" s="344">
        <v>0</v>
      </c>
      <c r="C14" s="345">
        <v>0</v>
      </c>
      <c r="D14" s="629">
        <v>1.7041230000000001</v>
      </c>
      <c r="E14" s="344">
        <v>0</v>
      </c>
      <c r="F14" s="141" t="str">
        <f t="shared" si="1"/>
        <v/>
      </c>
      <c r="G14" s="344">
        <v>3.8248099999999994</v>
      </c>
      <c r="H14" s="345">
        <v>12.953248</v>
      </c>
      <c r="I14" s="144">
        <f t="shared" si="2"/>
        <v>-0.70472193537867889</v>
      </c>
      <c r="J14" s="344">
        <v>12.827913700000002</v>
      </c>
      <c r="K14" s="141">
        <f t="shared" si="0"/>
        <v>9.7704352345306944E-3</v>
      </c>
    </row>
    <row r="15" spans="1:11" ht="15" customHeight="1">
      <c r="A15" s="139" t="s">
        <v>41</v>
      </c>
      <c r="B15" s="341">
        <v>0</v>
      </c>
      <c r="C15" s="342">
        <v>0</v>
      </c>
      <c r="D15" s="343">
        <v>0</v>
      </c>
      <c r="E15" s="341">
        <v>0</v>
      </c>
      <c r="F15" s="142" t="str">
        <f t="shared" si="1"/>
        <v/>
      </c>
      <c r="G15" s="341">
        <v>0</v>
      </c>
      <c r="H15" s="342">
        <v>0</v>
      </c>
      <c r="I15" s="136" t="str">
        <f t="shared" si="2"/>
        <v/>
      </c>
      <c r="J15" s="341">
        <v>37.352100999999998</v>
      </c>
      <c r="K15" s="142">
        <f t="shared" si="0"/>
        <v>-1</v>
      </c>
    </row>
    <row r="16" spans="1:11" ht="23.25" customHeight="1">
      <c r="A16" s="146" t="s">
        <v>42</v>
      </c>
      <c r="B16" s="354">
        <f>+B15-B14</f>
        <v>0</v>
      </c>
      <c r="C16" s="354">
        <f>+C15-C14</f>
        <v>0</v>
      </c>
      <c r="D16" s="354">
        <f>+D15-D14</f>
        <v>-1.7041230000000001</v>
      </c>
      <c r="E16" s="354">
        <f>+E15-E14</f>
        <v>0</v>
      </c>
      <c r="F16" s="143"/>
      <c r="G16" s="354">
        <f>+G15-G14</f>
        <v>-3.8248099999999994</v>
      </c>
      <c r="H16" s="355">
        <f>+H15-H14</f>
        <v>-12.953248</v>
      </c>
      <c r="I16" s="145"/>
      <c r="J16" s="354">
        <f>+J15-J14</f>
        <v>24.524187299999994</v>
      </c>
      <c r="K16" s="143"/>
    </row>
    <row r="17" spans="1:11" ht="11.25" customHeight="1">
      <c r="A17" s="356" t="s">
        <v>253</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87"/>
      <c r="C42" s="887"/>
      <c r="D42" s="887"/>
      <c r="E42" s="113"/>
      <c r="F42" s="113"/>
      <c r="G42" s="888"/>
      <c r="H42" s="888"/>
      <c r="I42" s="888"/>
      <c r="J42" s="888"/>
      <c r="K42" s="888"/>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57" t="str">
        <f>"Gráfico N° 4: Comparación de la producción de energía eléctrica por tipo de generación acumulada a "&amp;'1. Resumen'!Q4</f>
        <v>Gráfico N° 4: Comparación de la producción de energía eléctrica por tipo de generación acumulada a junio</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Junio 2018
INFSGI-MES-06-2018
10/07/2018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R31" sqref="R31"/>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897" t="str">
        <f>+"3.2. PRODUCCIÓN POR TIPO DE RECURSO ENERGÉTICO (GWh)"</f>
        <v>3.2. PRODUCCIÓN POR TIPO DE RECURSO ENERGÉTICO (GWh)</v>
      </c>
      <c r="B2" s="897"/>
      <c r="C2" s="897"/>
      <c r="D2" s="897"/>
      <c r="E2" s="897"/>
      <c r="F2" s="897"/>
      <c r="G2" s="897"/>
      <c r="H2" s="897"/>
      <c r="I2" s="897"/>
      <c r="J2" s="897"/>
      <c r="K2" s="897"/>
    </row>
    <row r="3" spans="1:12" ht="18.75" customHeight="1">
      <c r="A3" s="147"/>
      <c r="B3" s="148"/>
      <c r="C3" s="149"/>
      <c r="D3" s="150"/>
      <c r="E3" s="150"/>
      <c r="F3" s="150"/>
      <c r="G3" s="151"/>
      <c r="H3" s="151"/>
      <c r="I3" s="151"/>
      <c r="J3" s="147"/>
      <c r="K3" s="147"/>
      <c r="L3" s="45"/>
    </row>
    <row r="4" spans="1:12" ht="14.25" customHeight="1">
      <c r="A4" s="901" t="s">
        <v>45</v>
      </c>
      <c r="B4" s="898" t="s">
        <v>33</v>
      </c>
      <c r="C4" s="899"/>
      <c r="D4" s="899"/>
      <c r="E4" s="899" t="s">
        <v>34</v>
      </c>
      <c r="F4" s="899"/>
      <c r="G4" s="900" t="str">
        <f>+'3. Tipo Generación'!G6:K6</f>
        <v>Generación Acumulada a junio</v>
      </c>
      <c r="H4" s="900"/>
      <c r="I4" s="900"/>
      <c r="J4" s="900"/>
      <c r="K4" s="900"/>
      <c r="L4" s="152"/>
    </row>
    <row r="5" spans="1:12" ht="26.25" customHeight="1">
      <c r="A5" s="901"/>
      <c r="B5" s="362">
        <f>+'3. Tipo Generación'!B7</f>
        <v>43194</v>
      </c>
      <c r="C5" s="362">
        <f>+'3. Tipo Generación'!C7</f>
        <v>43224</v>
      </c>
      <c r="D5" s="362">
        <f>+'3. Tipo Generación'!D7</f>
        <v>43252</v>
      </c>
      <c r="E5" s="362">
        <f>+'3. Tipo Generación'!E7</f>
        <v>42887</v>
      </c>
      <c r="F5" s="363" t="s">
        <v>35</v>
      </c>
      <c r="G5" s="364">
        <v>2018</v>
      </c>
      <c r="H5" s="364">
        <v>2017</v>
      </c>
      <c r="I5" s="363" t="s">
        <v>43</v>
      </c>
      <c r="J5" s="364">
        <v>2016</v>
      </c>
      <c r="K5" s="363" t="s">
        <v>36</v>
      </c>
      <c r="L5" s="26"/>
    </row>
    <row r="6" spans="1:12" ht="11.25" customHeight="1">
      <c r="A6" s="165" t="s">
        <v>46</v>
      </c>
      <c r="B6" s="532">
        <v>3012.519140195001</v>
      </c>
      <c r="C6" s="533">
        <v>2632.7882674499997</v>
      </c>
      <c r="D6" s="534">
        <v>2113.6878663950001</v>
      </c>
      <c r="E6" s="532">
        <v>2162.770216430361</v>
      </c>
      <c r="F6" s="371">
        <f>IF(E6=0,"",D6/E6-1)</f>
        <v>-2.2694204711386723E-2</v>
      </c>
      <c r="G6" s="532">
        <v>16327.994869525002</v>
      </c>
      <c r="H6" s="533">
        <v>15387.938461877231</v>
      </c>
      <c r="I6" s="371">
        <f t="shared" ref="I6:I16" si="0">IF(H6=0,"",G6/H6-1)</f>
        <v>6.109047095403386E-2</v>
      </c>
      <c r="J6" s="532">
        <v>12339.799134015351</v>
      </c>
      <c r="K6" s="371">
        <f>IF(J6=0,"",H6/J6-1)</f>
        <v>0.24701693234693844</v>
      </c>
      <c r="L6" s="31"/>
    </row>
    <row r="7" spans="1:12" ht="11.25" customHeight="1">
      <c r="A7" s="166" t="s">
        <v>52</v>
      </c>
      <c r="B7" s="535">
        <v>967.57862643499971</v>
      </c>
      <c r="C7" s="358">
        <v>1373.2012312300003</v>
      </c>
      <c r="D7" s="536">
        <v>1774.6731730525</v>
      </c>
      <c r="E7" s="535">
        <v>1505.9128586371969</v>
      </c>
      <c r="F7" s="372">
        <f t="shared" ref="F7:F19" si="1">IF(E7=0,"",D7/E7-1)</f>
        <v>0.17847003090107272</v>
      </c>
      <c r="G7" s="535">
        <v>7316.9316987624998</v>
      </c>
      <c r="H7" s="358">
        <v>7437.7464964669171</v>
      </c>
      <c r="I7" s="372">
        <f t="shared" si="0"/>
        <v>-1.6243468066813871E-2</v>
      </c>
      <c r="J7" s="535">
        <v>9440.4133365170055</v>
      </c>
      <c r="K7" s="372">
        <f t="shared" ref="K7:K19" si="2">IF(J7=0,"",H7/J7-1)</f>
        <v>-0.21213762243899403</v>
      </c>
      <c r="L7" s="34"/>
    </row>
    <row r="8" spans="1:12" ht="11.25" customHeight="1">
      <c r="A8" s="167" t="s">
        <v>53</v>
      </c>
      <c r="B8" s="537">
        <v>25.3122974875</v>
      </c>
      <c r="C8" s="359">
        <v>46.920593807499998</v>
      </c>
      <c r="D8" s="538">
        <v>32.5163646675</v>
      </c>
      <c r="E8" s="537">
        <v>47.201478984863002</v>
      </c>
      <c r="F8" s="779">
        <f t="shared" si="1"/>
        <v>-0.31111555470692687</v>
      </c>
      <c r="G8" s="537">
        <v>220.17485597750002</v>
      </c>
      <c r="H8" s="359">
        <v>178.84415006186688</v>
      </c>
      <c r="I8" s="779">
        <f t="shared" si="0"/>
        <v>0.23109900939636963</v>
      </c>
      <c r="J8" s="537">
        <v>283.89273185415146</v>
      </c>
      <c r="K8" s="779">
        <f t="shared" si="2"/>
        <v>-0.3700291342655887</v>
      </c>
      <c r="L8" s="29"/>
    </row>
    <row r="9" spans="1:12" ht="11.25" customHeight="1">
      <c r="A9" s="166" t="s">
        <v>54</v>
      </c>
      <c r="B9" s="535">
        <v>3.0498491149999998</v>
      </c>
      <c r="C9" s="358">
        <v>22.659243487500003</v>
      </c>
      <c r="D9" s="536">
        <v>21.7707488225</v>
      </c>
      <c r="E9" s="535">
        <v>0</v>
      </c>
      <c r="F9" s="372" t="str">
        <f t="shared" si="1"/>
        <v/>
      </c>
      <c r="G9" s="535">
        <v>113.07860665000001</v>
      </c>
      <c r="H9" s="358">
        <v>41.372165856152698</v>
      </c>
      <c r="I9" s="372">
        <f t="shared" si="0"/>
        <v>1.733204905036013</v>
      </c>
      <c r="J9" s="535">
        <v>274.08508507316304</v>
      </c>
      <c r="K9" s="372">
        <f t="shared" si="2"/>
        <v>-0.84905356727051018</v>
      </c>
      <c r="L9" s="29"/>
    </row>
    <row r="10" spans="1:12" ht="11.25" customHeight="1">
      <c r="A10" s="167" t="s">
        <v>55</v>
      </c>
      <c r="B10" s="537">
        <v>0</v>
      </c>
      <c r="C10" s="359">
        <v>0</v>
      </c>
      <c r="D10" s="538">
        <v>0</v>
      </c>
      <c r="E10" s="537">
        <v>0</v>
      </c>
      <c r="F10" s="779" t="str">
        <f t="shared" si="1"/>
        <v/>
      </c>
      <c r="G10" s="537">
        <v>0</v>
      </c>
      <c r="H10" s="359">
        <v>9.7034091828799998</v>
      </c>
      <c r="I10" s="779">
        <f t="shared" si="0"/>
        <v>-1</v>
      </c>
      <c r="J10" s="537">
        <v>62.966086501848004</v>
      </c>
      <c r="K10" s="779">
        <f t="shared" si="2"/>
        <v>-0.84589467565853549</v>
      </c>
      <c r="L10" s="29"/>
    </row>
    <row r="11" spans="1:12" ht="11.25" customHeight="1">
      <c r="A11" s="166" t="s">
        <v>26</v>
      </c>
      <c r="B11" s="535">
        <v>6.6665021175000003</v>
      </c>
      <c r="C11" s="358">
        <v>0</v>
      </c>
      <c r="D11" s="536">
        <v>0</v>
      </c>
      <c r="E11" s="535">
        <v>79.400688477227078</v>
      </c>
      <c r="F11" s="372">
        <f t="shared" si="1"/>
        <v>-1</v>
      </c>
      <c r="G11" s="535">
        <v>26.9015129625</v>
      </c>
      <c r="H11" s="358">
        <v>370.53524402526688</v>
      </c>
      <c r="I11" s="372">
        <f t="shared" si="0"/>
        <v>-0.92739823432109048</v>
      </c>
      <c r="J11" s="535">
        <v>316.45906031777383</v>
      </c>
      <c r="K11" s="372">
        <f t="shared" si="2"/>
        <v>0.17087892396947701</v>
      </c>
      <c r="L11" s="31"/>
    </row>
    <row r="12" spans="1:12" ht="11.25" customHeight="1">
      <c r="A12" s="167" t="s">
        <v>47</v>
      </c>
      <c r="B12" s="537">
        <v>0</v>
      </c>
      <c r="C12" s="359">
        <v>5.2307347499999997E-2</v>
      </c>
      <c r="D12" s="538">
        <v>0</v>
      </c>
      <c r="E12" s="537">
        <v>21.081215977521975</v>
      </c>
      <c r="F12" s="779">
        <f t="shared" si="1"/>
        <v>-1</v>
      </c>
      <c r="G12" s="537">
        <v>1.8026657475000003</v>
      </c>
      <c r="H12" s="359">
        <v>70.548883690095323</v>
      </c>
      <c r="I12" s="779">
        <f t="shared" si="0"/>
        <v>-0.9744479904824761</v>
      </c>
      <c r="J12" s="537">
        <v>107.63510308527717</v>
      </c>
      <c r="K12" s="779">
        <f t="shared" si="2"/>
        <v>-0.34455505993987079</v>
      </c>
      <c r="L12" s="34"/>
    </row>
    <row r="13" spans="1:12" ht="11.25" customHeight="1">
      <c r="A13" s="166" t="s">
        <v>48</v>
      </c>
      <c r="B13" s="535">
        <v>1.0751157500000002E-2</v>
      </c>
      <c r="C13" s="358">
        <v>1.81752575E-2</v>
      </c>
      <c r="D13" s="536">
        <v>0</v>
      </c>
      <c r="E13" s="535">
        <v>0</v>
      </c>
      <c r="F13" s="372" t="str">
        <f>IF(E13=0,"",D13/E13-1)</f>
        <v/>
      </c>
      <c r="G13" s="535">
        <v>1.4230004125</v>
      </c>
      <c r="H13" s="358">
        <v>0.24963529262500003</v>
      </c>
      <c r="I13" s="372">
        <f t="shared" si="0"/>
        <v>4.7003174412426487</v>
      </c>
      <c r="J13" s="535">
        <v>2.6969792652423696</v>
      </c>
      <c r="K13" s="372">
        <f t="shared" si="2"/>
        <v>-0.90743892775068624</v>
      </c>
      <c r="L13" s="29"/>
    </row>
    <row r="14" spans="1:12" ht="11.25" customHeight="1">
      <c r="A14" s="167" t="s">
        <v>49</v>
      </c>
      <c r="B14" s="537">
        <v>8.2326439750000002</v>
      </c>
      <c r="C14" s="359">
        <v>0.39897143499999993</v>
      </c>
      <c r="D14" s="538">
        <v>7.0902351625000009</v>
      </c>
      <c r="E14" s="537">
        <v>71.301423302439375</v>
      </c>
      <c r="F14" s="779">
        <f t="shared" si="1"/>
        <v>-0.90055969664973812</v>
      </c>
      <c r="G14" s="537">
        <v>58.4930734625</v>
      </c>
      <c r="H14" s="359">
        <v>294.33183354479905</v>
      </c>
      <c r="I14" s="779">
        <f t="shared" si="0"/>
        <v>-0.80126827343805807</v>
      </c>
      <c r="J14" s="537">
        <v>345.52542474918477</v>
      </c>
      <c r="K14" s="779">
        <f t="shared" si="2"/>
        <v>-0.14816157520549145</v>
      </c>
      <c r="L14" s="29"/>
    </row>
    <row r="15" spans="1:12" ht="11.25" customHeight="1">
      <c r="A15" s="166" t="s">
        <v>50</v>
      </c>
      <c r="B15" s="535">
        <v>7.4688760849999998</v>
      </c>
      <c r="C15" s="358">
        <v>7.3377402875</v>
      </c>
      <c r="D15" s="536">
        <v>7.0497050225000004</v>
      </c>
      <c r="E15" s="535">
        <v>8.2079672679138742</v>
      </c>
      <c r="F15" s="372">
        <f t="shared" si="1"/>
        <v>-0.14111438406214016</v>
      </c>
      <c r="G15" s="535">
        <v>42.383671962499996</v>
      </c>
      <c r="H15" s="358">
        <v>39.466510054807202</v>
      </c>
      <c r="I15" s="372">
        <f>IF(H15=0,"",G15/H15-1)</f>
        <v>7.3914868673255585E-2</v>
      </c>
      <c r="J15" s="535">
        <v>47.104414359037399</v>
      </c>
      <c r="K15" s="372">
        <f t="shared" si="2"/>
        <v>-0.16214837628619827</v>
      </c>
      <c r="L15" s="29"/>
    </row>
    <row r="16" spans="1:12" ht="11.25" customHeight="1">
      <c r="A16" s="167" t="s">
        <v>51</v>
      </c>
      <c r="B16" s="537">
        <v>3.8766369750000003</v>
      </c>
      <c r="C16" s="359">
        <v>3.3924106000000003</v>
      </c>
      <c r="D16" s="538">
        <v>2.8349443750000001</v>
      </c>
      <c r="E16" s="537">
        <v>2.7806915749999996</v>
      </c>
      <c r="F16" s="779">
        <f t="shared" si="1"/>
        <v>1.9510542085200644E-2</v>
      </c>
      <c r="G16" s="537">
        <v>22.89393523</v>
      </c>
      <c r="H16" s="359">
        <v>19.488935530696626</v>
      </c>
      <c r="I16" s="779">
        <f t="shared" si="0"/>
        <v>0.17471450372136688</v>
      </c>
      <c r="J16" s="537">
        <v>25.022540654100002</v>
      </c>
      <c r="K16" s="779">
        <f t="shared" si="2"/>
        <v>-0.22114481498491168</v>
      </c>
      <c r="L16" s="29"/>
    </row>
    <row r="17" spans="1:12" ht="11.25" customHeight="1">
      <c r="A17" s="166" t="s">
        <v>30</v>
      </c>
      <c r="B17" s="535">
        <v>58.171585880000009</v>
      </c>
      <c r="C17" s="358">
        <v>57.9052203225</v>
      </c>
      <c r="D17" s="536">
        <v>46.704256437500007</v>
      </c>
      <c r="E17" s="535">
        <v>15.855395925284</v>
      </c>
      <c r="F17" s="372">
        <f t="shared" si="1"/>
        <v>1.9456379807597548</v>
      </c>
      <c r="G17" s="535">
        <v>330.79512248999998</v>
      </c>
      <c r="H17" s="358">
        <v>105.26838385322201</v>
      </c>
      <c r="I17" s="372">
        <f>IF(H17=0,"",G17/H17-1)</f>
        <v>2.1423976542779912</v>
      </c>
      <c r="J17" s="535">
        <v>115.22454152099991</v>
      </c>
      <c r="K17" s="372">
        <f t="shared" si="2"/>
        <v>-8.6406572214161259E-2</v>
      </c>
      <c r="L17" s="29"/>
    </row>
    <row r="18" spans="1:12" ht="11.25" customHeight="1">
      <c r="A18" s="167" t="s">
        <v>29</v>
      </c>
      <c r="B18" s="537">
        <v>115.011208025</v>
      </c>
      <c r="C18" s="359">
        <v>143.30216725</v>
      </c>
      <c r="D18" s="538">
        <v>128.59335152</v>
      </c>
      <c r="E18" s="537">
        <v>84.876053974485671</v>
      </c>
      <c r="F18" s="779">
        <f t="shared" si="1"/>
        <v>0.51507222000042607</v>
      </c>
      <c r="G18" s="537">
        <v>658.58462278000013</v>
      </c>
      <c r="H18" s="359">
        <v>459.83840211906772</v>
      </c>
      <c r="I18" s="779">
        <f>IF(H18=0,"",G18/H18-1)</f>
        <v>0.43220883628912388</v>
      </c>
      <c r="J18" s="537">
        <v>460.87854803203777</v>
      </c>
      <c r="K18" s="779">
        <f t="shared" si="2"/>
        <v>-2.2568763883923371E-3</v>
      </c>
      <c r="L18" s="29"/>
    </row>
    <row r="19" spans="1:12" ht="11.25" customHeight="1">
      <c r="A19" s="173" t="s">
        <v>44</v>
      </c>
      <c r="B19" s="539">
        <f>SUM(B6:B18)</f>
        <v>4207.8981174475002</v>
      </c>
      <c r="C19" s="540">
        <f>SUM(C6:C18)</f>
        <v>4287.9763284749997</v>
      </c>
      <c r="D19" s="541">
        <f>SUM(D6:D18)</f>
        <v>4134.9206454550003</v>
      </c>
      <c r="E19" s="539">
        <f>SUM(E6:E18)</f>
        <v>3999.3879905522931</v>
      </c>
      <c r="F19" s="780">
        <f t="shared" si="1"/>
        <v>3.3888348723073225E-2</v>
      </c>
      <c r="G19" s="539">
        <f>SUM(G6:G18)</f>
        <v>25121.457635962499</v>
      </c>
      <c r="H19" s="540">
        <f>SUM(H6:H18)</f>
        <v>24415.332511555625</v>
      </c>
      <c r="I19" s="780">
        <f>IF(H19=0,"",G19/H19-1)</f>
        <v>2.8921380614933989E-2</v>
      </c>
      <c r="J19" s="539">
        <f>SUM(J6:J18)</f>
        <v>23821.702985945169</v>
      </c>
      <c r="K19" s="780">
        <f t="shared" si="2"/>
        <v>2.4919693019457956E-2</v>
      </c>
      <c r="L19" s="39"/>
    </row>
    <row r="20" spans="1:12" ht="11.25" customHeight="1">
      <c r="A20" s="29"/>
      <c r="B20" s="29"/>
      <c r="C20" s="29"/>
      <c r="D20" s="29"/>
      <c r="E20" s="29"/>
      <c r="F20" s="29"/>
      <c r="G20" s="29"/>
      <c r="H20" s="29"/>
      <c r="I20" s="29"/>
      <c r="J20" s="29"/>
      <c r="K20" s="29"/>
      <c r="L20" s="29"/>
    </row>
    <row r="21" spans="1:12" ht="11.25" customHeight="1">
      <c r="A21" s="169" t="s">
        <v>40</v>
      </c>
      <c r="B21" s="344">
        <v>0</v>
      </c>
      <c r="C21" s="345">
        <v>0</v>
      </c>
      <c r="D21" s="629">
        <v>1.7041230000000001</v>
      </c>
      <c r="E21" s="344">
        <v>0</v>
      </c>
      <c r="F21" s="141" t="str">
        <f>IF(E21=0,"",D21/E21-1)</f>
        <v/>
      </c>
      <c r="G21" s="344">
        <v>3.8248099999999994</v>
      </c>
      <c r="H21" s="628">
        <v>12.953248</v>
      </c>
      <c r="I21" s="144">
        <f>IF(H21=0,"",G21/H21-1)</f>
        <v>-0.70472193537867889</v>
      </c>
      <c r="J21" s="344">
        <v>12.827913700000002</v>
      </c>
      <c r="K21" s="141">
        <f>IF(J21=0,"",H21/J21-1)</f>
        <v>9.7704352345306944E-3</v>
      </c>
      <c r="L21" s="29"/>
    </row>
    <row r="22" spans="1:12" ht="11.25" customHeight="1">
      <c r="A22" s="170" t="s">
        <v>41</v>
      </c>
      <c r="B22" s="341">
        <v>0</v>
      </c>
      <c r="C22" s="342">
        <v>0</v>
      </c>
      <c r="D22" s="343">
        <v>0</v>
      </c>
      <c r="E22" s="341">
        <v>0</v>
      </c>
      <c r="F22" s="142" t="str">
        <f>IF(E22=0,"",D22/E22-1)</f>
        <v/>
      </c>
      <c r="G22" s="341">
        <v>0</v>
      </c>
      <c r="H22" s="342">
        <v>0</v>
      </c>
      <c r="I22" s="136" t="str">
        <f>IF(H22=0,"",G22/H22-1)</f>
        <v/>
      </c>
      <c r="J22" s="341">
        <v>37.352100999999998</v>
      </c>
      <c r="K22" s="142">
        <f>IF(J22=0,"",H22/J22-1)</f>
        <v>-1</v>
      </c>
      <c r="L22" s="29"/>
    </row>
    <row r="23" spans="1:12" ht="23.25" customHeight="1">
      <c r="A23" s="171" t="s">
        <v>42</v>
      </c>
      <c r="B23" s="354">
        <f>+B22-B21</f>
        <v>0</v>
      </c>
      <c r="C23" s="355">
        <f>+C22-C21</f>
        <v>0</v>
      </c>
      <c r="D23" s="784">
        <f>+D22-D21</f>
        <v>-1.7041230000000001</v>
      </c>
      <c r="E23" s="354">
        <f>+E22-E21</f>
        <v>0</v>
      </c>
      <c r="F23" s="143"/>
      <c r="G23" s="354">
        <f>+G22-G21</f>
        <v>-3.8248099999999994</v>
      </c>
      <c r="H23" s="355">
        <f>+H22-H21</f>
        <v>-12.953248</v>
      </c>
      <c r="I23" s="145"/>
      <c r="J23" s="354">
        <f>+J22-J21</f>
        <v>24.524187299999994</v>
      </c>
      <c r="K23" s="143"/>
      <c r="L23" s="39"/>
    </row>
    <row r="24" spans="1:12" ht="11.25" customHeight="1">
      <c r="A24" s="339" t="s">
        <v>255</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39" t="str">
        <f>"Gráfico N° 5: Comparación de la producción de energía eléctrica (GWh) por tipo de recurso energético acumulada a "&amp;'1. Resumen'!Q4</f>
        <v>Gráfico N° 5: Comparación de la producción de energía eléctrica (GWh) por tipo de recurso energético acumulada a junio</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Junio 2018
INFSGI-MES-06-2018
10/07/2018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topLeftCell="A14" zoomScaleNormal="100" zoomScaleSheetLayoutView="100" zoomScalePageLayoutView="160" workbookViewId="0">
      <selection activeCell="R31" sqref="R31"/>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03" t="s">
        <v>263</v>
      </c>
      <c r="B2" s="903"/>
      <c r="C2" s="903"/>
      <c r="D2" s="903"/>
      <c r="E2" s="903"/>
      <c r="F2" s="903"/>
      <c r="G2" s="903"/>
      <c r="H2" s="903"/>
      <c r="I2" s="903"/>
      <c r="J2" s="903"/>
      <c r="K2" s="903"/>
      <c r="L2" s="45"/>
    </row>
    <row r="3" spans="1:12" ht="11.25" customHeight="1">
      <c r="A3" s="92"/>
      <c r="B3" s="91"/>
      <c r="C3" s="91"/>
      <c r="D3" s="91"/>
      <c r="E3" s="91"/>
      <c r="F3" s="91"/>
      <c r="G3" s="91"/>
      <c r="H3" s="91"/>
      <c r="I3" s="91"/>
      <c r="J3" s="91"/>
      <c r="K3" s="91"/>
      <c r="L3" s="45"/>
    </row>
    <row r="4" spans="1:12" ht="15.75" customHeight="1">
      <c r="A4" s="901" t="s">
        <v>259</v>
      </c>
      <c r="B4" s="898" t="s">
        <v>33</v>
      </c>
      <c r="C4" s="899"/>
      <c r="D4" s="899"/>
      <c r="E4" s="899" t="s">
        <v>34</v>
      </c>
      <c r="F4" s="899"/>
      <c r="G4" s="900" t="str">
        <f>+'4. Tipo Recurso'!G4:K4</f>
        <v>Generación Acumulada a junio</v>
      </c>
      <c r="H4" s="900"/>
      <c r="I4" s="900"/>
      <c r="J4" s="900"/>
      <c r="K4" s="900"/>
      <c r="L4" s="29"/>
    </row>
    <row r="5" spans="1:12" ht="29.25" customHeight="1">
      <c r="A5" s="901"/>
      <c r="B5" s="362">
        <f>+'4. Tipo Recurso'!B5</f>
        <v>43194</v>
      </c>
      <c r="C5" s="362">
        <f>+'4. Tipo Recurso'!C5</f>
        <v>43224</v>
      </c>
      <c r="D5" s="362">
        <f>+'4. Tipo Recurso'!D5</f>
        <v>43252</v>
      </c>
      <c r="E5" s="362">
        <f>+'4. Tipo Recurso'!E5</f>
        <v>42887</v>
      </c>
      <c r="F5" s="362" t="s">
        <v>35</v>
      </c>
      <c r="G5" s="364">
        <v>2018</v>
      </c>
      <c r="H5" s="364">
        <v>2017</v>
      </c>
      <c r="I5" s="363" t="s">
        <v>43</v>
      </c>
      <c r="J5" s="364">
        <v>2016</v>
      </c>
      <c r="K5" s="363" t="s">
        <v>36</v>
      </c>
      <c r="L5" s="31"/>
    </row>
    <row r="6" spans="1:12" ht="11.25" customHeight="1">
      <c r="A6" s="165" t="s">
        <v>46</v>
      </c>
      <c r="B6" s="532">
        <v>127.83187760000001</v>
      </c>
      <c r="C6" s="533">
        <v>110.02161063750002</v>
      </c>
      <c r="D6" s="534">
        <v>90.464329837500003</v>
      </c>
      <c r="E6" s="532">
        <v>76.454803442908101</v>
      </c>
      <c r="F6" s="371">
        <f t="shared" ref="F6:F11" si="0">IF(E6=0,"",D6/E6-1)</f>
        <v>0.18323932262873943</v>
      </c>
      <c r="G6" s="532">
        <v>673.49372829250012</v>
      </c>
      <c r="H6" s="533">
        <v>613.23662608277527</v>
      </c>
      <c r="I6" s="375">
        <f t="shared" ref="I6:I11" si="1">IF(H6=0,"",G6/H6-1)</f>
        <v>9.8260768595369807E-2</v>
      </c>
      <c r="J6" s="532">
        <v>489.35004228032091</v>
      </c>
      <c r="K6" s="371">
        <f t="shared" ref="K6:K11" si="2">IF(J6=0,"",H6/J6-1)</f>
        <v>0.25316557289983188</v>
      </c>
      <c r="L6" s="365"/>
    </row>
    <row r="7" spans="1:12" ht="11.25" customHeight="1">
      <c r="A7" s="166" t="s">
        <v>39</v>
      </c>
      <c r="B7" s="535">
        <v>115.011208025</v>
      </c>
      <c r="C7" s="358">
        <v>143.30216725</v>
      </c>
      <c r="D7" s="536">
        <v>128.59335152</v>
      </c>
      <c r="E7" s="535">
        <v>84.876053974485671</v>
      </c>
      <c r="F7" s="372">
        <f t="shared" si="0"/>
        <v>0.51507222000042607</v>
      </c>
      <c r="G7" s="535">
        <v>658.58462278000013</v>
      </c>
      <c r="H7" s="358">
        <v>459.83840211906772</v>
      </c>
      <c r="I7" s="351">
        <f t="shared" si="1"/>
        <v>0.43220883628912388</v>
      </c>
      <c r="J7" s="535">
        <v>460.87854803203777</v>
      </c>
      <c r="K7" s="372">
        <f t="shared" si="2"/>
        <v>-2.2568763883923371E-3</v>
      </c>
      <c r="L7" s="365"/>
    </row>
    <row r="8" spans="1:12" ht="11.25" customHeight="1">
      <c r="A8" s="369" t="s">
        <v>30</v>
      </c>
      <c r="B8" s="815">
        <v>58.171585880000009</v>
      </c>
      <c r="C8" s="543">
        <v>57.9052203225</v>
      </c>
      <c r="D8" s="816">
        <v>46.704256437500007</v>
      </c>
      <c r="E8" s="815">
        <v>15.855395925284</v>
      </c>
      <c r="F8" s="373">
        <f t="shared" si="0"/>
        <v>1.9456379807597548</v>
      </c>
      <c r="G8" s="815">
        <v>330.79512248999998</v>
      </c>
      <c r="H8" s="543">
        <v>105.26838385322201</v>
      </c>
      <c r="I8" s="368">
        <f t="shared" si="1"/>
        <v>2.1423976542779912</v>
      </c>
      <c r="J8" s="815">
        <v>115.22454152099991</v>
      </c>
      <c r="K8" s="373">
        <f t="shared" si="2"/>
        <v>-8.6406572214161259E-2</v>
      </c>
      <c r="L8" s="365"/>
    </row>
    <row r="9" spans="1:12" ht="11.25" customHeight="1">
      <c r="A9" s="166" t="s">
        <v>50</v>
      </c>
      <c r="B9" s="535">
        <v>7.4688760849999998</v>
      </c>
      <c r="C9" s="358">
        <v>7.3377402875</v>
      </c>
      <c r="D9" s="536">
        <v>7.0497050225000004</v>
      </c>
      <c r="E9" s="535">
        <v>8.2079672679138742</v>
      </c>
      <c r="F9" s="372">
        <f t="shared" si="0"/>
        <v>-0.14111438406214016</v>
      </c>
      <c r="G9" s="535">
        <v>42.383671962499996</v>
      </c>
      <c r="H9" s="358">
        <v>39.466510054807202</v>
      </c>
      <c r="I9" s="351">
        <f t="shared" si="1"/>
        <v>7.3914868673255585E-2</v>
      </c>
      <c r="J9" s="535">
        <v>47.104414359037399</v>
      </c>
      <c r="K9" s="372">
        <f t="shared" si="2"/>
        <v>-0.16214837628619827</v>
      </c>
      <c r="L9" s="44"/>
    </row>
    <row r="10" spans="1:12" ht="11.25" customHeight="1">
      <c r="A10" s="370" t="s">
        <v>51</v>
      </c>
      <c r="B10" s="817">
        <v>3.8766369750000003</v>
      </c>
      <c r="C10" s="818">
        <v>3.3924106000000003</v>
      </c>
      <c r="D10" s="819">
        <v>2.8349443750000001</v>
      </c>
      <c r="E10" s="817">
        <v>2.7806915749999996</v>
      </c>
      <c r="F10" s="374">
        <f t="shared" si="0"/>
        <v>1.9510542085200644E-2</v>
      </c>
      <c r="G10" s="817">
        <v>22.89393523</v>
      </c>
      <c r="H10" s="818">
        <v>19.488935530696626</v>
      </c>
      <c r="I10" s="376">
        <f t="shared" si="1"/>
        <v>0.17471450372136688</v>
      </c>
      <c r="J10" s="817">
        <v>25.022540654100002</v>
      </c>
      <c r="K10" s="374">
        <f t="shared" si="2"/>
        <v>-0.22114481498491168</v>
      </c>
      <c r="L10" s="366"/>
    </row>
    <row r="11" spans="1:12" ht="11.25" customHeight="1">
      <c r="A11" s="377" t="s">
        <v>256</v>
      </c>
      <c r="B11" s="641">
        <f>+SUM(B6:B10)</f>
        <v>312.360184565</v>
      </c>
      <c r="C11" s="642">
        <f>+SUM(C6:C10)</f>
        <v>321.95914909750002</v>
      </c>
      <c r="D11" s="643">
        <f>+SUM(D6:D10)</f>
        <v>275.64658719250002</v>
      </c>
      <c r="E11" s="644">
        <f>+SUM(E6:E10)</f>
        <v>188.17491218559164</v>
      </c>
      <c r="F11" s="378">
        <f t="shared" si="0"/>
        <v>0.46484238515619736</v>
      </c>
      <c r="G11" s="813">
        <f>+SUM(G6:G10)</f>
        <v>1728.1510807550003</v>
      </c>
      <c r="H11" s="814">
        <f>+SUM(H6:H10)</f>
        <v>1237.2988576405689</v>
      </c>
      <c r="I11" s="379">
        <f t="shared" si="1"/>
        <v>0.39671274250624267</v>
      </c>
      <c r="J11" s="813">
        <f>+SUM(J6:J10)</f>
        <v>1137.5800868464962</v>
      </c>
      <c r="K11" s="378">
        <f t="shared" si="2"/>
        <v>8.7658681746535017E-2</v>
      </c>
      <c r="L11" s="29"/>
    </row>
    <row r="12" spans="1:12" ht="24.75" customHeight="1">
      <c r="A12" s="380" t="s">
        <v>257</v>
      </c>
      <c r="B12" s="381">
        <f>B11/'4. Tipo Recurso'!B19</f>
        <v>7.4231879158347322E-2</v>
      </c>
      <c r="C12" s="379">
        <f>C11/'4. Tipo Recurso'!C19</f>
        <v>7.5084171281328743E-2</v>
      </c>
      <c r="D12" s="378">
        <f>D11/'4. Tipo Recurso'!D19</f>
        <v>6.6663090014915702E-2</v>
      </c>
      <c r="E12" s="381">
        <f>E11/'4. Tipo Recurso'!E19</f>
        <v>4.7050926949352E-2</v>
      </c>
      <c r="F12" s="382"/>
      <c r="G12" s="381">
        <f>G11/'4. Tipo Recurso'!G19</f>
        <v>6.8791831501093872E-2</v>
      </c>
      <c r="H12" s="379">
        <f>H11/'4. Tipo Recurso'!H19</f>
        <v>5.0677125001470411E-2</v>
      </c>
      <c r="I12" s="379"/>
      <c r="J12" s="381">
        <f>J11/'4. Tipo Recurso'!J19</f>
        <v>4.7753936295724525E-2</v>
      </c>
      <c r="K12" s="382"/>
      <c r="L12" s="29"/>
    </row>
    <row r="13" spans="1:12" ht="11.25" customHeight="1">
      <c r="A13" s="383" t="s">
        <v>258</v>
      </c>
      <c r="B13" s="155"/>
      <c r="C13" s="155"/>
      <c r="D13" s="155"/>
      <c r="E13" s="155"/>
      <c r="F13" s="155"/>
      <c r="G13" s="155"/>
      <c r="H13" s="155"/>
      <c r="I13" s="155"/>
      <c r="J13" s="155"/>
      <c r="K13" s="156"/>
      <c r="L13" s="29"/>
    </row>
    <row r="14" spans="1:12" ht="23.25" customHeight="1">
      <c r="A14" s="904" t="s">
        <v>56</v>
      </c>
      <c r="B14" s="904"/>
      <c r="C14" s="904"/>
      <c r="D14" s="904"/>
      <c r="E14" s="904"/>
      <c r="F14" s="904"/>
      <c r="G14" s="904"/>
      <c r="H14" s="904"/>
      <c r="I14" s="904"/>
      <c r="J14" s="904"/>
      <c r="K14" s="904"/>
      <c r="L14" s="29"/>
    </row>
    <row r="15" spans="1:12" ht="11.25" customHeight="1">
      <c r="L15" s="29"/>
    </row>
    <row r="16" spans="1:12" ht="11.25" customHeight="1">
      <c r="A16" s="157"/>
      <c r="B16" s="174"/>
      <c r="C16" s="174"/>
      <c r="D16" s="174"/>
      <c r="E16" s="174"/>
      <c r="F16" s="174"/>
      <c r="G16" s="174"/>
      <c r="H16" s="174"/>
      <c r="I16" s="174"/>
      <c r="J16" s="174"/>
      <c r="K16" s="174"/>
      <c r="L16" s="29"/>
    </row>
    <row r="17" spans="1:12" ht="11.25" customHeight="1">
      <c r="A17" s="174"/>
      <c r="B17" s="174"/>
      <c r="C17" s="174"/>
      <c r="D17" s="174"/>
      <c r="E17" s="174"/>
      <c r="F17" s="174"/>
      <c r="G17" s="174"/>
      <c r="H17" s="174"/>
      <c r="I17" s="174"/>
      <c r="J17" s="174"/>
      <c r="K17" s="174"/>
      <c r="L17" s="29"/>
    </row>
    <row r="18" spans="1:12" ht="11.25" customHeight="1">
      <c r="A18" s="174"/>
      <c r="B18" s="174"/>
      <c r="C18" s="174"/>
      <c r="D18" s="174"/>
      <c r="E18" s="174"/>
      <c r="F18" s="174"/>
      <c r="G18" s="174"/>
      <c r="H18" s="174"/>
      <c r="I18" s="174"/>
      <c r="J18" s="174"/>
      <c r="K18" s="174"/>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02" t="str">
        <f>"Gráfico N° 6: Comparación de la producción de energía eléctrica acumulada (GWh) con recursos energéticos renovables en "&amp;'1. Resumen'!Q4</f>
        <v>Gráfico N° 6: Comparación de la producción de energía eléctrica acumulada (GWh) con recursos energéticos renovables en junio</v>
      </c>
      <c r="B34" s="902"/>
      <c r="C34" s="902"/>
      <c r="D34" s="902"/>
      <c r="E34" s="902"/>
      <c r="F34" s="902"/>
      <c r="G34" s="902"/>
      <c r="H34" s="902"/>
      <c r="I34" s="902"/>
      <c r="J34" s="902"/>
      <c r="K34" s="902"/>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84" t="s">
        <v>261</v>
      </c>
      <c r="D39" s="201"/>
      <c r="E39" s="201"/>
      <c r="F39" s="812">
        <f>+'4. Tipo Recurso'!D19</f>
        <v>4134.9206454550003</v>
      </c>
      <c r="G39" s="384" t="s">
        <v>260</v>
      </c>
      <c r="H39" s="159"/>
      <c r="I39" s="159"/>
      <c r="J39" s="159"/>
      <c r="K39" s="159"/>
      <c r="L39" s="29"/>
      <c r="M39" s="385">
        <f>+F39-F40</f>
        <v>3859.2706454550002</v>
      </c>
      <c r="P39" s="645"/>
    </row>
    <row r="40" spans="1:16" ht="11.25" customHeight="1">
      <c r="A40" s="157"/>
      <c r="B40" s="159"/>
      <c r="C40" s="384" t="s">
        <v>262</v>
      </c>
      <c r="D40" s="201"/>
      <c r="E40" s="201"/>
      <c r="F40" s="812">
        <f>ROUND(D11,2)</f>
        <v>275.64999999999998</v>
      </c>
      <c r="G40" s="384" t="s">
        <v>260</v>
      </c>
      <c r="H40" s="159"/>
      <c r="I40" s="159"/>
      <c r="J40" s="159"/>
      <c r="K40" s="159"/>
      <c r="L40" s="29"/>
      <c r="M40" s="645"/>
      <c r="P40" s="645"/>
    </row>
    <row r="41" spans="1:16" ht="11.25" customHeight="1">
      <c r="A41" s="157"/>
      <c r="B41" s="159"/>
      <c r="C41" s="159"/>
      <c r="D41" s="159"/>
      <c r="E41" s="159"/>
      <c r="F41" s="159"/>
      <c r="G41" s="159"/>
      <c r="H41" s="159"/>
      <c r="I41" s="159"/>
      <c r="J41" s="159"/>
      <c r="K41" s="159"/>
      <c r="L41" s="29"/>
      <c r="P41" s="645"/>
    </row>
    <row r="42" spans="1:16" ht="11.25" customHeight="1">
      <c r="A42" s="157"/>
      <c r="B42" s="159"/>
      <c r="C42" s="159"/>
      <c r="D42" s="159"/>
      <c r="E42" s="159"/>
      <c r="F42" s="159"/>
      <c r="G42" s="159"/>
      <c r="H42" s="159"/>
      <c r="I42" s="159"/>
      <c r="J42" s="159"/>
      <c r="K42" s="159"/>
      <c r="L42" s="29"/>
      <c r="P42" s="645"/>
    </row>
    <row r="43" spans="1:16" ht="11.25" customHeight="1">
      <c r="A43" s="157"/>
      <c r="B43" s="159"/>
      <c r="C43" s="159"/>
      <c r="D43" s="159"/>
      <c r="E43" s="159"/>
      <c r="F43" s="159"/>
      <c r="G43" s="159"/>
      <c r="H43" s="159"/>
      <c r="I43" s="159"/>
      <c r="J43" s="159"/>
      <c r="K43" s="159"/>
      <c r="L43" s="29"/>
      <c r="P43" s="645"/>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39" t="str">
        <f>"Gráfico N° 7: Participación de las RER en la Matriz de Generación del SEIN en "&amp;'1. Resumen'!Q4&amp;" "&amp;'1. Resumen'!Q5</f>
        <v>Gráfico N° 7: Participación de las RER en la Matriz de Generación del SEIN en junio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Junio 2018
INFSGI-MES-06-2018
10/07/2018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60" zoomScaleNormal="100" zoomScaleSheetLayoutView="160" zoomScalePageLayoutView="160" workbookViewId="0">
      <selection activeCell="R31" sqref="R31"/>
    </sheetView>
  </sheetViews>
  <sheetFormatPr defaultRowHeight="11.25"/>
  <cols>
    <col min="1" max="11" width="10.33203125" style="3" customWidth="1"/>
    <col min="12" max="12" width="21.1640625" style="826" bestFit="1" customWidth="1"/>
    <col min="13" max="14" width="9.33203125" style="826"/>
    <col min="15" max="15" width="11.83203125" style="826" customWidth="1"/>
    <col min="16" max="17" width="9.33203125" style="826"/>
    <col min="18" max="19" width="9.33203125" style="827"/>
    <col min="20" max="20" width="15" style="827" customWidth="1"/>
    <col min="21" max="22" width="9.33203125" style="827"/>
    <col min="23" max="16384" width="9.33203125" style="3"/>
  </cols>
  <sheetData>
    <row r="2" spans="1:22" ht="11.25" customHeight="1">
      <c r="A2" s="905" t="s">
        <v>268</v>
      </c>
      <c r="B2" s="905"/>
      <c r="C2" s="905"/>
      <c r="D2" s="905"/>
      <c r="E2" s="905"/>
      <c r="F2" s="905"/>
      <c r="G2" s="905"/>
      <c r="H2" s="905"/>
      <c r="I2" s="905"/>
      <c r="J2" s="905"/>
      <c r="K2" s="905"/>
    </row>
    <row r="3" spans="1:22" ht="11.25" customHeight="1"/>
    <row r="4" spans="1:22" ht="11.25" customHeight="1">
      <c r="L4" s="828" t="s">
        <v>57</v>
      </c>
      <c r="M4" s="829" t="s">
        <v>31</v>
      </c>
      <c r="N4" s="828" t="s">
        <v>58</v>
      </c>
      <c r="O4" s="830">
        <v>43221</v>
      </c>
      <c r="P4" s="831"/>
      <c r="Q4" s="831"/>
    </row>
    <row r="5" spans="1:22" ht="11.25" customHeight="1">
      <c r="A5" s="176"/>
      <c r="B5" s="159"/>
      <c r="C5" s="159"/>
      <c r="D5" s="159"/>
      <c r="E5" s="159"/>
      <c r="F5" s="159"/>
      <c r="G5" s="159"/>
      <c r="H5" s="159"/>
      <c r="I5" s="159"/>
      <c r="J5" s="159"/>
      <c r="K5" s="159"/>
      <c r="L5" s="828"/>
      <c r="M5" s="829"/>
      <c r="N5" s="828"/>
      <c r="O5" s="828" t="s">
        <v>59</v>
      </c>
      <c r="P5" s="828" t="s">
        <v>60</v>
      </c>
      <c r="Q5" s="828"/>
      <c r="U5" s="827">
        <v>2018</v>
      </c>
      <c r="V5" s="827">
        <v>2017</v>
      </c>
    </row>
    <row r="6" spans="1:22" ht="11.25" customHeight="1">
      <c r="A6" s="132"/>
      <c r="B6" s="159"/>
      <c r="C6" s="159"/>
      <c r="D6" s="159"/>
      <c r="E6" s="159"/>
      <c r="F6" s="159"/>
      <c r="G6" s="159"/>
      <c r="H6" s="159"/>
      <c r="I6" s="159"/>
      <c r="J6" s="159"/>
      <c r="K6" s="159"/>
      <c r="L6" s="832" t="s">
        <v>537</v>
      </c>
      <c r="M6" s="833" t="s">
        <v>62</v>
      </c>
      <c r="N6" s="834">
        <v>20</v>
      </c>
      <c r="O6" s="833">
        <v>13.33211028</v>
      </c>
      <c r="P6" s="833">
        <v>0.92584099166666667</v>
      </c>
      <c r="Q6" s="833"/>
      <c r="S6" s="827" t="s">
        <v>62</v>
      </c>
      <c r="T6" s="827" t="s">
        <v>63</v>
      </c>
      <c r="U6" s="835">
        <v>1</v>
      </c>
      <c r="V6" s="835"/>
    </row>
    <row r="7" spans="1:22" ht="11.25" customHeight="1">
      <c r="A7" s="157"/>
      <c r="B7" s="159"/>
      <c r="C7" s="159"/>
      <c r="D7" s="159"/>
      <c r="E7" s="159"/>
      <c r="F7" s="159"/>
      <c r="G7" s="159"/>
      <c r="H7" s="159"/>
      <c r="I7" s="159"/>
      <c r="J7" s="159"/>
      <c r="K7" s="159"/>
      <c r="L7" s="832" t="s">
        <v>63</v>
      </c>
      <c r="M7" s="833" t="s">
        <v>62</v>
      </c>
      <c r="N7" s="834">
        <v>15</v>
      </c>
      <c r="O7" s="833">
        <v>12.470861017500001</v>
      </c>
      <c r="P7" s="833">
        <v>1</v>
      </c>
      <c r="Q7" s="833"/>
      <c r="T7" s="827" t="s">
        <v>76</v>
      </c>
      <c r="U7" s="835">
        <v>0.95700772038589355</v>
      </c>
      <c r="V7" s="835">
        <v>0.82645381799999995</v>
      </c>
    </row>
    <row r="8" spans="1:22" ht="11.25" customHeight="1">
      <c r="A8" s="157"/>
      <c r="B8" s="159"/>
      <c r="C8" s="159"/>
      <c r="D8" s="159"/>
      <c r="E8" s="159"/>
      <c r="F8" s="159"/>
      <c r="G8" s="159"/>
      <c r="H8" s="159"/>
      <c r="I8" s="159"/>
      <c r="J8" s="159"/>
      <c r="K8" s="159"/>
      <c r="L8" s="832" t="s">
        <v>65</v>
      </c>
      <c r="M8" s="833" t="s">
        <v>62</v>
      </c>
      <c r="N8" s="834">
        <v>19.1995</v>
      </c>
      <c r="O8" s="833">
        <v>8.957812517499999</v>
      </c>
      <c r="P8" s="833">
        <v>0.64800678529678135</v>
      </c>
      <c r="Q8" s="833"/>
      <c r="T8" s="827" t="s">
        <v>66</v>
      </c>
      <c r="U8" s="835">
        <v>0.9315763726281272</v>
      </c>
      <c r="V8" s="835">
        <v>0.96894856900000004</v>
      </c>
    </row>
    <row r="9" spans="1:22" ht="11.25" customHeight="1">
      <c r="A9" s="157"/>
      <c r="B9" s="159"/>
      <c r="C9" s="159"/>
      <c r="D9" s="159"/>
      <c r="E9" s="159"/>
      <c r="F9" s="159"/>
      <c r="G9" s="159"/>
      <c r="H9" s="159"/>
      <c r="I9" s="159"/>
      <c r="J9" s="159"/>
      <c r="K9" s="159"/>
      <c r="L9" s="832" t="s">
        <v>67</v>
      </c>
      <c r="M9" s="836" t="s">
        <v>62</v>
      </c>
      <c r="N9" s="834">
        <v>19.899999999999999</v>
      </c>
      <c r="O9" s="833">
        <v>8.0265881674999999</v>
      </c>
      <c r="P9" s="833">
        <v>0.56020297093104421</v>
      </c>
      <c r="Q9" s="833"/>
      <c r="T9" s="827" t="s">
        <v>537</v>
      </c>
      <c r="U9" s="835">
        <v>0.91053525121359224</v>
      </c>
      <c r="V9" s="835"/>
    </row>
    <row r="10" spans="1:22" ht="11.25" customHeight="1">
      <c r="A10" s="157"/>
      <c r="B10" s="159"/>
      <c r="C10" s="159"/>
      <c r="D10" s="159"/>
      <c r="E10" s="159"/>
      <c r="F10" s="159"/>
      <c r="G10" s="159"/>
      <c r="H10" s="159"/>
      <c r="I10" s="159"/>
      <c r="J10" s="159"/>
      <c r="K10" s="159"/>
      <c r="L10" s="832" t="s">
        <v>61</v>
      </c>
      <c r="M10" s="836" t="s">
        <v>62</v>
      </c>
      <c r="N10" s="834">
        <v>19.966000000000001</v>
      </c>
      <c r="O10" s="833">
        <v>7.2532329499999992</v>
      </c>
      <c r="P10" s="833">
        <v>0.50455447524680841</v>
      </c>
      <c r="Q10" s="833"/>
      <c r="T10" s="827" t="s">
        <v>61</v>
      </c>
      <c r="U10" s="835">
        <v>0.86356607775575756</v>
      </c>
      <c r="V10" s="835">
        <v>0.91998011599999996</v>
      </c>
    </row>
    <row r="11" spans="1:22" ht="11.25" customHeight="1">
      <c r="A11" s="157"/>
      <c r="B11" s="159"/>
      <c r="C11" s="159"/>
      <c r="D11" s="159"/>
      <c r="E11" s="159"/>
      <c r="F11" s="159"/>
      <c r="G11" s="159"/>
      <c r="H11" s="159"/>
      <c r="I11" s="159"/>
      <c r="J11" s="159"/>
      <c r="K11" s="159"/>
      <c r="L11" s="832" t="s">
        <v>64</v>
      </c>
      <c r="M11" s="836" t="s">
        <v>62</v>
      </c>
      <c r="N11" s="834">
        <v>19.966999999999999</v>
      </c>
      <c r="O11" s="833">
        <v>4.9413198725000003</v>
      </c>
      <c r="P11" s="833">
        <v>0.34371434203240903</v>
      </c>
      <c r="Q11" s="833"/>
      <c r="T11" s="827" t="s">
        <v>65</v>
      </c>
      <c r="U11" s="835">
        <v>0.85016339032506272</v>
      </c>
      <c r="V11" s="835">
        <v>0.90582178400000002</v>
      </c>
    </row>
    <row r="12" spans="1:22" ht="11.25" customHeight="1">
      <c r="A12" s="157"/>
      <c r="B12" s="159"/>
      <c r="C12" s="159"/>
      <c r="D12" s="159"/>
      <c r="E12" s="159"/>
      <c r="F12" s="159"/>
      <c r="G12" s="159"/>
      <c r="H12" s="159"/>
      <c r="I12" s="159"/>
      <c r="J12" s="159"/>
      <c r="K12" s="159"/>
      <c r="L12" s="832" t="s">
        <v>66</v>
      </c>
      <c r="M12" s="833" t="s">
        <v>62</v>
      </c>
      <c r="N12" s="834">
        <v>9.9830000000000005</v>
      </c>
      <c r="O12" s="833">
        <v>4.9412679900000001</v>
      </c>
      <c r="P12" s="833">
        <v>0.68745589585628908</v>
      </c>
      <c r="Q12" s="833"/>
      <c r="T12" s="827" t="s">
        <v>74</v>
      </c>
      <c r="U12" s="835">
        <v>0.84068418876948559</v>
      </c>
      <c r="V12" s="835">
        <v>0.51286173199999996</v>
      </c>
    </row>
    <row r="13" spans="1:22" ht="11.25" customHeight="1">
      <c r="A13" s="157"/>
      <c r="B13" s="159"/>
      <c r="C13" s="159"/>
      <c r="D13" s="159"/>
      <c r="E13" s="159"/>
      <c r="F13" s="159"/>
      <c r="G13" s="159"/>
      <c r="H13" s="159"/>
      <c r="I13" s="159"/>
      <c r="J13" s="159"/>
      <c r="K13" s="159"/>
      <c r="L13" s="832" t="s">
        <v>70</v>
      </c>
      <c r="M13" s="833" t="s">
        <v>62</v>
      </c>
      <c r="N13" s="834">
        <v>7.7450000000000001</v>
      </c>
      <c r="O13" s="833">
        <v>4.2412612075</v>
      </c>
      <c r="P13" s="833">
        <v>0.76057334615522565</v>
      </c>
      <c r="Q13" s="833"/>
      <c r="T13" s="827" t="s">
        <v>77</v>
      </c>
      <c r="U13" s="835">
        <v>0.82268752730746275</v>
      </c>
      <c r="V13" s="835">
        <v>0.63100124000000002</v>
      </c>
    </row>
    <row r="14" spans="1:22" ht="11.25" customHeight="1">
      <c r="A14" s="157"/>
      <c r="B14" s="159"/>
      <c r="C14" s="159"/>
      <c r="D14" s="159"/>
      <c r="E14" s="159"/>
      <c r="F14" s="159"/>
      <c r="G14" s="159"/>
      <c r="H14" s="159"/>
      <c r="I14" s="159"/>
      <c r="J14" s="159"/>
      <c r="K14" s="159"/>
      <c r="L14" s="832" t="s">
        <v>73</v>
      </c>
      <c r="M14" s="833" t="s">
        <v>62</v>
      </c>
      <c r="N14" s="834">
        <v>9.5660000000000007</v>
      </c>
      <c r="O14" s="833">
        <v>3.855760225</v>
      </c>
      <c r="P14" s="833">
        <v>0.55981837076335161</v>
      </c>
      <c r="Q14" s="833"/>
      <c r="T14" s="827" t="s">
        <v>70</v>
      </c>
      <c r="U14" s="835">
        <v>0.79682203237816351</v>
      </c>
      <c r="V14" s="835">
        <v>0.70452356199999999</v>
      </c>
    </row>
    <row r="15" spans="1:22" ht="11.25" customHeight="1">
      <c r="A15" s="157"/>
      <c r="B15" s="159"/>
      <c r="C15" s="159"/>
      <c r="D15" s="159"/>
      <c r="E15" s="159"/>
      <c r="F15" s="159"/>
      <c r="G15" s="159"/>
      <c r="H15" s="159"/>
      <c r="I15" s="159"/>
      <c r="J15" s="159"/>
      <c r="K15" s="159"/>
      <c r="L15" s="832" t="s">
        <v>68</v>
      </c>
      <c r="M15" s="833" t="s">
        <v>62</v>
      </c>
      <c r="N15" s="834">
        <v>10.222</v>
      </c>
      <c r="O15" s="833">
        <v>3.5786952799999998</v>
      </c>
      <c r="P15" s="833">
        <v>0.48624634231178943</v>
      </c>
      <c r="Q15" s="833"/>
      <c r="T15" s="827" t="s">
        <v>68</v>
      </c>
      <c r="U15" s="835">
        <v>0.794259037928431</v>
      </c>
      <c r="V15" s="835">
        <v>0.73580512499999995</v>
      </c>
    </row>
    <row r="16" spans="1:22" ht="11.25" customHeight="1">
      <c r="A16" s="157"/>
      <c r="B16" s="159"/>
      <c r="C16" s="159"/>
      <c r="D16" s="159"/>
      <c r="E16" s="159"/>
      <c r="F16" s="159"/>
      <c r="G16" s="159"/>
      <c r="H16" s="159"/>
      <c r="I16" s="159"/>
      <c r="J16" s="159"/>
      <c r="K16" s="159"/>
      <c r="L16" s="832" t="s">
        <v>69</v>
      </c>
      <c r="M16" s="833" t="s">
        <v>62</v>
      </c>
      <c r="N16" s="834">
        <v>9.85</v>
      </c>
      <c r="O16" s="833">
        <v>3.3082820974999998</v>
      </c>
      <c r="P16" s="833">
        <v>0.46648083721094197</v>
      </c>
      <c r="Q16" s="833"/>
      <c r="T16" s="827" t="s">
        <v>69</v>
      </c>
      <c r="U16" s="835">
        <v>0.78702231702984926</v>
      </c>
      <c r="V16" s="835">
        <v>0.74191922799999999</v>
      </c>
    </row>
    <row r="17" spans="1:22" ht="11.25" customHeight="1">
      <c r="A17" s="157"/>
      <c r="B17" s="159"/>
      <c r="C17" s="159"/>
      <c r="D17" s="159"/>
      <c r="E17" s="159"/>
      <c r="F17" s="159"/>
      <c r="G17" s="159"/>
      <c r="H17" s="159"/>
      <c r="I17" s="159"/>
      <c r="J17" s="159"/>
      <c r="K17" s="159"/>
      <c r="L17" s="832" t="s">
        <v>74</v>
      </c>
      <c r="M17" s="833" t="s">
        <v>62</v>
      </c>
      <c r="N17" s="834">
        <v>5.1890000000000001</v>
      </c>
      <c r="O17" s="833">
        <v>2.9469849999999997</v>
      </c>
      <c r="P17" s="833">
        <v>0.78879065758763189</v>
      </c>
      <c r="Q17" s="833"/>
      <c r="T17" s="827" t="s">
        <v>75</v>
      </c>
      <c r="U17" s="835">
        <v>0.75948087643846174</v>
      </c>
      <c r="V17" s="835">
        <v>0.86341729700000003</v>
      </c>
    </row>
    <row r="18" spans="1:22">
      <c r="A18" s="157"/>
      <c r="B18" s="159"/>
      <c r="C18" s="159"/>
      <c r="D18" s="159"/>
      <c r="E18" s="159"/>
      <c r="F18" s="159"/>
      <c r="G18" s="159"/>
      <c r="H18" s="159"/>
      <c r="I18" s="159"/>
      <c r="J18" s="159"/>
      <c r="K18" s="159"/>
      <c r="L18" s="832" t="s">
        <v>75</v>
      </c>
      <c r="M18" s="833" t="s">
        <v>62</v>
      </c>
      <c r="N18" s="834">
        <v>5.67</v>
      </c>
      <c r="O18" s="833">
        <v>2.9406452299999999</v>
      </c>
      <c r="P18" s="833">
        <v>0.72032266068979045</v>
      </c>
      <c r="Q18" s="833"/>
      <c r="T18" s="827" t="s">
        <v>67</v>
      </c>
      <c r="U18" s="835">
        <v>0.74294224989473157</v>
      </c>
      <c r="V18" s="835">
        <v>0.63661864000000001</v>
      </c>
    </row>
    <row r="19" spans="1:22">
      <c r="A19" s="157"/>
      <c r="B19" s="159"/>
      <c r="C19" s="159"/>
      <c r="D19" s="159"/>
      <c r="E19" s="159"/>
      <c r="F19" s="159"/>
      <c r="G19" s="159"/>
      <c r="H19" s="159"/>
      <c r="I19" s="159"/>
      <c r="J19" s="159"/>
      <c r="K19" s="159"/>
      <c r="L19" s="832" t="s">
        <v>78</v>
      </c>
      <c r="M19" s="833" t="s">
        <v>62</v>
      </c>
      <c r="N19" s="834">
        <v>3.964</v>
      </c>
      <c r="O19" s="833">
        <v>2.3473999999999999</v>
      </c>
      <c r="P19" s="833">
        <v>0.82247168965130624</v>
      </c>
      <c r="Q19" s="833"/>
      <c r="T19" s="827" t="s">
        <v>73</v>
      </c>
      <c r="U19" s="835">
        <v>0.73064262887060882</v>
      </c>
      <c r="V19" s="835">
        <v>0.41217635000000002</v>
      </c>
    </row>
    <row r="20" spans="1:22">
      <c r="A20" s="157"/>
      <c r="B20" s="159"/>
      <c r="C20" s="159"/>
      <c r="D20" s="159"/>
      <c r="E20" s="159"/>
      <c r="F20" s="159"/>
      <c r="G20" s="159"/>
      <c r="H20" s="159"/>
      <c r="I20" s="159"/>
      <c r="J20" s="159"/>
      <c r="K20" s="159"/>
      <c r="L20" s="832" t="s">
        <v>76</v>
      </c>
      <c r="M20" s="833" t="s">
        <v>62</v>
      </c>
      <c r="N20" s="834">
        <v>3.48</v>
      </c>
      <c r="O20" s="833">
        <v>2.1166320000000001</v>
      </c>
      <c r="P20" s="833">
        <v>0.84476053639846749</v>
      </c>
      <c r="Q20" s="833"/>
      <c r="T20" s="827" t="s">
        <v>64</v>
      </c>
      <c r="U20" s="835">
        <v>0.69622168953312558</v>
      </c>
      <c r="V20" s="835">
        <v>0.77239694000000003</v>
      </c>
    </row>
    <row r="21" spans="1:22">
      <c r="A21" s="157"/>
      <c r="B21" s="159"/>
      <c r="C21" s="159"/>
      <c r="D21" s="159"/>
      <c r="E21" s="159"/>
      <c r="F21" s="159"/>
      <c r="G21" s="159"/>
      <c r="H21" s="159"/>
      <c r="I21" s="159"/>
      <c r="J21" s="159"/>
      <c r="K21" s="159"/>
      <c r="L21" s="832" t="s">
        <v>77</v>
      </c>
      <c r="M21" s="833" t="s">
        <v>62</v>
      </c>
      <c r="N21" s="834">
        <v>3.91621</v>
      </c>
      <c r="O21" s="833">
        <v>1.8361374774999999</v>
      </c>
      <c r="P21" s="833">
        <v>0.65118850648259974</v>
      </c>
      <c r="Q21" s="833"/>
      <c r="T21" s="827" t="s">
        <v>71</v>
      </c>
      <c r="U21" s="835">
        <v>0.6826617134352474</v>
      </c>
      <c r="V21" s="835">
        <v>0.72384404400000002</v>
      </c>
    </row>
    <row r="22" spans="1:22">
      <c r="A22" s="157"/>
      <c r="B22" s="159"/>
      <c r="C22" s="159"/>
      <c r="D22" s="159"/>
      <c r="E22" s="159"/>
      <c r="F22" s="159"/>
      <c r="G22" s="159"/>
      <c r="H22" s="159"/>
      <c r="I22" s="159"/>
      <c r="J22" s="159"/>
      <c r="K22" s="159"/>
      <c r="L22" s="832" t="s">
        <v>71</v>
      </c>
      <c r="M22" s="833" t="s">
        <v>62</v>
      </c>
      <c r="N22" s="834">
        <v>7.4240000000000004</v>
      </c>
      <c r="O22" s="833">
        <v>1.696896835</v>
      </c>
      <c r="P22" s="833">
        <v>0.31745705276430791</v>
      </c>
      <c r="Q22" s="833"/>
      <c r="T22" s="827" t="s">
        <v>78</v>
      </c>
      <c r="U22" s="835">
        <v>0.67549706102621576</v>
      </c>
      <c r="V22" s="835">
        <v>0.696327955</v>
      </c>
    </row>
    <row r="23" spans="1:22">
      <c r="A23" s="157"/>
      <c r="B23" s="159"/>
      <c r="C23" s="159"/>
      <c r="D23" s="159"/>
      <c r="E23" s="159"/>
      <c r="F23" s="159"/>
      <c r="G23" s="159"/>
      <c r="H23" s="159"/>
      <c r="I23" s="159"/>
      <c r="J23" s="159"/>
      <c r="K23" s="159"/>
      <c r="L23" s="832" t="s">
        <v>72</v>
      </c>
      <c r="M23" s="833" t="s">
        <v>62</v>
      </c>
      <c r="N23" s="834">
        <v>6.9580000000000002</v>
      </c>
      <c r="O23" s="833">
        <v>1.4516324575000001</v>
      </c>
      <c r="P23" s="833">
        <v>0.28976087826562552</v>
      </c>
      <c r="Q23" s="833"/>
      <c r="T23" s="827" t="s">
        <v>72</v>
      </c>
      <c r="U23" s="835">
        <v>0.66470650238248741</v>
      </c>
      <c r="V23" s="835">
        <v>0.73665341399999995</v>
      </c>
    </row>
    <row r="24" spans="1:22">
      <c r="A24" s="157"/>
      <c r="B24" s="159"/>
      <c r="C24" s="159"/>
      <c r="D24" s="159"/>
      <c r="E24" s="159"/>
      <c r="F24" s="159"/>
      <c r="G24" s="159"/>
      <c r="H24" s="159"/>
      <c r="I24" s="159"/>
      <c r="J24" s="159"/>
      <c r="K24" s="159"/>
      <c r="L24" s="832" t="s">
        <v>79</v>
      </c>
      <c r="M24" s="833" t="s">
        <v>62</v>
      </c>
      <c r="N24" s="834">
        <v>1.714</v>
      </c>
      <c r="O24" s="833">
        <v>0.22080923250000001</v>
      </c>
      <c r="P24" s="833">
        <v>0.17892618995527035</v>
      </c>
      <c r="Q24" s="833"/>
      <c r="T24" s="827" t="s">
        <v>79</v>
      </c>
      <c r="U24" s="835">
        <v>0.19354624083487521</v>
      </c>
      <c r="V24" s="835">
        <v>0.10236631</v>
      </c>
    </row>
    <row r="25" spans="1:22">
      <c r="A25" s="157"/>
      <c r="B25" s="159"/>
      <c r="C25" s="159"/>
      <c r="D25" s="159"/>
      <c r="E25" s="159"/>
      <c r="F25" s="159"/>
      <c r="G25" s="159"/>
      <c r="H25" s="159"/>
      <c r="I25" s="159"/>
      <c r="J25" s="159"/>
      <c r="K25" s="159"/>
      <c r="L25" s="832" t="s">
        <v>567</v>
      </c>
      <c r="M25" s="833" t="s">
        <v>243</v>
      </c>
      <c r="N25" s="834">
        <v>132.30000000000001</v>
      </c>
      <c r="O25" s="833">
        <v>53.045541765000003</v>
      </c>
      <c r="P25" s="833">
        <v>0.55687349631519267</v>
      </c>
      <c r="Q25" s="833"/>
      <c r="S25" s="827" t="s">
        <v>81</v>
      </c>
      <c r="T25" s="827" t="s">
        <v>80</v>
      </c>
      <c r="U25" s="835">
        <v>0.53756890027738025</v>
      </c>
      <c r="V25" s="835">
        <v>0.53224910000000003</v>
      </c>
    </row>
    <row r="26" spans="1:22">
      <c r="A26" s="157"/>
      <c r="B26" s="159"/>
      <c r="C26" s="159"/>
      <c r="D26" s="159"/>
      <c r="E26" s="159"/>
      <c r="F26" s="159"/>
      <c r="G26" s="159"/>
      <c r="H26" s="159"/>
      <c r="I26" s="159"/>
      <c r="J26" s="159"/>
      <c r="K26" s="159"/>
      <c r="L26" s="832" t="s">
        <v>80</v>
      </c>
      <c r="M26" s="833" t="s">
        <v>243</v>
      </c>
      <c r="N26" s="834">
        <v>97.15</v>
      </c>
      <c r="O26" s="833">
        <v>33.693526752499999</v>
      </c>
      <c r="P26" s="833">
        <v>0.48169392623806251</v>
      </c>
      <c r="Q26" s="833"/>
      <c r="T26" s="827" t="s">
        <v>567</v>
      </c>
      <c r="U26" s="835">
        <v>0.52475391965787177</v>
      </c>
      <c r="V26" s="835"/>
    </row>
    <row r="27" spans="1:22">
      <c r="A27" s="157"/>
      <c r="B27" s="159"/>
      <c r="C27" s="159"/>
      <c r="D27" s="159"/>
      <c r="E27" s="159"/>
      <c r="F27" s="159"/>
      <c r="G27" s="159"/>
      <c r="H27" s="159"/>
      <c r="I27" s="159"/>
      <c r="J27" s="159"/>
      <c r="K27" s="159"/>
      <c r="L27" s="832" t="s">
        <v>82</v>
      </c>
      <c r="M27" s="833" t="s">
        <v>243</v>
      </c>
      <c r="N27" s="834">
        <v>83.15</v>
      </c>
      <c r="O27" s="833">
        <v>16.9519714525</v>
      </c>
      <c r="P27" s="833">
        <v>0.28315580030233178</v>
      </c>
      <c r="Q27" s="833"/>
      <c r="T27" s="827" t="s">
        <v>83</v>
      </c>
      <c r="U27" s="835">
        <v>0.51365338755683121</v>
      </c>
      <c r="V27" s="835">
        <v>0.54852962000000005</v>
      </c>
    </row>
    <row r="28" spans="1:22">
      <c r="A28" s="157"/>
      <c r="B28" s="159"/>
      <c r="C28" s="159"/>
      <c r="D28" s="159"/>
      <c r="E28" s="159"/>
      <c r="F28" s="159"/>
      <c r="G28" s="159"/>
      <c r="H28" s="159"/>
      <c r="I28" s="159"/>
      <c r="J28" s="159"/>
      <c r="K28" s="159"/>
      <c r="L28" s="832" t="s">
        <v>84</v>
      </c>
      <c r="M28" s="833" t="s">
        <v>243</v>
      </c>
      <c r="N28" s="834">
        <v>30.86</v>
      </c>
      <c r="O28" s="833">
        <v>12.513905860000001</v>
      </c>
      <c r="P28" s="833">
        <v>0.56320235922085404</v>
      </c>
      <c r="Q28" s="833"/>
      <c r="T28" s="827" t="s">
        <v>82</v>
      </c>
      <c r="U28" s="835">
        <v>0.38791925631416746</v>
      </c>
      <c r="V28" s="835">
        <v>0.31826183699999999</v>
      </c>
    </row>
    <row r="29" spans="1:22">
      <c r="A29" s="157"/>
      <c r="B29" s="159"/>
      <c r="C29" s="159"/>
      <c r="D29" s="159"/>
      <c r="E29" s="159"/>
      <c r="F29" s="159"/>
      <c r="G29" s="159"/>
      <c r="H29" s="159"/>
      <c r="I29" s="159"/>
      <c r="J29" s="159"/>
      <c r="K29" s="159"/>
      <c r="L29" s="832" t="s">
        <v>83</v>
      </c>
      <c r="M29" s="833" t="s">
        <v>243</v>
      </c>
      <c r="N29" s="834">
        <v>32</v>
      </c>
      <c r="O29" s="833">
        <v>12.388405689999999</v>
      </c>
      <c r="P29" s="833">
        <v>0.53769121918402774</v>
      </c>
      <c r="Q29" s="833"/>
      <c r="T29" s="827" t="s">
        <v>84</v>
      </c>
      <c r="U29" s="835">
        <v>0.38729033287546444</v>
      </c>
      <c r="V29" s="835">
        <v>0.32830738999999998</v>
      </c>
    </row>
    <row r="30" spans="1:22">
      <c r="A30" s="157"/>
      <c r="B30" s="159"/>
      <c r="C30" s="159"/>
      <c r="D30" s="159"/>
      <c r="E30" s="159"/>
      <c r="F30" s="159"/>
      <c r="G30" s="159"/>
      <c r="H30" s="159"/>
      <c r="I30" s="159"/>
      <c r="J30" s="159"/>
      <c r="K30" s="159"/>
      <c r="L30" s="832" t="s">
        <v>87</v>
      </c>
      <c r="M30" s="833" t="s">
        <v>85</v>
      </c>
      <c r="N30" s="834">
        <v>144.47999999999999</v>
      </c>
      <c r="O30" s="833">
        <v>25.247011149999999</v>
      </c>
      <c r="P30" s="833">
        <v>0.24269998106235388</v>
      </c>
      <c r="Q30" s="833"/>
      <c r="S30" s="827" t="s">
        <v>85</v>
      </c>
      <c r="T30" s="827" t="s">
        <v>86</v>
      </c>
      <c r="U30" s="835">
        <v>0.31758468811147561</v>
      </c>
      <c r="V30" s="835">
        <v>0.29889690000000002</v>
      </c>
    </row>
    <row r="31" spans="1:22">
      <c r="A31" s="157"/>
      <c r="B31" s="159"/>
      <c r="C31" s="159"/>
      <c r="D31" s="159"/>
      <c r="E31" s="159"/>
      <c r="F31" s="159"/>
      <c r="G31" s="159"/>
      <c r="H31" s="159"/>
      <c r="I31" s="159"/>
      <c r="J31" s="159"/>
      <c r="K31" s="159"/>
      <c r="L31" s="832" t="s">
        <v>538</v>
      </c>
      <c r="M31" s="833" t="s">
        <v>85</v>
      </c>
      <c r="N31" s="834">
        <v>44.54</v>
      </c>
      <c r="O31" s="833">
        <v>6.701050145</v>
      </c>
      <c r="P31" s="833">
        <v>0.20895855613555853</v>
      </c>
      <c r="Q31" s="833"/>
      <c r="T31" s="827" t="s">
        <v>265</v>
      </c>
      <c r="U31" s="835">
        <v>0.27724395102440152</v>
      </c>
      <c r="V31" s="835">
        <v>0.25863464800000002</v>
      </c>
    </row>
    <row r="32" spans="1:22">
      <c r="A32" s="157"/>
      <c r="B32" s="159"/>
      <c r="C32" s="159"/>
      <c r="D32" s="159"/>
      <c r="E32" s="159"/>
      <c r="F32" s="159"/>
      <c r="G32" s="159"/>
      <c r="H32" s="159"/>
      <c r="I32" s="159"/>
      <c r="J32" s="159"/>
      <c r="K32" s="159"/>
      <c r="L32" s="832" t="s">
        <v>266</v>
      </c>
      <c r="M32" s="833" t="s">
        <v>85</v>
      </c>
      <c r="N32" s="834">
        <v>20</v>
      </c>
      <c r="O32" s="833">
        <v>3.2023002125</v>
      </c>
      <c r="P32" s="833">
        <v>0.22238195920138887</v>
      </c>
      <c r="Q32" s="833"/>
      <c r="T32" s="827" t="s">
        <v>264</v>
      </c>
      <c r="U32" s="835">
        <v>0.27477797689341621</v>
      </c>
      <c r="V32" s="835">
        <v>0.25807644600000001</v>
      </c>
    </row>
    <row r="33" spans="1:22">
      <c r="A33" s="157"/>
      <c r="B33" s="159"/>
      <c r="C33" s="159"/>
      <c r="D33" s="159"/>
      <c r="E33" s="159"/>
      <c r="F33" s="159"/>
      <c r="G33" s="159"/>
      <c r="H33" s="159"/>
      <c r="I33" s="159"/>
      <c r="J33" s="159"/>
      <c r="K33" s="159"/>
      <c r="L33" s="832" t="s">
        <v>88</v>
      </c>
      <c r="M33" s="833" t="s">
        <v>85</v>
      </c>
      <c r="N33" s="834">
        <v>20</v>
      </c>
      <c r="O33" s="833">
        <v>3.1964405375</v>
      </c>
      <c r="P33" s="833">
        <v>0.2219750373263889</v>
      </c>
      <c r="Q33" s="833"/>
      <c r="T33" s="827" t="s">
        <v>87</v>
      </c>
      <c r="U33" s="835">
        <v>0.24265428605086789</v>
      </c>
      <c r="V33" s="835"/>
    </row>
    <row r="34" spans="1:22">
      <c r="B34" s="159"/>
      <c r="C34" s="159"/>
      <c r="D34" s="159"/>
      <c r="E34" s="159"/>
      <c r="F34" s="159"/>
      <c r="G34" s="159"/>
      <c r="H34" s="159"/>
      <c r="I34" s="159"/>
      <c r="J34" s="159"/>
      <c r="K34" s="159"/>
      <c r="L34" s="832" t="s">
        <v>265</v>
      </c>
      <c r="M34" s="833" t="s">
        <v>85</v>
      </c>
      <c r="N34" s="834">
        <v>20</v>
      </c>
      <c r="O34" s="833">
        <v>3.0811972500000002</v>
      </c>
      <c r="P34" s="833">
        <v>0.21397203125</v>
      </c>
      <c r="Q34" s="833"/>
      <c r="T34" s="827" t="s">
        <v>266</v>
      </c>
      <c r="U34" s="835">
        <v>0.24209621011740329</v>
      </c>
      <c r="V34" s="835">
        <v>0.238592948</v>
      </c>
    </row>
    <row r="35" spans="1:22">
      <c r="A35" s="157"/>
      <c r="B35" s="159"/>
      <c r="C35" s="159"/>
      <c r="D35" s="159"/>
      <c r="E35" s="159"/>
      <c r="F35" s="159"/>
      <c r="G35" s="159"/>
      <c r="H35" s="159"/>
      <c r="I35" s="159"/>
      <c r="J35" s="159"/>
      <c r="K35" s="159"/>
      <c r="L35" s="832" t="s">
        <v>86</v>
      </c>
      <c r="M35" s="833" t="s">
        <v>85</v>
      </c>
      <c r="N35" s="834">
        <v>16</v>
      </c>
      <c r="O35" s="833">
        <v>2.8485134675000001</v>
      </c>
      <c r="P35" s="833">
        <v>0.24726679405381943</v>
      </c>
      <c r="Q35" s="833"/>
      <c r="T35" s="827" t="s">
        <v>538</v>
      </c>
      <c r="U35" s="835">
        <v>0.22986766693795838</v>
      </c>
      <c r="V35" s="835"/>
    </row>
    <row r="36" spans="1:22">
      <c r="A36" s="157"/>
      <c r="B36" s="159"/>
      <c r="C36" s="159"/>
      <c r="D36" s="159"/>
      <c r="E36" s="159"/>
      <c r="F36" s="159"/>
      <c r="G36" s="159"/>
      <c r="H36" s="159"/>
      <c r="I36" s="159"/>
      <c r="J36" s="159"/>
      <c r="K36" s="159"/>
      <c r="L36" s="832" t="s">
        <v>264</v>
      </c>
      <c r="M36" s="833" t="s">
        <v>85</v>
      </c>
      <c r="N36" s="834">
        <v>20</v>
      </c>
      <c r="O36" s="833">
        <v>2.4277436750000003</v>
      </c>
      <c r="P36" s="833">
        <v>0.16859331076388889</v>
      </c>
      <c r="Q36" s="833"/>
      <c r="T36" s="827" t="s">
        <v>88</v>
      </c>
      <c r="U36" s="835">
        <v>0.21361223480662983</v>
      </c>
      <c r="V36" s="835">
        <v>0.21723110600000001</v>
      </c>
    </row>
    <row r="37" spans="1:22">
      <c r="A37" s="157"/>
      <c r="B37" s="159"/>
      <c r="C37" s="159"/>
      <c r="D37" s="159"/>
      <c r="E37" s="159"/>
      <c r="F37" s="159"/>
      <c r="G37" s="159"/>
      <c r="H37" s="159"/>
      <c r="I37" s="159"/>
      <c r="J37" s="159"/>
      <c r="K37" s="159"/>
      <c r="L37" s="832" t="s">
        <v>89</v>
      </c>
      <c r="M37" s="833" t="s">
        <v>520</v>
      </c>
      <c r="N37" s="834">
        <v>12.74105</v>
      </c>
      <c r="O37" s="833">
        <v>7.0497050225000004</v>
      </c>
      <c r="P37" s="833">
        <v>0.76848116722675497</v>
      </c>
      <c r="Q37" s="833"/>
      <c r="S37" s="827" t="s">
        <v>267</v>
      </c>
      <c r="T37" s="827" t="s">
        <v>90</v>
      </c>
      <c r="U37" s="835">
        <v>0.92064557214454268</v>
      </c>
      <c r="V37" s="835">
        <v>0.81425563999999995</v>
      </c>
    </row>
    <row r="38" spans="1:22" ht="11.25" customHeight="1">
      <c r="A38" s="157"/>
      <c r="B38" s="159"/>
      <c r="C38" s="159"/>
      <c r="D38" s="159"/>
      <c r="E38" s="159"/>
      <c r="F38" s="159"/>
      <c r="G38" s="159"/>
      <c r="H38" s="159"/>
      <c r="I38" s="159"/>
      <c r="J38" s="159"/>
      <c r="K38" s="159"/>
      <c r="L38" s="837" t="s">
        <v>90</v>
      </c>
      <c r="M38" s="837" t="s">
        <v>520</v>
      </c>
      <c r="N38" s="834">
        <v>4.2625000000000002</v>
      </c>
      <c r="O38" s="833">
        <v>2.8349443750000001</v>
      </c>
      <c r="P38" s="833">
        <v>0.92373554089279886</v>
      </c>
      <c r="Q38" s="837"/>
      <c r="T38" s="827" t="s">
        <v>89</v>
      </c>
      <c r="U38" s="835">
        <v>0.76577915966657362</v>
      </c>
      <c r="V38" s="835">
        <v>0.71783835100000004</v>
      </c>
    </row>
    <row r="39" spans="1:22">
      <c r="A39" s="157"/>
      <c r="B39" s="159"/>
      <c r="C39" s="159"/>
      <c r="D39" s="159"/>
      <c r="E39" s="159"/>
      <c r="F39" s="159"/>
      <c r="G39" s="159"/>
      <c r="H39" s="159"/>
      <c r="I39" s="159"/>
      <c r="J39" s="159"/>
      <c r="K39" s="159"/>
      <c r="L39" s="826" t="s">
        <v>91</v>
      </c>
      <c r="M39" s="826" t="s">
        <v>520</v>
      </c>
      <c r="N39" s="834">
        <v>2.9537</v>
      </c>
      <c r="O39" s="833">
        <v>0</v>
      </c>
      <c r="P39" s="833">
        <v>0</v>
      </c>
      <c r="T39" s="827" t="s">
        <v>91</v>
      </c>
      <c r="U39" s="835">
        <v>0.45569663994330922</v>
      </c>
      <c r="V39" s="835">
        <v>0.339194041</v>
      </c>
    </row>
    <row r="40" spans="1:22">
      <c r="A40" s="157"/>
      <c r="B40" s="159"/>
      <c r="C40" s="159"/>
      <c r="D40" s="159"/>
      <c r="E40" s="159"/>
      <c r="F40" s="159"/>
      <c r="G40" s="159"/>
      <c r="H40" s="159"/>
      <c r="I40" s="159"/>
      <c r="J40" s="159"/>
      <c r="K40" s="159"/>
      <c r="N40" s="834"/>
      <c r="O40" s="833"/>
      <c r="P40" s="833"/>
    </row>
    <row r="41" spans="1:22">
      <c r="A41" s="157"/>
      <c r="B41" s="159"/>
      <c r="C41" s="159"/>
      <c r="D41" s="159"/>
      <c r="E41" s="159"/>
      <c r="F41" s="159"/>
      <c r="G41" s="159"/>
      <c r="H41" s="159"/>
      <c r="I41" s="159"/>
      <c r="J41" s="159"/>
      <c r="K41" s="159"/>
    </row>
    <row r="42" spans="1:22">
      <c r="A42" s="157"/>
      <c r="B42" s="159"/>
      <c r="C42" s="159"/>
      <c r="D42" s="159"/>
      <c r="E42" s="159"/>
      <c r="F42" s="159"/>
      <c r="G42" s="159"/>
      <c r="H42" s="159"/>
      <c r="I42" s="159"/>
      <c r="J42" s="159"/>
      <c r="K42" s="159"/>
    </row>
    <row r="43" spans="1:22" ht="26.25" customHeight="1">
      <c r="A43" s="902"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junio 2018</v>
      </c>
      <c r="B43" s="902"/>
      <c r="C43" s="902"/>
      <c r="D43" s="902"/>
      <c r="E43" s="902"/>
      <c r="F43" s="902"/>
      <c r="G43" s="902"/>
      <c r="H43" s="902"/>
      <c r="I43" s="902"/>
      <c r="J43" s="902"/>
      <c r="K43" s="902"/>
    </row>
    <row r="44" spans="1:22">
      <c r="A44" s="157"/>
      <c r="B44" s="159"/>
      <c r="C44" s="159"/>
      <c r="D44" s="159"/>
      <c r="E44" s="159"/>
      <c r="F44" s="159"/>
      <c r="G44" s="159"/>
      <c r="H44" s="159"/>
      <c r="I44" s="159"/>
      <c r="J44" s="159"/>
      <c r="K44" s="159"/>
    </row>
    <row r="45" spans="1:22" ht="12">
      <c r="A45" s="157"/>
      <c r="B45" s="159"/>
      <c r="C45" s="906" t="str">
        <f>"Factor de planta de las centrales RER  Acumulado al "&amp;'1. Resumen'!Q7&amp;" de "&amp;'1. Resumen'!Q4</f>
        <v>Factor de planta de las centrales RER  Acumulado al 30 de junio</v>
      </c>
      <c r="D45" s="906"/>
      <c r="E45" s="906"/>
      <c r="F45" s="906"/>
      <c r="G45" s="906"/>
      <c r="H45" s="906"/>
      <c r="I45" s="906"/>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39" t="str">
        <f>"Gráfico N° 9: factor de planta de las centrales con recursos energético renovables en el SEIN en "&amp;'1. Resumen'!Q4</f>
        <v>Gráfico N° 9: factor de planta de las centrales con recursos energético renovables en el SEIN en junio</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Junio 2018
INFSGI-MES-06-2018
10/07/2018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R31" sqref="R31"/>
    </sheetView>
  </sheetViews>
  <sheetFormatPr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03" t="s">
        <v>269</v>
      </c>
      <c r="B2" s="903"/>
      <c r="C2" s="903"/>
      <c r="D2" s="903"/>
      <c r="E2" s="903"/>
      <c r="F2" s="903"/>
      <c r="G2" s="903"/>
      <c r="H2" s="903"/>
      <c r="I2" s="903"/>
      <c r="J2" s="84"/>
    </row>
    <row r="3" spans="1:14" ht="6" customHeight="1">
      <c r="A3" s="84"/>
      <c r="B3" s="84"/>
      <c r="C3" s="84"/>
      <c r="D3" s="84"/>
      <c r="E3" s="84"/>
      <c r="F3" s="84"/>
      <c r="G3" s="84"/>
      <c r="H3" s="84"/>
      <c r="I3" s="84"/>
      <c r="J3" s="84"/>
      <c r="K3" s="602"/>
      <c r="L3" s="602"/>
    </row>
    <row r="4" spans="1:14" ht="11.25" customHeight="1">
      <c r="A4" s="909" t="s">
        <v>281</v>
      </c>
      <c r="B4" s="910" t="str">
        <f>+'1. Resumen'!Q4</f>
        <v>junio</v>
      </c>
      <c r="C4" s="911"/>
      <c r="D4" s="911"/>
      <c r="E4" s="159"/>
      <c r="F4" s="159"/>
      <c r="G4" s="912" t="s">
        <v>282</v>
      </c>
      <c r="H4" s="912"/>
      <c r="I4" s="912"/>
      <c r="J4" s="159"/>
      <c r="K4" s="160"/>
      <c r="L4" s="603"/>
      <c r="M4" s="604">
        <v>2018</v>
      </c>
      <c r="N4" s="604">
        <v>2017</v>
      </c>
    </row>
    <row r="5" spans="1:14" ht="11.25" customHeight="1">
      <c r="A5" s="909"/>
      <c r="B5" s="177">
        <f>+'1. Resumen'!Q5</f>
        <v>2018</v>
      </c>
      <c r="C5" s="178">
        <f>+B5-1</f>
        <v>2017</v>
      </c>
      <c r="D5" s="178" t="s">
        <v>35</v>
      </c>
      <c r="E5" s="159"/>
      <c r="F5" s="159"/>
      <c r="G5" s="159"/>
      <c r="H5" s="159"/>
      <c r="I5" s="159"/>
      <c r="J5" s="159"/>
      <c r="K5" s="605"/>
      <c r="L5" s="610" t="s">
        <v>129</v>
      </c>
      <c r="M5" s="607"/>
      <c r="N5" s="607">
        <v>0</v>
      </c>
    </row>
    <row r="6" spans="1:14" ht="10.5" customHeight="1">
      <c r="A6" s="703" t="s">
        <v>578</v>
      </c>
      <c r="B6" s="800">
        <v>786.8584679999999</v>
      </c>
      <c r="C6" s="801">
        <v>324.9473651175</v>
      </c>
      <c r="D6" s="704">
        <f>IF(C6=0,"",B6/C6-1)</f>
        <v>1.4214951480387423</v>
      </c>
      <c r="E6" s="159"/>
      <c r="F6" s="159"/>
      <c r="G6" s="159"/>
      <c r="H6" s="159"/>
      <c r="I6" s="159"/>
      <c r="J6" s="159"/>
      <c r="K6" s="608"/>
      <c r="L6" s="610" t="s">
        <v>611</v>
      </c>
      <c r="M6" s="607"/>
      <c r="N6" s="607">
        <v>0.91234910000000002</v>
      </c>
    </row>
    <row r="7" spans="1:14" ht="10.5" customHeight="1">
      <c r="A7" s="705" t="s">
        <v>95</v>
      </c>
      <c r="B7" s="802">
        <v>598.12826639999992</v>
      </c>
      <c r="C7" s="802">
        <v>568.74772416000008</v>
      </c>
      <c r="D7" s="706">
        <f t="shared" ref="D7:D59" si="0">IF(C7=0,"",B7/C7-1)</f>
        <v>5.1658302955660762E-2</v>
      </c>
      <c r="E7" s="769"/>
      <c r="F7" s="159"/>
      <c r="G7" s="159"/>
      <c r="H7" s="159"/>
      <c r="I7" s="159"/>
      <c r="J7" s="159"/>
      <c r="K7" s="160"/>
      <c r="L7" s="607" t="s">
        <v>579</v>
      </c>
      <c r="M7" s="607"/>
      <c r="N7" s="607">
        <v>243.20028694000001</v>
      </c>
    </row>
    <row r="8" spans="1:14" ht="10.5" customHeight="1">
      <c r="A8" s="703" t="s">
        <v>94</v>
      </c>
      <c r="B8" s="801">
        <v>544.87119004249973</v>
      </c>
      <c r="C8" s="801">
        <v>428.10334476000008</v>
      </c>
      <c r="D8" s="704">
        <f t="shared" si="0"/>
        <v>0.27275620877935713</v>
      </c>
      <c r="E8" s="159"/>
      <c r="F8" s="159"/>
      <c r="G8" s="159"/>
      <c r="H8" s="159"/>
      <c r="I8" s="159"/>
      <c r="J8" s="159"/>
      <c r="K8" s="160"/>
      <c r="L8" s="610" t="s">
        <v>126</v>
      </c>
      <c r="M8" s="607">
        <v>0</v>
      </c>
      <c r="N8" s="607">
        <v>9.8753722500000002E-2</v>
      </c>
    </row>
    <row r="9" spans="1:14" ht="10.5" customHeight="1">
      <c r="A9" s="705" t="s">
        <v>93</v>
      </c>
      <c r="B9" s="802">
        <v>403.38102654750008</v>
      </c>
      <c r="C9" s="802">
        <v>697.61566417249992</v>
      </c>
      <c r="D9" s="706">
        <f t="shared" si="0"/>
        <v>-0.42177183331170764</v>
      </c>
      <c r="E9" s="159"/>
      <c r="F9" s="159"/>
      <c r="G9" s="159"/>
      <c r="H9" s="159"/>
      <c r="I9" s="159"/>
      <c r="J9" s="159"/>
      <c r="K9" s="160"/>
      <c r="L9" s="610" t="s">
        <v>270</v>
      </c>
      <c r="M9" s="607">
        <v>0</v>
      </c>
      <c r="N9" s="607">
        <v>0</v>
      </c>
    </row>
    <row r="10" spans="1:14" ht="10.5" customHeight="1">
      <c r="A10" s="703" t="s">
        <v>274</v>
      </c>
      <c r="B10" s="801">
        <v>297.505063495</v>
      </c>
      <c r="C10" s="801">
        <v>363.09268452000003</v>
      </c>
      <c r="D10" s="704">
        <f t="shared" si="0"/>
        <v>-0.18063602992085981</v>
      </c>
      <c r="E10" s="159"/>
      <c r="F10" s="159"/>
      <c r="G10" s="159"/>
      <c r="H10" s="159"/>
      <c r="I10" s="159"/>
      <c r="J10" s="159"/>
      <c r="K10" s="605"/>
      <c r="L10" s="607" t="s">
        <v>128</v>
      </c>
      <c r="M10" s="607">
        <v>0</v>
      </c>
      <c r="N10" s="607">
        <v>0</v>
      </c>
    </row>
    <row r="11" spans="1:14" ht="10.5" customHeight="1">
      <c r="A11" s="705" t="s">
        <v>106</v>
      </c>
      <c r="B11" s="802">
        <v>209.3633454925</v>
      </c>
      <c r="C11" s="802">
        <v>0</v>
      </c>
      <c r="D11" s="706" t="str">
        <f t="shared" si="0"/>
        <v/>
      </c>
      <c r="E11" s="159"/>
      <c r="F11" s="159"/>
      <c r="G11" s="159"/>
      <c r="H11" s="159"/>
      <c r="I11" s="159"/>
      <c r="J11" s="159"/>
      <c r="K11" s="608"/>
      <c r="L11" s="607" t="s">
        <v>124</v>
      </c>
      <c r="M11" s="607">
        <v>0.15993093250000001</v>
      </c>
      <c r="N11" s="607">
        <v>0.20483255249999999</v>
      </c>
    </row>
    <row r="12" spans="1:14" ht="10.5" customHeight="1">
      <c r="A12" s="703" t="s">
        <v>96</v>
      </c>
      <c r="B12" s="801">
        <v>168.53192788999996</v>
      </c>
      <c r="C12" s="801">
        <v>200.36665208249997</v>
      </c>
      <c r="D12" s="704">
        <f t="shared" si="0"/>
        <v>-0.15888234824322067</v>
      </c>
      <c r="E12" s="159"/>
      <c r="F12" s="159"/>
      <c r="G12" s="159"/>
      <c r="H12" s="159"/>
      <c r="I12" s="159"/>
      <c r="J12" s="159"/>
      <c r="K12" s="608"/>
      <c r="L12" s="607" t="s">
        <v>125</v>
      </c>
      <c r="M12" s="607">
        <v>0.22080923250000001</v>
      </c>
      <c r="N12" s="607">
        <v>0.3257742575</v>
      </c>
    </row>
    <row r="13" spans="1:14" ht="10.5" customHeight="1">
      <c r="A13" s="705" t="s">
        <v>271</v>
      </c>
      <c r="B13" s="802">
        <v>136.1380875875</v>
      </c>
      <c r="C13" s="802">
        <v>123.6553573775</v>
      </c>
      <c r="D13" s="707">
        <f t="shared" si="0"/>
        <v>0.10094775086769769</v>
      </c>
      <c r="E13" s="159"/>
      <c r="F13" s="159"/>
      <c r="G13" s="159"/>
      <c r="H13" s="159"/>
      <c r="I13" s="159"/>
      <c r="J13" s="159"/>
      <c r="K13" s="608"/>
      <c r="L13" s="610" t="s">
        <v>278</v>
      </c>
      <c r="M13" s="607">
        <v>0.48878449500000004</v>
      </c>
      <c r="N13" s="607">
        <v>0.48909479</v>
      </c>
    </row>
    <row r="14" spans="1:14" ht="10.5" customHeight="1">
      <c r="A14" s="703" t="s">
        <v>276</v>
      </c>
      <c r="B14" s="801">
        <v>127.26680268749999</v>
      </c>
      <c r="C14" s="801">
        <v>172.30406396250001</v>
      </c>
      <c r="D14" s="704">
        <f t="shared" si="0"/>
        <v>-0.26138246678152555</v>
      </c>
      <c r="E14" s="159"/>
      <c r="F14" s="159"/>
      <c r="G14" s="159"/>
      <c r="H14" s="159"/>
      <c r="I14" s="159"/>
      <c r="J14" s="159"/>
      <c r="K14" s="608"/>
      <c r="L14" s="610" t="s">
        <v>121</v>
      </c>
      <c r="M14" s="607">
        <v>1.8361374774999999</v>
      </c>
      <c r="N14" s="607">
        <v>2.576786105</v>
      </c>
    </row>
    <row r="15" spans="1:14" ht="10.5" customHeight="1">
      <c r="A15" s="705" t="s">
        <v>98</v>
      </c>
      <c r="B15" s="802">
        <v>106.34385157500002</v>
      </c>
      <c r="C15" s="802">
        <v>96.555048865000018</v>
      </c>
      <c r="D15" s="706">
        <f t="shared" si="0"/>
        <v>0.10138053706219319</v>
      </c>
      <c r="E15" s="159"/>
      <c r="F15" s="159"/>
      <c r="G15" s="159"/>
      <c r="H15" s="159"/>
      <c r="I15" s="159"/>
      <c r="J15" s="159"/>
      <c r="K15" s="608"/>
      <c r="L15" s="613" t="s">
        <v>123</v>
      </c>
      <c r="M15" s="607">
        <v>2.1166320000000001</v>
      </c>
      <c r="N15" s="607">
        <v>2.2093595000000001</v>
      </c>
    </row>
    <row r="16" spans="1:14" ht="10.5" customHeight="1">
      <c r="A16" s="703" t="s">
        <v>99</v>
      </c>
      <c r="B16" s="801">
        <v>88.618326199999998</v>
      </c>
      <c r="C16" s="801">
        <v>81.331736627499993</v>
      </c>
      <c r="D16" s="704">
        <f t="shared" si="0"/>
        <v>8.9590974872117091E-2</v>
      </c>
      <c r="E16" s="159"/>
      <c r="F16" s="159"/>
      <c r="G16" s="159"/>
      <c r="H16" s="159"/>
      <c r="I16" s="159"/>
      <c r="J16" s="159" t="s">
        <v>8</v>
      </c>
      <c r="K16" s="608"/>
      <c r="L16" s="607" t="s">
        <v>122</v>
      </c>
      <c r="M16" s="607">
        <v>2.3473999999999999</v>
      </c>
      <c r="N16" s="607">
        <v>1.8023</v>
      </c>
    </row>
    <row r="17" spans="1:14" ht="10.5" customHeight="1">
      <c r="A17" s="705" t="s">
        <v>104</v>
      </c>
      <c r="B17" s="802">
        <v>78.292552915000002</v>
      </c>
      <c r="C17" s="802"/>
      <c r="D17" s="706" t="str">
        <f t="shared" si="0"/>
        <v/>
      </c>
      <c r="E17" s="159"/>
      <c r="F17" s="159"/>
      <c r="G17" s="159"/>
      <c r="H17" s="159"/>
      <c r="I17" s="159"/>
      <c r="J17" s="159"/>
      <c r="K17" s="608"/>
      <c r="L17" s="607" t="s">
        <v>115</v>
      </c>
      <c r="M17" s="607">
        <v>2.4277436750000003</v>
      </c>
      <c r="N17" s="607">
        <v>2.7332305575000002</v>
      </c>
    </row>
    <row r="18" spans="1:14" ht="10.5" customHeight="1">
      <c r="A18" s="703" t="s">
        <v>97</v>
      </c>
      <c r="B18" s="801">
        <v>70.980623924999975</v>
      </c>
      <c r="C18" s="801">
        <v>121.118116505</v>
      </c>
      <c r="D18" s="704">
        <f t="shared" si="0"/>
        <v>-0.41395535223609803</v>
      </c>
      <c r="E18" s="159"/>
      <c r="F18" s="159"/>
      <c r="G18" s="159"/>
      <c r="H18" s="159"/>
      <c r="I18" s="159"/>
      <c r="J18" s="159"/>
      <c r="K18" s="612"/>
      <c r="L18" s="607" t="s">
        <v>612</v>
      </c>
      <c r="M18" s="607">
        <v>2.8349443750000001</v>
      </c>
      <c r="N18" s="607">
        <v>1.8683424750000002</v>
      </c>
    </row>
    <row r="19" spans="1:14" ht="10.5" customHeight="1">
      <c r="A19" s="705" t="s">
        <v>100</v>
      </c>
      <c r="B19" s="802">
        <v>68.740639257499993</v>
      </c>
      <c r="C19" s="802">
        <v>85.9242861675</v>
      </c>
      <c r="D19" s="706">
        <f t="shared" si="0"/>
        <v>-0.19998591406977029</v>
      </c>
      <c r="E19" s="159"/>
      <c r="F19" s="159"/>
      <c r="G19" s="159"/>
      <c r="H19" s="159"/>
      <c r="I19" s="159"/>
      <c r="J19" s="159"/>
      <c r="K19" s="608"/>
      <c r="L19" s="609" t="s">
        <v>116</v>
      </c>
      <c r="M19" s="607">
        <v>2.8485134675000001</v>
      </c>
      <c r="N19" s="607">
        <v>3.2120758524999999</v>
      </c>
    </row>
    <row r="20" spans="1:14" ht="10.5" customHeight="1">
      <c r="A20" s="703" t="s">
        <v>101</v>
      </c>
      <c r="B20" s="801">
        <v>53.2285688025</v>
      </c>
      <c r="C20" s="801">
        <v>50.484397694999998</v>
      </c>
      <c r="D20" s="704">
        <f t="shared" si="0"/>
        <v>5.4356815824144977E-2</v>
      </c>
      <c r="E20" s="159"/>
      <c r="F20" s="159"/>
      <c r="G20" s="159"/>
      <c r="H20" s="159"/>
      <c r="I20" s="159"/>
      <c r="J20" s="159"/>
      <c r="K20" s="608"/>
      <c r="L20" s="607" t="s">
        <v>120</v>
      </c>
      <c r="M20" s="607">
        <v>2.9469849999999997</v>
      </c>
      <c r="N20" s="607">
        <v>1.756065</v>
      </c>
    </row>
    <row r="21" spans="1:14" ht="10.5" customHeight="1">
      <c r="A21" s="705" t="s">
        <v>610</v>
      </c>
      <c r="B21" s="802">
        <v>51.050703927499995</v>
      </c>
      <c r="C21" s="802">
        <v>50.640113650000004</v>
      </c>
      <c r="D21" s="706">
        <f t="shared" si="0"/>
        <v>8.1080046608463796E-3</v>
      </c>
      <c r="E21" s="159"/>
      <c r="F21" s="159"/>
      <c r="G21" s="159"/>
      <c r="H21" s="159"/>
      <c r="I21" s="159"/>
      <c r="J21" s="159"/>
      <c r="K21" s="608"/>
      <c r="L21" s="609" t="s">
        <v>113</v>
      </c>
      <c r="M21" s="607">
        <v>3.0811972500000002</v>
      </c>
      <c r="N21" s="607">
        <v>3.4114532500000001</v>
      </c>
    </row>
    <row r="22" spans="1:14" ht="10.5" customHeight="1">
      <c r="A22" s="703" t="s">
        <v>105</v>
      </c>
      <c r="B22" s="801">
        <v>33.693526752499999</v>
      </c>
      <c r="C22" s="801">
        <v>36.018732077499998</v>
      </c>
      <c r="D22" s="704">
        <f t="shared" si="0"/>
        <v>-6.4555446316015619E-2</v>
      </c>
      <c r="E22" s="159"/>
      <c r="F22" s="159"/>
      <c r="G22" s="159"/>
      <c r="H22" s="159"/>
      <c r="I22" s="159"/>
      <c r="J22" s="159"/>
      <c r="K22" s="612"/>
      <c r="L22" s="607" t="s">
        <v>118</v>
      </c>
      <c r="M22" s="607">
        <v>3.1964405375</v>
      </c>
      <c r="N22" s="607">
        <v>3.1814347124999998</v>
      </c>
    </row>
    <row r="23" spans="1:14" ht="10.5" customHeight="1">
      <c r="A23" s="705" t="s">
        <v>102</v>
      </c>
      <c r="B23" s="802">
        <v>32.5163646675</v>
      </c>
      <c r="C23" s="802">
        <v>48.053213207499994</v>
      </c>
      <c r="D23" s="706">
        <f t="shared" si="0"/>
        <v>-0.32332590274265061</v>
      </c>
      <c r="E23" s="159"/>
      <c r="F23" s="159"/>
      <c r="G23" s="159"/>
      <c r="H23" s="159"/>
      <c r="I23" s="159"/>
      <c r="J23" s="159"/>
      <c r="K23" s="608"/>
      <c r="L23" s="610" t="s">
        <v>117</v>
      </c>
      <c r="M23" s="607">
        <v>3.2023002125</v>
      </c>
      <c r="N23" s="607">
        <v>3.3172015400000001</v>
      </c>
    </row>
    <row r="24" spans="1:14" ht="10.5" customHeight="1">
      <c r="A24" s="703" t="s">
        <v>272</v>
      </c>
      <c r="B24" s="801">
        <v>32.194336284999999</v>
      </c>
      <c r="C24" s="801">
        <v>33.297263027500001</v>
      </c>
      <c r="D24" s="704">
        <f t="shared" si="0"/>
        <v>-3.312364567589543E-2</v>
      </c>
      <c r="E24" s="159"/>
      <c r="F24" s="159"/>
      <c r="G24" s="159"/>
      <c r="H24" s="159"/>
      <c r="I24" s="159"/>
      <c r="J24" s="159"/>
      <c r="K24" s="608"/>
      <c r="L24" s="610" t="s">
        <v>119</v>
      </c>
      <c r="M24" s="607">
        <v>3.855760225</v>
      </c>
      <c r="N24" s="607">
        <v>6.7707524974999993</v>
      </c>
    </row>
    <row r="25" spans="1:14" ht="10.5" customHeight="1">
      <c r="A25" s="705" t="s">
        <v>103</v>
      </c>
      <c r="B25" s="802">
        <v>29.465877312500002</v>
      </c>
      <c r="C25" s="802">
        <v>36.724094024999999</v>
      </c>
      <c r="D25" s="706">
        <f t="shared" si="0"/>
        <v>-0.19764181813604309</v>
      </c>
      <c r="E25" s="159"/>
      <c r="F25" s="159"/>
      <c r="G25" s="159"/>
      <c r="H25" s="159"/>
      <c r="I25" s="159"/>
      <c r="J25" s="159"/>
      <c r="K25" s="608"/>
      <c r="L25" s="610" t="s">
        <v>114</v>
      </c>
      <c r="M25" s="607">
        <v>4.2412612075</v>
      </c>
      <c r="N25" s="607">
        <v>5.1476611525000004</v>
      </c>
    </row>
    <row r="26" spans="1:14" ht="10.5" customHeight="1">
      <c r="A26" s="703" t="s">
        <v>107</v>
      </c>
      <c r="B26" s="801">
        <v>23.362932664999999</v>
      </c>
      <c r="C26" s="801">
        <v>24.253655384999995</v>
      </c>
      <c r="D26" s="704">
        <f t="shared" si="0"/>
        <v>-3.6725297933889012E-2</v>
      </c>
      <c r="E26" s="159"/>
      <c r="F26" s="159"/>
      <c r="G26" s="159"/>
      <c r="H26" s="159"/>
      <c r="I26" s="159"/>
      <c r="J26" s="159"/>
      <c r="K26" s="608"/>
      <c r="L26" s="607" t="s">
        <v>279</v>
      </c>
      <c r="M26" s="607">
        <v>6.0849242749999997</v>
      </c>
      <c r="N26" s="607">
        <v>61.339057854999993</v>
      </c>
    </row>
    <row r="27" spans="1:14" ht="10.5" customHeight="1">
      <c r="A27" s="705" t="s">
        <v>111</v>
      </c>
      <c r="B27" s="802">
        <v>21.7707488225</v>
      </c>
      <c r="C27" s="802">
        <v>0</v>
      </c>
      <c r="D27" s="706" t="str">
        <f t="shared" si="0"/>
        <v/>
      </c>
      <c r="E27" s="159"/>
      <c r="F27" s="159"/>
      <c r="G27" s="159"/>
      <c r="H27" s="159"/>
      <c r="I27" s="159"/>
      <c r="J27" s="159"/>
      <c r="K27" s="608"/>
      <c r="L27" s="610" t="s">
        <v>112</v>
      </c>
      <c r="M27" s="607">
        <v>7.0497050225000004</v>
      </c>
      <c r="N27" s="607">
        <v>8.2079672425000005</v>
      </c>
    </row>
    <row r="28" spans="1:14" ht="10.5" customHeight="1">
      <c r="A28" s="708" t="s">
        <v>108</v>
      </c>
      <c r="B28" s="801">
        <v>20.364055325000002</v>
      </c>
      <c r="C28" s="801">
        <v>20.235470464999999</v>
      </c>
      <c r="D28" s="704">
        <f t="shared" si="0"/>
        <v>6.3544289826327205E-3</v>
      </c>
      <c r="E28" s="159"/>
      <c r="F28" s="159"/>
      <c r="G28" s="159"/>
      <c r="H28" s="159"/>
      <c r="I28" s="159"/>
      <c r="J28" s="159"/>
      <c r="K28" s="608"/>
      <c r="L28" s="610" t="s">
        <v>127</v>
      </c>
      <c r="M28" s="607">
        <v>8.0265881674999999</v>
      </c>
      <c r="N28" s="607">
        <v>9.8118404975000004</v>
      </c>
    </row>
    <row r="29" spans="1:14" ht="10.5" customHeight="1">
      <c r="A29" s="709" t="s">
        <v>609</v>
      </c>
      <c r="B29" s="802">
        <v>13.50304633</v>
      </c>
      <c r="C29" s="802">
        <v>12.239161279999999</v>
      </c>
      <c r="D29" s="706">
        <f t="shared" si="0"/>
        <v>0.10326565857623882</v>
      </c>
      <c r="E29" s="159"/>
      <c r="F29" s="159"/>
      <c r="G29" s="159"/>
      <c r="H29" s="159"/>
      <c r="I29" s="159"/>
      <c r="J29" s="159"/>
      <c r="K29" s="608"/>
      <c r="L29" s="610" t="s">
        <v>110</v>
      </c>
      <c r="M29" s="607">
        <v>8.957812517499999</v>
      </c>
      <c r="N29" s="607">
        <v>10.919219362500002</v>
      </c>
    </row>
    <row r="30" spans="1:14" ht="10.5" customHeight="1">
      <c r="A30" s="710" t="s">
        <v>519</v>
      </c>
      <c r="B30" s="801">
        <v>13.33211028</v>
      </c>
      <c r="C30" s="801"/>
      <c r="D30" s="704" t="str">
        <f t="shared" si="0"/>
        <v/>
      </c>
      <c r="E30" s="159"/>
      <c r="F30" s="159"/>
      <c r="G30" s="159"/>
      <c r="H30" s="159"/>
      <c r="I30" s="159"/>
      <c r="J30" s="159"/>
      <c r="K30" s="608"/>
      <c r="L30" s="607" t="s">
        <v>280</v>
      </c>
      <c r="M30" s="607">
        <v>10.03550667</v>
      </c>
      <c r="N30" s="607">
        <v>9.402868527499999</v>
      </c>
    </row>
    <row r="31" spans="1:14" ht="10.5" customHeight="1">
      <c r="A31" s="709" t="s">
        <v>275</v>
      </c>
      <c r="B31" s="802">
        <v>12.470861017500001</v>
      </c>
      <c r="C31" s="802"/>
      <c r="D31" s="706" t="str">
        <f t="shared" si="0"/>
        <v/>
      </c>
      <c r="E31" s="159"/>
      <c r="F31" s="159"/>
      <c r="G31" s="159"/>
      <c r="H31" s="159"/>
      <c r="I31" s="159"/>
      <c r="J31" s="159"/>
      <c r="K31" s="608"/>
      <c r="L31" s="607" t="s">
        <v>273</v>
      </c>
      <c r="M31" s="607">
        <v>12.1945528225</v>
      </c>
      <c r="N31" s="607">
        <v>14.968253260000001</v>
      </c>
    </row>
    <row r="32" spans="1:14" ht="10.5" customHeight="1">
      <c r="A32" s="710" t="s">
        <v>109</v>
      </c>
      <c r="B32" s="801">
        <v>12.405006</v>
      </c>
      <c r="C32" s="801">
        <v>13.679660999999999</v>
      </c>
      <c r="D32" s="704">
        <f t="shared" si="0"/>
        <v>-9.3178844124865323E-2</v>
      </c>
      <c r="E32" s="159"/>
      <c r="F32" s="159"/>
      <c r="G32" s="159"/>
      <c r="H32" s="159"/>
      <c r="I32" s="159"/>
      <c r="J32" s="159"/>
      <c r="K32" s="608"/>
      <c r="L32" s="607" t="s">
        <v>277</v>
      </c>
      <c r="M32" s="607">
        <v>12.388405689999999</v>
      </c>
      <c r="N32" s="607">
        <v>12.133228147500001</v>
      </c>
    </row>
    <row r="33" spans="1:14" ht="10.5" customHeight="1">
      <c r="A33" s="709" t="s">
        <v>277</v>
      </c>
      <c r="B33" s="802">
        <v>12.388405689999999</v>
      </c>
      <c r="C33" s="802">
        <v>12.133228147500001</v>
      </c>
      <c r="D33" s="706">
        <f t="shared" si="0"/>
        <v>2.1031298463844994E-2</v>
      </c>
      <c r="E33" s="159"/>
      <c r="F33" s="159"/>
      <c r="G33" s="159"/>
      <c r="H33" s="159"/>
      <c r="I33" s="159"/>
      <c r="J33" s="159"/>
      <c r="K33" s="608"/>
      <c r="L33" s="610" t="s">
        <v>109</v>
      </c>
      <c r="M33" s="607">
        <v>12.405006</v>
      </c>
      <c r="N33" s="607">
        <v>13.679660999999999</v>
      </c>
    </row>
    <row r="34" spans="1:14" ht="10.5" customHeight="1">
      <c r="A34" s="710" t="s">
        <v>273</v>
      </c>
      <c r="B34" s="801">
        <v>12.1945528225</v>
      </c>
      <c r="C34" s="801">
        <v>14.968253260000001</v>
      </c>
      <c r="D34" s="704">
        <f>IF(C34=0,"",B34/C34-1)</f>
        <v>-0.18530555231265511</v>
      </c>
      <c r="E34" s="159"/>
      <c r="F34" s="159"/>
      <c r="G34" s="159"/>
      <c r="H34" s="159"/>
      <c r="I34" s="159"/>
      <c r="J34" s="159"/>
      <c r="K34" s="614"/>
      <c r="L34" s="610" t="s">
        <v>275</v>
      </c>
      <c r="M34" s="607">
        <v>12.470861017500001</v>
      </c>
      <c r="N34" s="607"/>
    </row>
    <row r="35" spans="1:14" ht="10.5" customHeight="1">
      <c r="A35" s="709" t="s">
        <v>280</v>
      </c>
      <c r="B35" s="802">
        <v>10.03550667</v>
      </c>
      <c r="C35" s="802">
        <v>9.402868527499999</v>
      </c>
      <c r="D35" s="706"/>
      <c r="E35" s="159"/>
      <c r="F35" s="159"/>
      <c r="G35" s="159"/>
      <c r="H35" s="159"/>
      <c r="I35" s="159"/>
      <c r="J35" s="159"/>
      <c r="K35" s="614"/>
      <c r="L35" s="610" t="s">
        <v>519</v>
      </c>
      <c r="M35" s="607">
        <v>13.33211028</v>
      </c>
      <c r="N35" s="607"/>
    </row>
    <row r="36" spans="1:14" ht="10.5" customHeight="1">
      <c r="A36" s="710" t="s">
        <v>110</v>
      </c>
      <c r="B36" s="801">
        <v>8.957812517499999</v>
      </c>
      <c r="C36" s="801">
        <v>10.919219362500002</v>
      </c>
      <c r="D36" s="704">
        <f t="shared" si="0"/>
        <v>-0.17962885256578731</v>
      </c>
      <c r="E36" s="159"/>
      <c r="F36" s="159"/>
      <c r="G36" s="159"/>
      <c r="H36" s="159"/>
      <c r="I36" s="159"/>
      <c r="J36" s="159"/>
      <c r="K36" s="612"/>
      <c r="L36" s="610" t="s">
        <v>609</v>
      </c>
      <c r="M36" s="607">
        <v>13.50304633</v>
      </c>
      <c r="N36" s="607">
        <v>12.239161279999999</v>
      </c>
    </row>
    <row r="37" spans="1:14" ht="10.5" customHeight="1">
      <c r="A37" s="709" t="s">
        <v>127</v>
      </c>
      <c r="B37" s="802">
        <v>8.0265881674999999</v>
      </c>
      <c r="C37" s="802">
        <v>9.8118404975000004</v>
      </c>
      <c r="D37" s="706">
        <f t="shared" si="0"/>
        <v>-0.18194877204280602</v>
      </c>
      <c r="E37" s="159"/>
      <c r="F37" s="159"/>
      <c r="G37" s="159"/>
      <c r="H37" s="159"/>
      <c r="I37" s="159"/>
      <c r="J37" s="159"/>
      <c r="K37" s="612"/>
      <c r="L37" s="613" t="s">
        <v>108</v>
      </c>
      <c r="M37" s="607">
        <v>20.364055325000002</v>
      </c>
      <c r="N37" s="607">
        <v>20.235470464999999</v>
      </c>
    </row>
    <row r="38" spans="1:14" ht="10.5" customHeight="1">
      <c r="A38" s="710" t="s">
        <v>112</v>
      </c>
      <c r="B38" s="801">
        <v>7.0497050225000004</v>
      </c>
      <c r="C38" s="801">
        <v>8.2079672425000005</v>
      </c>
      <c r="D38" s="704">
        <f t="shared" si="0"/>
        <v>-0.14111438140282029</v>
      </c>
      <c r="E38" s="159"/>
      <c r="F38" s="159"/>
      <c r="G38" s="159"/>
      <c r="H38" s="159"/>
      <c r="I38" s="159"/>
      <c r="J38" s="159"/>
      <c r="K38" s="612"/>
      <c r="L38" s="610" t="s">
        <v>111</v>
      </c>
      <c r="M38" s="607">
        <v>21.7707488225</v>
      </c>
      <c r="N38" s="607">
        <v>0</v>
      </c>
    </row>
    <row r="39" spans="1:14" ht="10.5" customHeight="1">
      <c r="A39" s="709" t="s">
        <v>279</v>
      </c>
      <c r="B39" s="802">
        <v>6.0849242749999997</v>
      </c>
      <c r="C39" s="802">
        <v>61.339057854999993</v>
      </c>
      <c r="D39" s="706">
        <f t="shared" si="0"/>
        <v>-0.90079853705310875</v>
      </c>
      <c r="E39" s="159"/>
      <c r="F39" s="159"/>
      <c r="G39" s="159"/>
      <c r="H39" s="159"/>
      <c r="I39" s="159"/>
      <c r="J39" s="159"/>
      <c r="K39" s="614"/>
      <c r="L39" s="607" t="s">
        <v>107</v>
      </c>
      <c r="M39" s="607">
        <v>23.362932664999999</v>
      </c>
      <c r="N39" s="607">
        <v>24.253655384999995</v>
      </c>
    </row>
    <row r="40" spans="1:14" ht="10.5" customHeight="1">
      <c r="A40" s="710" t="s">
        <v>114</v>
      </c>
      <c r="B40" s="801">
        <v>4.2412612075</v>
      </c>
      <c r="C40" s="801">
        <v>5.1476611525000004</v>
      </c>
      <c r="D40" s="704">
        <f t="shared" si="0"/>
        <v>-0.17607995517727515</v>
      </c>
      <c r="E40" s="159"/>
      <c r="F40" s="159"/>
      <c r="G40" s="159"/>
      <c r="H40" s="159"/>
      <c r="I40" s="159"/>
      <c r="J40" s="159"/>
      <c r="K40" s="614"/>
      <c r="L40" s="610" t="s">
        <v>103</v>
      </c>
      <c r="M40" s="607">
        <v>29.465877312500002</v>
      </c>
      <c r="N40" s="607">
        <v>36.724094024999999</v>
      </c>
    </row>
    <row r="41" spans="1:14" ht="10.5" customHeight="1">
      <c r="A41" s="709" t="s">
        <v>119</v>
      </c>
      <c r="B41" s="802">
        <v>3.855760225</v>
      </c>
      <c r="C41" s="802">
        <v>6.7707524974999993</v>
      </c>
      <c r="D41" s="706">
        <f t="shared" si="0"/>
        <v>-0.43052707562066661</v>
      </c>
      <c r="E41" s="159"/>
      <c r="F41" s="159"/>
      <c r="G41" s="159"/>
      <c r="H41" s="159"/>
      <c r="I41" s="159"/>
      <c r="J41" s="159"/>
      <c r="K41" s="614"/>
      <c r="L41" s="607" t="s">
        <v>272</v>
      </c>
      <c r="M41" s="607">
        <v>32.194336284999999</v>
      </c>
      <c r="N41" s="607">
        <v>33.297263027500001</v>
      </c>
    </row>
    <row r="42" spans="1:14" ht="10.5" customHeight="1">
      <c r="A42" s="710" t="s">
        <v>117</v>
      </c>
      <c r="B42" s="801">
        <v>3.2023002125</v>
      </c>
      <c r="C42" s="801">
        <v>3.3172015400000001</v>
      </c>
      <c r="D42" s="704">
        <f t="shared" si="0"/>
        <v>-3.4638030313949519E-2</v>
      </c>
      <c r="E42" s="159"/>
      <c r="F42" s="159"/>
      <c r="G42" s="159"/>
      <c r="H42" s="159"/>
      <c r="I42" s="159"/>
      <c r="J42" s="159"/>
      <c r="K42" s="160"/>
      <c r="L42" s="610" t="s">
        <v>102</v>
      </c>
      <c r="M42" s="607">
        <v>32.5163646675</v>
      </c>
      <c r="N42" s="607">
        <v>48.053213207499994</v>
      </c>
    </row>
    <row r="43" spans="1:14" ht="10.5" customHeight="1">
      <c r="A43" s="709" t="s">
        <v>118</v>
      </c>
      <c r="B43" s="802">
        <v>3.1964405375</v>
      </c>
      <c r="C43" s="802">
        <v>3.1814347124999998</v>
      </c>
      <c r="D43" s="706">
        <f t="shared" si="0"/>
        <v>4.7166848783795068E-3</v>
      </c>
      <c r="E43" s="159"/>
      <c r="F43" s="159"/>
      <c r="G43" s="159"/>
      <c r="H43" s="159"/>
      <c r="I43" s="159"/>
      <c r="J43" s="159"/>
      <c r="L43" s="610" t="s">
        <v>105</v>
      </c>
      <c r="M43" s="607">
        <v>33.693526752499999</v>
      </c>
      <c r="N43" s="607">
        <v>36.018732077499998</v>
      </c>
    </row>
    <row r="44" spans="1:14" ht="10.5" customHeight="1">
      <c r="A44" s="710" t="s">
        <v>113</v>
      </c>
      <c r="B44" s="801">
        <v>3.0811972500000002</v>
      </c>
      <c r="C44" s="801">
        <v>3.4114532500000001</v>
      </c>
      <c r="D44" s="704">
        <f t="shared" si="0"/>
        <v>-9.680800990017957E-2</v>
      </c>
      <c r="E44" s="159"/>
      <c r="F44" s="159"/>
      <c r="G44" s="159"/>
      <c r="H44" s="159"/>
      <c r="I44" s="159"/>
      <c r="J44" s="159"/>
      <c r="L44" s="611" t="s">
        <v>610</v>
      </c>
      <c r="M44" s="607">
        <v>51.050703927499995</v>
      </c>
      <c r="N44" s="607">
        <v>50.640113650000004</v>
      </c>
    </row>
    <row r="45" spans="1:14" ht="10.5" customHeight="1">
      <c r="A45" s="709" t="s">
        <v>120</v>
      </c>
      <c r="B45" s="802">
        <v>2.9469849999999997</v>
      </c>
      <c r="C45" s="802">
        <v>1.756065</v>
      </c>
      <c r="D45" s="706">
        <f t="shared" si="0"/>
        <v>0.6781753522791012</v>
      </c>
      <c r="E45" s="159"/>
      <c r="F45" s="159"/>
      <c r="G45" s="159"/>
      <c r="H45" s="159"/>
      <c r="I45" s="159"/>
      <c r="J45" s="159"/>
      <c r="L45" s="610" t="s">
        <v>101</v>
      </c>
      <c r="M45" s="607">
        <v>53.2285688025</v>
      </c>
      <c r="N45" s="607">
        <v>50.484397694999998</v>
      </c>
    </row>
    <row r="46" spans="1:14" ht="10.5" customHeight="1">
      <c r="A46" s="710" t="s">
        <v>116</v>
      </c>
      <c r="B46" s="801">
        <v>2.8485134675000001</v>
      </c>
      <c r="C46" s="801">
        <v>3.2120758524999999</v>
      </c>
      <c r="D46" s="704">
        <f t="shared" si="0"/>
        <v>-0.11318611443034088</v>
      </c>
      <c r="E46" s="159"/>
      <c r="F46" s="159"/>
      <c r="G46" s="159"/>
      <c r="H46" s="159"/>
      <c r="I46" s="159"/>
      <c r="J46" s="159"/>
      <c r="L46" s="610" t="s">
        <v>100</v>
      </c>
      <c r="M46" s="607">
        <v>68.740639257499993</v>
      </c>
      <c r="N46" s="607">
        <v>85.9242861675</v>
      </c>
    </row>
    <row r="47" spans="1:14" ht="10.5" customHeight="1">
      <c r="A47" s="709" t="s">
        <v>612</v>
      </c>
      <c r="B47" s="802">
        <v>2.8349443750000001</v>
      </c>
      <c r="C47" s="802">
        <v>1.8683424750000002</v>
      </c>
      <c r="D47" s="706">
        <f t="shared" si="0"/>
        <v>0.51735798598701765</v>
      </c>
      <c r="E47" s="159"/>
      <c r="F47" s="159"/>
      <c r="G47" s="159"/>
      <c r="H47" s="159"/>
      <c r="I47" s="159"/>
      <c r="J47" s="159"/>
      <c r="L47" s="610" t="s">
        <v>97</v>
      </c>
      <c r="M47" s="607">
        <v>70.980623924999975</v>
      </c>
      <c r="N47" s="607">
        <v>121.118116505</v>
      </c>
    </row>
    <row r="48" spans="1:14" ht="10.5" customHeight="1">
      <c r="A48" s="710" t="s">
        <v>115</v>
      </c>
      <c r="B48" s="801">
        <v>2.4277436750000003</v>
      </c>
      <c r="C48" s="801">
        <v>2.7332305575000002</v>
      </c>
      <c r="D48" s="704">
        <f t="shared" si="0"/>
        <v>-0.11176769616516324</v>
      </c>
      <c r="E48" s="159"/>
      <c r="F48" s="159"/>
      <c r="G48" s="159"/>
      <c r="H48" s="159"/>
      <c r="I48" s="159"/>
      <c r="J48" s="159"/>
      <c r="L48" s="607" t="s">
        <v>104</v>
      </c>
      <c r="M48" s="607">
        <v>78.292552915000002</v>
      </c>
      <c r="N48" s="607"/>
    </row>
    <row r="49" spans="1:14" ht="10.5" customHeight="1">
      <c r="A49" s="709" t="s">
        <v>122</v>
      </c>
      <c r="B49" s="802">
        <v>2.3473999999999999</v>
      </c>
      <c r="C49" s="802">
        <v>1.8023</v>
      </c>
      <c r="D49" s="706">
        <f t="shared" si="0"/>
        <v>0.30244687343949384</v>
      </c>
      <c r="E49" s="159"/>
      <c r="F49" s="159"/>
      <c r="G49" s="159"/>
      <c r="H49" s="159"/>
      <c r="I49" s="159"/>
      <c r="J49" s="159"/>
      <c r="L49" s="606" t="s">
        <v>99</v>
      </c>
      <c r="M49" s="607">
        <v>88.618326199999998</v>
      </c>
      <c r="N49" s="607">
        <v>81.331736627499993</v>
      </c>
    </row>
    <row r="50" spans="1:14" ht="10.5" customHeight="1">
      <c r="A50" s="710" t="s">
        <v>123</v>
      </c>
      <c r="B50" s="801">
        <v>2.1166320000000001</v>
      </c>
      <c r="C50" s="801">
        <v>2.2093595000000001</v>
      </c>
      <c r="D50" s="704">
        <f t="shared" si="0"/>
        <v>-4.1970308589435068E-2</v>
      </c>
      <c r="E50" s="159"/>
      <c r="F50" s="159"/>
      <c r="G50" s="159"/>
      <c r="H50" s="159"/>
      <c r="I50" s="159"/>
      <c r="J50" s="159"/>
      <c r="L50" s="610" t="s">
        <v>98</v>
      </c>
      <c r="M50" s="607">
        <v>106.34385157500002</v>
      </c>
      <c r="N50" s="607">
        <v>96.555048865000018</v>
      </c>
    </row>
    <row r="51" spans="1:14" ht="10.5" customHeight="1">
      <c r="A51" s="709" t="s">
        <v>121</v>
      </c>
      <c r="B51" s="802">
        <v>1.8361374774999999</v>
      </c>
      <c r="C51" s="802">
        <v>2.576786105</v>
      </c>
      <c r="D51" s="706">
        <f t="shared" si="0"/>
        <v>-0.28743116320863593</v>
      </c>
      <c r="E51" s="159"/>
      <c r="F51" s="159"/>
      <c r="G51" s="159"/>
      <c r="H51" s="159"/>
      <c r="I51" s="159"/>
      <c r="J51" s="159"/>
      <c r="L51" s="610" t="s">
        <v>276</v>
      </c>
      <c r="M51" s="607">
        <v>127.26680268749999</v>
      </c>
      <c r="N51" s="607">
        <v>172.30406396250001</v>
      </c>
    </row>
    <row r="52" spans="1:14" ht="10.5" customHeight="1">
      <c r="A52" s="710" t="s">
        <v>278</v>
      </c>
      <c r="B52" s="801">
        <v>0.48878449500000004</v>
      </c>
      <c r="C52" s="801">
        <v>0.48909479</v>
      </c>
      <c r="D52" s="704">
        <f t="shared" si="0"/>
        <v>-6.3442712198991114E-4</v>
      </c>
      <c r="E52" s="159"/>
      <c r="F52" s="159"/>
      <c r="G52" s="159"/>
      <c r="H52" s="159"/>
      <c r="I52" s="159"/>
      <c r="J52" s="159"/>
      <c r="L52" s="610" t="s">
        <v>271</v>
      </c>
      <c r="M52" s="607">
        <v>136.1380875875</v>
      </c>
      <c r="N52" s="607">
        <v>123.6553573775</v>
      </c>
    </row>
    <row r="53" spans="1:14" ht="10.5" customHeight="1">
      <c r="A53" s="709" t="s">
        <v>125</v>
      </c>
      <c r="B53" s="802">
        <v>0.22080923250000001</v>
      </c>
      <c r="C53" s="802">
        <v>0.3257742575</v>
      </c>
      <c r="D53" s="706">
        <f t="shared" si="0"/>
        <v>-0.32220171662888375</v>
      </c>
      <c r="E53" s="159"/>
      <c r="F53" s="159"/>
      <c r="G53" s="159"/>
      <c r="H53" s="159"/>
      <c r="I53" s="159"/>
      <c r="J53" s="159"/>
      <c r="L53" s="610" t="s">
        <v>96</v>
      </c>
      <c r="M53" s="607">
        <v>168.53192788999996</v>
      </c>
      <c r="N53" s="607">
        <v>200.36665208249997</v>
      </c>
    </row>
    <row r="54" spans="1:14" ht="10.5" customHeight="1">
      <c r="A54" s="710" t="s">
        <v>124</v>
      </c>
      <c r="B54" s="801">
        <v>0.15993093250000001</v>
      </c>
      <c r="C54" s="801">
        <v>0.20483255249999999</v>
      </c>
      <c r="D54" s="704">
        <f t="shared" si="0"/>
        <v>-0.21921134825481403</v>
      </c>
      <c r="E54" s="159"/>
      <c r="F54" s="159"/>
      <c r="G54" s="159"/>
      <c r="H54" s="159"/>
      <c r="I54" s="159"/>
      <c r="J54" s="159"/>
      <c r="L54" s="610" t="s">
        <v>106</v>
      </c>
      <c r="M54" s="607">
        <v>209.3633454925</v>
      </c>
      <c r="N54" s="607">
        <v>0</v>
      </c>
    </row>
    <row r="55" spans="1:14" ht="10.5" customHeight="1">
      <c r="A55" s="709" t="s">
        <v>128</v>
      </c>
      <c r="B55" s="802">
        <v>0</v>
      </c>
      <c r="C55" s="802">
        <v>0</v>
      </c>
      <c r="D55" s="706" t="str">
        <f t="shared" si="0"/>
        <v/>
      </c>
      <c r="E55" s="159"/>
      <c r="F55" s="159"/>
      <c r="G55" s="159"/>
      <c r="H55" s="159"/>
      <c r="I55" s="159"/>
      <c r="J55" s="159"/>
      <c r="L55" s="610" t="s">
        <v>274</v>
      </c>
      <c r="M55" s="607">
        <v>297.505063495</v>
      </c>
      <c r="N55" s="607">
        <v>363.09268452000003</v>
      </c>
    </row>
    <row r="56" spans="1:14" ht="10.5" customHeight="1">
      <c r="A56" s="710" t="s">
        <v>270</v>
      </c>
      <c r="B56" s="801">
        <v>0</v>
      </c>
      <c r="C56" s="801">
        <v>0</v>
      </c>
      <c r="D56" s="704" t="str">
        <f t="shared" si="0"/>
        <v/>
      </c>
      <c r="E56" s="159"/>
      <c r="F56" s="159"/>
      <c r="G56" s="159"/>
      <c r="H56" s="159"/>
      <c r="I56" s="159"/>
      <c r="J56" s="159"/>
      <c r="L56" s="607" t="s">
        <v>93</v>
      </c>
      <c r="M56" s="607">
        <v>403.38102654750008</v>
      </c>
      <c r="N56" s="607">
        <v>697.61566417249992</v>
      </c>
    </row>
    <row r="57" spans="1:14" ht="10.5" customHeight="1">
      <c r="A57" s="709" t="s">
        <v>126</v>
      </c>
      <c r="B57" s="802">
        <v>0</v>
      </c>
      <c r="C57" s="802">
        <v>9.8753722500000002E-2</v>
      </c>
      <c r="D57" s="706">
        <f t="shared" si="0"/>
        <v>-1</v>
      </c>
      <c r="E57" s="159"/>
      <c r="F57" s="159"/>
      <c r="G57" s="159"/>
      <c r="H57" s="159"/>
      <c r="I57" s="159"/>
      <c r="J57" s="159"/>
      <c r="L57" s="610" t="s">
        <v>94</v>
      </c>
      <c r="M57" s="607">
        <v>544.87119004249973</v>
      </c>
      <c r="N57" s="607">
        <v>428.10334476000008</v>
      </c>
    </row>
    <row r="58" spans="1:14" ht="10.5" customHeight="1">
      <c r="A58" s="710" t="s">
        <v>579</v>
      </c>
      <c r="B58" s="801"/>
      <c r="C58" s="801">
        <v>243.20028694000001</v>
      </c>
      <c r="D58" s="704">
        <f t="shared" si="0"/>
        <v>-1</v>
      </c>
      <c r="E58" s="159"/>
      <c r="F58" s="159"/>
      <c r="G58" s="159"/>
      <c r="H58" s="159"/>
      <c r="I58" s="159"/>
      <c r="J58" s="159"/>
      <c r="L58" s="610" t="s">
        <v>95</v>
      </c>
      <c r="M58" s="607">
        <v>598.12826639999992</v>
      </c>
      <c r="N58" s="607">
        <v>568.74772416000008</v>
      </c>
    </row>
    <row r="59" spans="1:14" ht="10.5" customHeight="1">
      <c r="A59" s="709" t="s">
        <v>611</v>
      </c>
      <c r="B59" s="802"/>
      <c r="C59" s="802">
        <v>0.91234910000000002</v>
      </c>
      <c r="D59" s="706">
        <f t="shared" si="0"/>
        <v>-1</v>
      </c>
      <c r="E59" s="159"/>
      <c r="F59" s="159"/>
      <c r="G59" s="159"/>
      <c r="H59" s="159"/>
      <c r="I59" s="159"/>
      <c r="J59" s="159"/>
      <c r="L59" s="607" t="s">
        <v>578</v>
      </c>
      <c r="M59" s="607">
        <v>786.8584679999999</v>
      </c>
      <c r="N59" s="607">
        <v>324.9473651175</v>
      </c>
    </row>
    <row r="60" spans="1:14" ht="10.5" customHeight="1">
      <c r="A60" s="710" t="s">
        <v>129</v>
      </c>
      <c r="B60" s="803"/>
      <c r="C60" s="803">
        <v>0</v>
      </c>
      <c r="D60" s="711" t="str">
        <f>IF(C60=0,"",B60/C60-1)</f>
        <v/>
      </c>
      <c r="E60" s="159"/>
      <c r="F60" s="159"/>
      <c r="G60" s="159"/>
      <c r="H60" s="159"/>
      <c r="I60" s="159"/>
      <c r="J60" s="159"/>
      <c r="L60" s="610"/>
      <c r="M60" s="607"/>
      <c r="N60" s="607"/>
    </row>
    <row r="61" spans="1:14" ht="10.5" hidden="1" customHeight="1">
      <c r="A61" s="712"/>
      <c r="B61" s="802"/>
      <c r="C61" s="802"/>
      <c r="D61" s="706"/>
      <c r="E61" s="159"/>
      <c r="F61" s="159"/>
      <c r="G61" s="159"/>
      <c r="H61" s="159"/>
      <c r="I61" s="159"/>
      <c r="J61" s="159"/>
      <c r="L61" s="610"/>
      <c r="M61" s="607"/>
      <c r="N61" s="607"/>
    </row>
    <row r="62" spans="1:14" ht="12" customHeight="1">
      <c r="A62" s="675" t="s">
        <v>44</v>
      </c>
      <c r="B62" s="799">
        <f>SUM(B6:B61)</f>
        <v>4134.9206454549994</v>
      </c>
      <c r="C62" s="799">
        <f>SUM(C6:C61)</f>
        <v>3999.3879950275009</v>
      </c>
      <c r="D62" s="676">
        <f>+B62/C62-1</f>
        <v>3.3888347566179755E-2</v>
      </c>
      <c r="E62" s="159"/>
      <c r="F62" s="159"/>
      <c r="G62" s="159"/>
      <c r="H62" s="159"/>
      <c r="I62" s="159"/>
      <c r="J62" s="159"/>
    </row>
    <row r="63" spans="1:14" ht="36" customHeight="1">
      <c r="A63" s="914" t="str">
        <f>"Cuadro N° 6: Participación de las empresas generadoras del COES en la producción de energía eléctrica (GWh) en "&amp;'1. Resumen'!Q4</f>
        <v>Cuadro N° 6: Participación de las empresas generadoras del COES en la producción de energía eléctrica (GWh) en junio</v>
      </c>
      <c r="B63" s="914"/>
      <c r="C63" s="914"/>
      <c r="D63" s="180"/>
      <c r="E63" s="913" t="str">
        <f>"Gráfico N° 10: Comparación de producción energética (GWh) de las empresas generadoras del COES en "&amp;'1. Resumen'!Q4</f>
        <v>Gráfico N° 10: Comparación de producción energética (GWh) de las empresas generadoras del COES en junio</v>
      </c>
      <c r="F63" s="913"/>
      <c r="G63" s="913"/>
      <c r="H63" s="913"/>
      <c r="I63" s="913"/>
      <c r="J63" s="913"/>
    </row>
    <row r="64" spans="1:14" ht="12.75" customHeight="1">
      <c r="A64" s="674"/>
      <c r="B64" s="674"/>
      <c r="C64" s="674"/>
      <c r="D64" s="180"/>
      <c r="E64" s="673"/>
      <c r="F64" s="673"/>
      <c r="G64" s="673"/>
      <c r="H64" s="673"/>
      <c r="I64" s="673"/>
      <c r="J64" s="673"/>
    </row>
    <row r="65" spans="1:10" ht="12.75" customHeight="1">
      <c r="A65" s="915" t="s">
        <v>577</v>
      </c>
      <c r="B65" s="915"/>
      <c r="C65" s="915"/>
      <c r="D65" s="915"/>
      <c r="E65" s="915"/>
      <c r="F65" s="915"/>
      <c r="G65" s="915"/>
      <c r="H65" s="915"/>
      <c r="I65" s="915"/>
      <c r="J65" s="915"/>
    </row>
    <row r="66" spans="1:10" ht="12.75" customHeight="1">
      <c r="A66" s="915" t="s">
        <v>614</v>
      </c>
      <c r="B66" s="915"/>
      <c r="C66" s="915"/>
      <c r="D66" s="915"/>
      <c r="E66" s="915"/>
      <c r="F66" s="915"/>
      <c r="G66" s="915"/>
      <c r="H66" s="915"/>
      <c r="I66" s="915"/>
      <c r="J66" s="915"/>
    </row>
    <row r="67" spans="1:10" ht="12.75" customHeight="1">
      <c r="A67" s="915" t="s">
        <v>607</v>
      </c>
      <c r="B67" s="915"/>
      <c r="C67" s="915"/>
      <c r="D67" s="915"/>
      <c r="E67" s="915"/>
      <c r="F67" s="915"/>
      <c r="G67" s="915"/>
      <c r="H67" s="915"/>
      <c r="I67" s="915"/>
      <c r="J67" s="915"/>
    </row>
    <row r="68" spans="1:10">
      <c r="A68" s="915" t="s">
        <v>608</v>
      </c>
      <c r="B68" s="915"/>
      <c r="C68" s="915"/>
      <c r="D68" s="915"/>
      <c r="E68" s="915"/>
      <c r="F68" s="915"/>
      <c r="G68" s="915"/>
      <c r="H68" s="915"/>
      <c r="I68" s="915"/>
      <c r="J68" s="915"/>
    </row>
    <row r="69" spans="1:10">
      <c r="A69" s="907"/>
      <c r="B69" s="907"/>
      <c r="C69" s="907"/>
      <c r="D69" s="907"/>
      <c r="E69" s="907"/>
      <c r="F69" s="907"/>
      <c r="G69" s="907"/>
      <c r="H69" s="907"/>
      <c r="I69" s="907"/>
      <c r="J69" s="907"/>
    </row>
    <row r="70" spans="1:10">
      <c r="A70" s="908"/>
      <c r="B70" s="908"/>
      <c r="C70" s="908"/>
      <c r="D70" s="908"/>
      <c r="E70" s="908"/>
      <c r="F70" s="908"/>
      <c r="G70" s="908"/>
      <c r="H70" s="908"/>
      <c r="I70" s="908"/>
      <c r="J70" s="908"/>
    </row>
    <row r="71" spans="1:10">
      <c r="A71" s="907"/>
      <c r="B71" s="907"/>
      <c r="C71" s="907"/>
      <c r="D71" s="907"/>
      <c r="E71" s="907"/>
      <c r="F71" s="907"/>
      <c r="G71" s="907"/>
      <c r="H71" s="907"/>
      <c r="I71" s="907"/>
      <c r="J71" s="907"/>
    </row>
    <row r="72" spans="1:10">
      <c r="A72" s="908"/>
      <c r="B72" s="908"/>
      <c r="C72" s="908"/>
      <c r="D72" s="908"/>
      <c r="E72" s="908"/>
      <c r="F72" s="908"/>
      <c r="G72" s="908"/>
      <c r="H72" s="908"/>
      <c r="I72" s="908"/>
      <c r="J72" s="908"/>
    </row>
  </sheetData>
  <autoFilter ref="L4:N61" xr:uid="{3128C184-458A-46DA-932F-AF8150F6A815}">
    <sortState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Junio 2018
INFSGI-MES-06-2018
10/07/2018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13</vt:i4>
      </vt:variant>
    </vt:vector>
  </HeadingPairs>
  <TitlesOfParts>
    <vt:vector size="48"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2018-07-10T22:27:45Z</cp:lastPrinted>
  <dcterms:created xsi:type="dcterms:W3CDTF">2018-02-13T14:18:17Z</dcterms:created>
  <dcterms:modified xsi:type="dcterms:W3CDTF">2018-07-10T22:48:37Z</dcterms:modified>
</cp:coreProperties>
</file>